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dirplaneacion04\Desktop\AÑO 2021-FEBRERO 23 DE  2021\CONTRALORIA GENERAL DEL QUINDIO\I. RENDICIÓN DE LA CUENTA CGQ 2020\ANEXO No. 21 PLAN INDICATIVO Y SGTO\"/>
    </mc:Choice>
  </mc:AlternateContent>
  <xr:revisionPtr revIDLastSave="0" documentId="13_ncr:1_{0673197E-4BEE-489B-B08F-3668D194A947}" xr6:coauthVersionLast="36" xr6:coauthVersionMax="36" xr10:uidLastSave="{00000000-0000-0000-0000-000000000000}"/>
  <bookViews>
    <workbookView xWindow="0" yWindow="0" windowWidth="24000" windowHeight="9735" xr2:uid="{00000000-000D-0000-FFFF-FFFF00000000}"/>
  </bookViews>
  <sheets>
    <sheet name="F-PLA-04 PLAN INDIC 2020" sheetId="7" r:id="rId1"/>
  </sheets>
  <definedNames>
    <definedName name="_xlnm._FilterDatabase" localSheetId="0" hidden="1">'F-PLA-04 PLAN INDIC 2020'!$A$7:$CB$350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1" i="7" l="1"/>
  <c r="AD198" i="7" l="1"/>
  <c r="BM228" i="7" l="1"/>
  <c r="BB228" i="7"/>
  <c r="AQ228" i="7"/>
  <c r="AE191" i="7" l="1"/>
  <c r="BL227" i="7" l="1"/>
  <c r="BL225" i="7"/>
  <c r="BK225" i="7" s="1"/>
  <c r="BL323" i="7"/>
  <c r="BA323" i="7"/>
  <c r="BA166" i="7"/>
  <c r="BL120" i="7" l="1"/>
  <c r="BK120" i="7" s="1"/>
  <c r="BA120" i="7"/>
  <c r="AZ120" i="7" s="1"/>
  <c r="AP120" i="7"/>
  <c r="AO120" i="7" s="1"/>
  <c r="AD120" i="7"/>
  <c r="BK309" i="7"/>
  <c r="AZ309" i="7"/>
  <c r="AO309" i="7"/>
  <c r="AD309" i="7"/>
  <c r="AP108" i="7"/>
  <c r="AQ108" i="7"/>
  <c r="AR108" i="7"/>
  <c r="AS108" i="7"/>
  <c r="AT108" i="7"/>
  <c r="AU108" i="7"/>
  <c r="AV108" i="7"/>
  <c r="AW108" i="7"/>
  <c r="AX108" i="7"/>
  <c r="AY108" i="7"/>
  <c r="BA108" i="7"/>
  <c r="BB108" i="7"/>
  <c r="BC108" i="7"/>
  <c r="BD108" i="7"/>
  <c r="BE108" i="7"/>
  <c r="BF108" i="7"/>
  <c r="BG108" i="7"/>
  <c r="BH108" i="7"/>
  <c r="BI108" i="7"/>
  <c r="BJ108" i="7"/>
  <c r="BL108" i="7"/>
  <c r="BM108" i="7"/>
  <c r="BN108" i="7"/>
  <c r="BO108" i="7"/>
  <c r="BP108" i="7"/>
  <c r="BQ108" i="7"/>
  <c r="BR108" i="7"/>
  <c r="BS108" i="7"/>
  <c r="BT108" i="7"/>
  <c r="BU108" i="7"/>
  <c r="BK117" i="7"/>
  <c r="AZ117" i="7"/>
  <c r="AO117" i="7"/>
  <c r="BV117" i="7" s="1"/>
  <c r="BV309" i="7" l="1"/>
  <c r="BV120" i="7"/>
  <c r="BU118" i="7" l="1"/>
  <c r="BT118" i="7"/>
  <c r="BS118" i="7"/>
  <c r="BR118" i="7"/>
  <c r="BQ118" i="7"/>
  <c r="BP118" i="7"/>
  <c r="BO118" i="7"/>
  <c r="BN118" i="7"/>
  <c r="BM118" i="7"/>
  <c r="BJ118" i="7"/>
  <c r="BI118" i="7"/>
  <c r="BH118" i="7"/>
  <c r="BG118" i="7"/>
  <c r="BF118" i="7"/>
  <c r="BE118" i="7"/>
  <c r="BD118" i="7"/>
  <c r="BC118" i="7"/>
  <c r="BB118" i="7"/>
  <c r="AY118" i="7"/>
  <c r="AX118" i="7"/>
  <c r="AW118" i="7"/>
  <c r="AV118" i="7"/>
  <c r="AU118" i="7"/>
  <c r="AT118" i="7"/>
  <c r="AS118" i="7"/>
  <c r="AR118" i="7"/>
  <c r="AQ118" i="7"/>
  <c r="AN118" i="7"/>
  <c r="AM118" i="7"/>
  <c r="AL118" i="7"/>
  <c r="AK118" i="7"/>
  <c r="AJ118" i="7"/>
  <c r="AI118" i="7"/>
  <c r="AH118" i="7"/>
  <c r="AG118" i="7"/>
  <c r="AF118" i="7"/>
  <c r="AE118" i="7"/>
  <c r="AN108" i="7"/>
  <c r="AM108" i="7"/>
  <c r="AL108" i="7"/>
  <c r="AK108" i="7"/>
  <c r="AJ108" i="7"/>
  <c r="AI108" i="7"/>
  <c r="AH108" i="7"/>
  <c r="AG108" i="7"/>
  <c r="AF108" i="7"/>
  <c r="AE108" i="7"/>
  <c r="AE280" i="7" l="1"/>
  <c r="AF280" i="7"/>
  <c r="AG280" i="7"/>
  <c r="AH280" i="7"/>
  <c r="AI280" i="7"/>
  <c r="AJ280" i="7"/>
  <c r="AK280" i="7"/>
  <c r="AL280" i="7"/>
  <c r="AM280" i="7"/>
  <c r="AN280" i="7"/>
  <c r="AP280" i="7"/>
  <c r="AQ280" i="7"/>
  <c r="AR280" i="7"/>
  <c r="AS280" i="7"/>
  <c r="AT280" i="7"/>
  <c r="AU280" i="7"/>
  <c r="AV280" i="7"/>
  <c r="AW280" i="7"/>
  <c r="AX280" i="7"/>
  <c r="AY280" i="7"/>
  <c r="BA280" i="7"/>
  <c r="BB280" i="7"/>
  <c r="BC280" i="7"/>
  <c r="BD280" i="7"/>
  <c r="BE280" i="7"/>
  <c r="BF280" i="7"/>
  <c r="BG280" i="7"/>
  <c r="BH280" i="7"/>
  <c r="BI280" i="7"/>
  <c r="BJ280" i="7"/>
  <c r="BL280" i="7"/>
  <c r="BM280" i="7"/>
  <c r="BN280" i="7"/>
  <c r="BO280" i="7"/>
  <c r="BP280" i="7"/>
  <c r="BQ280" i="7"/>
  <c r="BR280" i="7"/>
  <c r="BS280" i="7"/>
  <c r="BT280" i="7"/>
  <c r="BU280" i="7"/>
  <c r="AE284" i="7"/>
  <c r="AF284" i="7"/>
  <c r="AG284" i="7"/>
  <c r="AH284" i="7"/>
  <c r="AI284" i="7"/>
  <c r="AJ284" i="7"/>
  <c r="AK284" i="7"/>
  <c r="AL284" i="7"/>
  <c r="AM284" i="7"/>
  <c r="AN284" i="7"/>
  <c r="AP284" i="7"/>
  <c r="AQ284" i="7"/>
  <c r="AR284" i="7"/>
  <c r="AS284" i="7"/>
  <c r="AT284" i="7"/>
  <c r="AU284" i="7"/>
  <c r="AV284" i="7"/>
  <c r="AW284" i="7"/>
  <c r="AX284" i="7"/>
  <c r="AY284" i="7"/>
  <c r="BA284" i="7"/>
  <c r="BB284" i="7"/>
  <c r="BC284" i="7"/>
  <c r="BD284" i="7"/>
  <c r="BE284" i="7"/>
  <c r="BF284" i="7"/>
  <c r="BG284" i="7"/>
  <c r="BH284" i="7"/>
  <c r="BI284" i="7"/>
  <c r="BJ284" i="7"/>
  <c r="BL284" i="7"/>
  <c r="BM284" i="7"/>
  <c r="BN284" i="7"/>
  <c r="BO284" i="7"/>
  <c r="BP284" i="7"/>
  <c r="BQ284" i="7"/>
  <c r="BR284" i="7"/>
  <c r="BS284" i="7"/>
  <c r="BT284" i="7"/>
  <c r="BU284" i="7"/>
  <c r="AE292" i="7"/>
  <c r="AF292" i="7"/>
  <c r="AG292" i="7"/>
  <c r="AH292" i="7"/>
  <c r="AI292" i="7"/>
  <c r="AJ292" i="7"/>
  <c r="AK292" i="7"/>
  <c r="AL292" i="7"/>
  <c r="AM292" i="7"/>
  <c r="AN292" i="7"/>
  <c r="AP292" i="7"/>
  <c r="AQ292" i="7"/>
  <c r="AR292" i="7"/>
  <c r="AS292" i="7"/>
  <c r="AT292" i="7"/>
  <c r="AU292" i="7"/>
  <c r="AV292" i="7"/>
  <c r="AW292" i="7"/>
  <c r="AX292" i="7"/>
  <c r="AY292" i="7"/>
  <c r="BA292" i="7"/>
  <c r="BB292" i="7"/>
  <c r="BC292" i="7"/>
  <c r="BD292" i="7"/>
  <c r="BE292" i="7"/>
  <c r="BF292" i="7"/>
  <c r="BG292" i="7"/>
  <c r="BH292" i="7"/>
  <c r="BI292" i="7"/>
  <c r="BJ292" i="7"/>
  <c r="BL292" i="7"/>
  <c r="BM292" i="7"/>
  <c r="BN292" i="7"/>
  <c r="BO292" i="7"/>
  <c r="BP292" i="7"/>
  <c r="BQ292" i="7"/>
  <c r="BR292" i="7"/>
  <c r="BS292" i="7"/>
  <c r="BT292" i="7"/>
  <c r="BU292" i="7"/>
  <c r="AF299" i="7"/>
  <c r="AG299" i="7"/>
  <c r="AH299" i="7"/>
  <c r="AI299" i="7"/>
  <c r="AJ299" i="7"/>
  <c r="AK299" i="7"/>
  <c r="AL299" i="7"/>
  <c r="AM299" i="7"/>
  <c r="AN299" i="7"/>
  <c r="AP299" i="7"/>
  <c r="AQ299" i="7"/>
  <c r="AR299" i="7"/>
  <c r="AS299" i="7"/>
  <c r="AT299" i="7"/>
  <c r="AU299" i="7"/>
  <c r="AV299" i="7"/>
  <c r="AW299" i="7"/>
  <c r="AX299" i="7"/>
  <c r="AY299" i="7"/>
  <c r="BB299" i="7"/>
  <c r="BC299" i="7"/>
  <c r="BD299" i="7"/>
  <c r="BE299" i="7"/>
  <c r="BF299" i="7"/>
  <c r="BG299" i="7"/>
  <c r="BH299" i="7"/>
  <c r="BI299" i="7"/>
  <c r="BJ299" i="7"/>
  <c r="BM299" i="7"/>
  <c r="BN299" i="7"/>
  <c r="BO299" i="7"/>
  <c r="BP299" i="7"/>
  <c r="BQ299" i="7"/>
  <c r="BR299" i="7"/>
  <c r="BS299" i="7"/>
  <c r="BT299" i="7"/>
  <c r="BU299" i="7"/>
  <c r="AF304" i="7"/>
  <c r="AG304" i="7"/>
  <c r="AH304" i="7"/>
  <c r="AI304" i="7"/>
  <c r="AJ304" i="7"/>
  <c r="AK304" i="7"/>
  <c r="AL304" i="7"/>
  <c r="AM304" i="7"/>
  <c r="AN304" i="7"/>
  <c r="AQ304" i="7"/>
  <c r="AR304" i="7"/>
  <c r="AS304" i="7"/>
  <c r="AT304" i="7"/>
  <c r="AU304" i="7"/>
  <c r="AV304" i="7"/>
  <c r="AW304" i="7"/>
  <c r="AX304" i="7"/>
  <c r="AY304" i="7"/>
  <c r="BB304" i="7"/>
  <c r="BC304" i="7"/>
  <c r="BD304" i="7"/>
  <c r="BE304" i="7"/>
  <c r="BF304" i="7"/>
  <c r="BG304" i="7"/>
  <c r="BH304" i="7"/>
  <c r="BI304" i="7"/>
  <c r="BJ304" i="7"/>
  <c r="BM304" i="7"/>
  <c r="BN304" i="7"/>
  <c r="BO304" i="7"/>
  <c r="BP304" i="7"/>
  <c r="BQ304" i="7"/>
  <c r="BR304" i="7"/>
  <c r="BS304" i="7"/>
  <c r="BT304" i="7"/>
  <c r="BU304" i="7"/>
  <c r="AF311" i="7"/>
  <c r="AG311" i="7"/>
  <c r="AH311" i="7"/>
  <c r="AI311" i="7"/>
  <c r="AJ311" i="7"/>
  <c r="AK311" i="7"/>
  <c r="AL311" i="7"/>
  <c r="AM311" i="7"/>
  <c r="AN311" i="7"/>
  <c r="AQ311" i="7"/>
  <c r="AR311" i="7"/>
  <c r="AS311" i="7"/>
  <c r="AT311" i="7"/>
  <c r="AU311" i="7"/>
  <c r="AV311" i="7"/>
  <c r="AW311" i="7"/>
  <c r="AX311" i="7"/>
  <c r="AY311" i="7"/>
  <c r="BB311" i="7"/>
  <c r="BC311" i="7"/>
  <c r="BD311" i="7"/>
  <c r="BE311" i="7"/>
  <c r="BF311" i="7"/>
  <c r="BG311" i="7"/>
  <c r="BH311" i="7"/>
  <c r="BI311" i="7"/>
  <c r="BJ311" i="7"/>
  <c r="BM311" i="7"/>
  <c r="BN311" i="7"/>
  <c r="BO311" i="7"/>
  <c r="BP311" i="7"/>
  <c r="BQ311" i="7"/>
  <c r="BR311" i="7"/>
  <c r="BS311" i="7"/>
  <c r="BT311" i="7"/>
  <c r="BU311" i="7"/>
  <c r="AF327" i="7"/>
  <c r="AG327" i="7"/>
  <c r="AH327" i="7"/>
  <c r="AI327" i="7"/>
  <c r="AJ327" i="7"/>
  <c r="AK327" i="7"/>
  <c r="AL327" i="7"/>
  <c r="AM327" i="7"/>
  <c r="AQ327" i="7"/>
  <c r="AR327" i="7"/>
  <c r="AS327" i="7"/>
  <c r="AT327" i="7"/>
  <c r="AU327" i="7"/>
  <c r="AV327" i="7"/>
  <c r="AW327" i="7"/>
  <c r="AX327" i="7"/>
  <c r="AY327" i="7"/>
  <c r="BB327" i="7"/>
  <c r="BC327" i="7"/>
  <c r="BD327" i="7"/>
  <c r="BE327" i="7"/>
  <c r="BF327" i="7"/>
  <c r="BG327" i="7"/>
  <c r="BH327" i="7"/>
  <c r="BI327" i="7"/>
  <c r="BJ327" i="7"/>
  <c r="BM327" i="7"/>
  <c r="BN327" i="7"/>
  <c r="BO327" i="7"/>
  <c r="BP327" i="7"/>
  <c r="BQ327" i="7"/>
  <c r="BR327" i="7"/>
  <c r="BS327" i="7"/>
  <c r="BT327" i="7"/>
  <c r="BU327" i="7"/>
  <c r="BC303" i="7" l="1"/>
  <c r="BS303" i="7"/>
  <c r="AU303" i="7"/>
  <c r="BN303" i="7"/>
  <c r="AY303" i="7"/>
  <c r="AT303" i="7"/>
  <c r="BG303" i="7"/>
  <c r="BR303" i="7"/>
  <c r="BJ303" i="7"/>
  <c r="BB303" i="7"/>
  <c r="BO303" i="7"/>
  <c r="BF303" i="7"/>
  <c r="AL303" i="7"/>
  <c r="AS303" i="7"/>
  <c r="BU303" i="7"/>
  <c r="BM303" i="7"/>
  <c r="BD303" i="7"/>
  <c r="AV303" i="7"/>
  <c r="AF303" i="7"/>
  <c r="AX303" i="7"/>
  <c r="AH303" i="7"/>
  <c r="BI303" i="7"/>
  <c r="BE303" i="7"/>
  <c r="AW303" i="7"/>
  <c r="AK303" i="7"/>
  <c r="AG303" i="7"/>
  <c r="BQ303" i="7"/>
  <c r="BH303" i="7"/>
  <c r="AR303" i="7"/>
  <c r="AJ303" i="7"/>
  <c r="BT303" i="7"/>
  <c r="BP303" i="7"/>
  <c r="AQ303" i="7"/>
  <c r="AM303" i="7"/>
  <c r="AI303" i="7"/>
  <c r="AF145" i="7"/>
  <c r="AG145" i="7"/>
  <c r="AH145" i="7"/>
  <c r="AI145" i="7"/>
  <c r="AJ145" i="7"/>
  <c r="AK145" i="7"/>
  <c r="AL145" i="7"/>
  <c r="AM145" i="7"/>
  <c r="AN145" i="7"/>
  <c r="AQ145" i="7"/>
  <c r="AR145" i="7"/>
  <c r="AS145" i="7"/>
  <c r="AT145" i="7"/>
  <c r="AU145" i="7"/>
  <c r="AV145" i="7"/>
  <c r="AW145" i="7"/>
  <c r="AX145" i="7"/>
  <c r="AY145" i="7"/>
  <c r="BA145" i="7"/>
  <c r="BB145" i="7"/>
  <c r="BC145" i="7"/>
  <c r="BD145" i="7"/>
  <c r="BE145" i="7"/>
  <c r="BF145" i="7"/>
  <c r="BG145" i="7"/>
  <c r="BH145" i="7"/>
  <c r="BI145" i="7"/>
  <c r="BJ145" i="7"/>
  <c r="BL145" i="7"/>
  <c r="BM145" i="7"/>
  <c r="BN145" i="7"/>
  <c r="BO145" i="7"/>
  <c r="BP145" i="7"/>
  <c r="BQ145" i="7"/>
  <c r="BR145" i="7"/>
  <c r="BS145" i="7"/>
  <c r="BT145" i="7"/>
  <c r="BU145" i="7"/>
  <c r="AE165" i="7" l="1"/>
  <c r="AF165" i="7"/>
  <c r="AG165" i="7"/>
  <c r="AH165" i="7"/>
  <c r="AI165" i="7"/>
  <c r="AJ165" i="7"/>
  <c r="AK165" i="7"/>
  <c r="AL165" i="7"/>
  <c r="AM165" i="7"/>
  <c r="AN165" i="7"/>
  <c r="AP165" i="7"/>
  <c r="AQ165" i="7"/>
  <c r="AR165" i="7"/>
  <c r="AS165" i="7"/>
  <c r="AT165" i="7"/>
  <c r="AU165" i="7"/>
  <c r="AV165" i="7"/>
  <c r="AW165" i="7"/>
  <c r="AX165" i="7"/>
  <c r="AY165" i="7"/>
  <c r="BB165" i="7"/>
  <c r="BC165" i="7"/>
  <c r="BD165" i="7"/>
  <c r="BE165" i="7"/>
  <c r="BF165" i="7"/>
  <c r="BG165" i="7"/>
  <c r="BH165" i="7"/>
  <c r="BI165" i="7"/>
  <c r="BJ165" i="7"/>
  <c r="BM165" i="7"/>
  <c r="BN165" i="7"/>
  <c r="BO165" i="7"/>
  <c r="BP165" i="7"/>
  <c r="BQ165" i="7"/>
  <c r="BR165" i="7"/>
  <c r="BS165" i="7"/>
  <c r="BT165" i="7"/>
  <c r="BU165" i="7"/>
  <c r="AE279" i="7" l="1"/>
  <c r="AC279" i="7"/>
  <c r="AB279" i="7"/>
  <c r="AA279" i="7"/>
  <c r="Z279" i="7"/>
  <c r="Y279" i="7"/>
  <c r="AC277" i="7" l="1"/>
  <c r="AB277" i="7"/>
  <c r="AA277" i="7"/>
  <c r="Y277" i="7"/>
  <c r="BL168" i="7" l="1"/>
  <c r="BA168" i="7"/>
  <c r="BK323" i="7"/>
  <c r="AZ323" i="7"/>
  <c r="AO323" i="7"/>
  <c r="AD323" i="7"/>
  <c r="BL166" i="7"/>
  <c r="BL165" i="7" s="1"/>
  <c r="AP152" i="7"/>
  <c r="AP145" i="7" s="1"/>
  <c r="BK153" i="7"/>
  <c r="AZ153" i="7"/>
  <c r="AO153" i="7"/>
  <c r="AD153" i="7"/>
  <c r="BA165" i="7" l="1"/>
  <c r="BV323" i="7"/>
  <c r="BV153" i="7"/>
  <c r="BA225" i="7" l="1"/>
  <c r="BA227" i="7"/>
  <c r="BC225" i="7"/>
  <c r="AD318" i="7" l="1"/>
  <c r="AO318" i="7"/>
  <c r="AZ318" i="7"/>
  <c r="BK318" i="7"/>
  <c r="BV318" i="7" l="1"/>
  <c r="AD164" i="7" l="1"/>
  <c r="AE146" i="7" l="1"/>
  <c r="AE145" i="7" s="1"/>
  <c r="AE189" i="7" l="1"/>
  <c r="AE21" i="7" l="1"/>
  <c r="Z229" i="7" l="1"/>
  <c r="AD159" i="7" l="1"/>
  <c r="AD160" i="7"/>
  <c r="AD161" i="7"/>
  <c r="AD162" i="7"/>
  <c r="AD163" i="7"/>
  <c r="BL347" i="7" l="1"/>
  <c r="BK347" i="7" s="1"/>
  <c r="AZ347" i="7"/>
  <c r="AO347" i="7"/>
  <c r="AE347" i="7"/>
  <c r="AD347" i="7" s="1"/>
  <c r="BL346" i="7"/>
  <c r="BK346" i="7" s="1"/>
  <c r="BA346" i="7"/>
  <c r="AZ346" i="7" s="1"/>
  <c r="AP346" i="7"/>
  <c r="AO346" i="7" s="1"/>
  <c r="AD346" i="7"/>
  <c r="BL345" i="7"/>
  <c r="BK345" i="7" s="1"/>
  <c r="BA345" i="7"/>
  <c r="AZ345" i="7" s="1"/>
  <c r="AP345" i="7"/>
  <c r="AO345" i="7" s="1"/>
  <c r="AD345" i="7"/>
  <c r="BL344" i="7"/>
  <c r="BK344" i="7" s="1"/>
  <c r="BA344" i="7"/>
  <c r="AZ344" i="7" s="1"/>
  <c r="AP344" i="7"/>
  <c r="AO344" i="7" s="1"/>
  <c r="AD344" i="7"/>
  <c r="BL343" i="7"/>
  <c r="BK343" i="7" s="1"/>
  <c r="BA343" i="7"/>
  <c r="AZ343" i="7" s="1"/>
  <c r="AP343" i="7"/>
  <c r="AO343" i="7" s="1"/>
  <c r="AD343" i="7"/>
  <c r="BK342" i="7"/>
  <c r="AZ342" i="7"/>
  <c r="AO342" i="7"/>
  <c r="AD342" i="7"/>
  <c r="BK341" i="7"/>
  <c r="AZ341" i="7"/>
  <c r="AO341" i="7"/>
  <c r="AE341" i="7"/>
  <c r="AD341" i="7" s="1"/>
  <c r="BK340" i="7"/>
  <c r="AZ340" i="7"/>
  <c r="AO340" i="7"/>
  <c r="AN340" i="7"/>
  <c r="AN327" i="7" s="1"/>
  <c r="AN303" i="7" s="1"/>
  <c r="BK339" i="7"/>
  <c r="AZ339" i="7"/>
  <c r="AP339" i="7"/>
  <c r="AO339" i="7" s="1"/>
  <c r="AD339" i="7"/>
  <c r="BK338" i="7"/>
  <c r="BA338" i="7"/>
  <c r="AZ338" i="7" s="1"/>
  <c r="AP338" i="7"/>
  <c r="AD338" i="7"/>
  <c r="BK337" i="7"/>
  <c r="AZ337" i="7"/>
  <c r="AP337" i="7"/>
  <c r="AO337" i="7" s="1"/>
  <c r="AE337" i="7"/>
  <c r="AD337" i="7" s="1"/>
  <c r="BK336" i="7"/>
  <c r="AZ336" i="7"/>
  <c r="AP336" i="7"/>
  <c r="AO336" i="7" s="1"/>
  <c r="AD336" i="7"/>
  <c r="BK335" i="7"/>
  <c r="AZ335" i="7"/>
  <c r="AO335" i="7"/>
  <c r="AE335" i="7"/>
  <c r="BL334" i="7"/>
  <c r="BK334" i="7" s="1"/>
  <c r="BA334" i="7"/>
  <c r="AZ334" i="7" s="1"/>
  <c r="AP334" i="7"/>
  <c r="AO334" i="7" s="1"/>
  <c r="AD334" i="7"/>
  <c r="BL333" i="7"/>
  <c r="BA333" i="7"/>
  <c r="AZ333" i="7" s="1"/>
  <c r="AP333" i="7"/>
  <c r="AO333" i="7" s="1"/>
  <c r="AD333" i="7"/>
  <c r="BK332" i="7"/>
  <c r="AZ332" i="7"/>
  <c r="AO332" i="7"/>
  <c r="AE332" i="7"/>
  <c r="AD332" i="7" s="1"/>
  <c r="BL331" i="7"/>
  <c r="BA331" i="7"/>
  <c r="AP331" i="7"/>
  <c r="AE331" i="7"/>
  <c r="BK326" i="7"/>
  <c r="AZ326" i="7"/>
  <c r="AP326" i="7"/>
  <c r="AO326" i="7" s="1"/>
  <c r="AD326" i="7"/>
  <c r="BK321" i="7"/>
  <c r="AZ321" i="7"/>
  <c r="AO321" i="7"/>
  <c r="AD321" i="7"/>
  <c r="BL320" i="7"/>
  <c r="BK320" i="7" s="1"/>
  <c r="BA320" i="7"/>
  <c r="AZ320" i="7" s="1"/>
  <c r="AP320" i="7"/>
  <c r="AO320" i="7" s="1"/>
  <c r="AD320" i="7"/>
  <c r="BK319" i="7"/>
  <c r="BA319" i="7"/>
  <c r="AZ319" i="7" s="1"/>
  <c r="AP319" i="7"/>
  <c r="AO319" i="7" s="1"/>
  <c r="AE319" i="7"/>
  <c r="AD319" i="7" s="1"/>
  <c r="BL316" i="7"/>
  <c r="BK316" i="7" s="1"/>
  <c r="BA316" i="7"/>
  <c r="AZ316" i="7" s="1"/>
  <c r="AP316" i="7"/>
  <c r="AE316" i="7"/>
  <c r="AD316" i="7" s="1"/>
  <c r="BL315" i="7"/>
  <c r="BK315" i="7" s="1"/>
  <c r="BA315" i="7"/>
  <c r="AZ315" i="7" s="1"/>
  <c r="AP315" i="7"/>
  <c r="AE315" i="7"/>
  <c r="BK314" i="7"/>
  <c r="AZ314" i="7"/>
  <c r="AO314" i="7"/>
  <c r="AD314" i="7"/>
  <c r="BL313" i="7"/>
  <c r="BA313" i="7"/>
  <c r="AO313" i="7"/>
  <c r="AD313" i="7"/>
  <c r="BK312" i="7"/>
  <c r="AZ312" i="7"/>
  <c r="AO312" i="7"/>
  <c r="AD312" i="7"/>
  <c r="BK310" i="7"/>
  <c r="AZ310" i="7"/>
  <c r="AO310" i="7"/>
  <c r="AD310" i="7"/>
  <c r="BL121" i="7"/>
  <c r="BA121" i="7"/>
  <c r="AP121" i="7"/>
  <c r="AD121" i="7"/>
  <c r="BK308" i="7"/>
  <c r="AZ308" i="7"/>
  <c r="AO308" i="7"/>
  <c r="AE308" i="7"/>
  <c r="BK307" i="7"/>
  <c r="AZ307" i="7"/>
  <c r="AO307" i="7"/>
  <c r="AD307" i="7"/>
  <c r="BK306" i="7"/>
  <c r="AZ306" i="7"/>
  <c r="AO306" i="7"/>
  <c r="AD306" i="7"/>
  <c r="BL305" i="7"/>
  <c r="BA305" i="7"/>
  <c r="AP305" i="7"/>
  <c r="AP304" i="7" s="1"/>
  <c r="BL302" i="7"/>
  <c r="BK302" i="7" s="1"/>
  <c r="BA302" i="7"/>
  <c r="AZ302" i="7" s="1"/>
  <c r="AO302" i="7"/>
  <c r="AD302" i="7"/>
  <c r="BL301" i="7"/>
  <c r="BA301" i="7"/>
  <c r="AZ301" i="7" s="1"/>
  <c r="AO301" i="7"/>
  <c r="AE301" i="7"/>
  <c r="BK300" i="7"/>
  <c r="BA300" i="7"/>
  <c r="AO300" i="7"/>
  <c r="AD300" i="7"/>
  <c r="BK298" i="7"/>
  <c r="AZ298" i="7"/>
  <c r="AO298" i="7"/>
  <c r="AD298" i="7"/>
  <c r="BK297" i="7"/>
  <c r="AZ297" i="7"/>
  <c r="AO297" i="7"/>
  <c r="AD297" i="7"/>
  <c r="BK296" i="7"/>
  <c r="AZ296" i="7"/>
  <c r="AO296" i="7"/>
  <c r="AD296" i="7"/>
  <c r="BK295" i="7"/>
  <c r="AZ295" i="7"/>
  <c r="AO295" i="7"/>
  <c r="AD295" i="7"/>
  <c r="BK294" i="7"/>
  <c r="AZ294" i="7"/>
  <c r="AO294" i="7"/>
  <c r="AD294" i="7"/>
  <c r="BK293" i="7"/>
  <c r="AZ293" i="7"/>
  <c r="AO293" i="7"/>
  <c r="AD293" i="7"/>
  <c r="BK291" i="7"/>
  <c r="AZ291" i="7"/>
  <c r="AO291" i="7"/>
  <c r="AD291" i="7"/>
  <c r="BK290" i="7"/>
  <c r="AZ290" i="7"/>
  <c r="AO290" i="7"/>
  <c r="AD290" i="7"/>
  <c r="BK289" i="7"/>
  <c r="AZ289" i="7"/>
  <c r="AO289" i="7"/>
  <c r="AD289" i="7"/>
  <c r="BK288" i="7"/>
  <c r="AZ288" i="7"/>
  <c r="AO288" i="7"/>
  <c r="AD288" i="7"/>
  <c r="BK287" i="7"/>
  <c r="AZ287" i="7"/>
  <c r="AO287" i="7"/>
  <c r="AD287" i="7"/>
  <c r="BK286" i="7"/>
  <c r="AZ286" i="7"/>
  <c r="AO286" i="7"/>
  <c r="AD286" i="7"/>
  <c r="BK285" i="7"/>
  <c r="AZ285" i="7"/>
  <c r="AO285" i="7"/>
  <c r="AD285" i="7"/>
  <c r="BK283" i="7"/>
  <c r="AZ283" i="7"/>
  <c r="AO283" i="7"/>
  <c r="AD283" i="7"/>
  <c r="BK282" i="7"/>
  <c r="AZ282" i="7"/>
  <c r="AO282" i="7"/>
  <c r="AD282" i="7"/>
  <c r="BK281" i="7"/>
  <c r="AZ281" i="7"/>
  <c r="AO281" i="7"/>
  <c r="AD281" i="7"/>
  <c r="BK279" i="7"/>
  <c r="AZ279" i="7"/>
  <c r="AO279" i="7"/>
  <c r="AD279" i="7"/>
  <c r="BK278" i="7"/>
  <c r="AZ278" i="7"/>
  <c r="AO278" i="7"/>
  <c r="AD278" i="7"/>
  <c r="BK277" i="7"/>
  <c r="AZ277" i="7"/>
  <c r="AO277" i="7"/>
  <c r="AD277" i="7"/>
  <c r="BK276" i="7"/>
  <c r="AZ276" i="7"/>
  <c r="AO276" i="7"/>
  <c r="AD276" i="7"/>
  <c r="BK275" i="7"/>
  <c r="BA275" i="7"/>
  <c r="AZ275" i="7" s="1"/>
  <c r="AO275" i="7"/>
  <c r="AK275" i="7"/>
  <c r="AD275" i="7" s="1"/>
  <c r="BU274" i="7"/>
  <c r="BT274" i="7"/>
  <c r="BS274" i="7"/>
  <c r="BR274" i="7"/>
  <c r="BQ274" i="7"/>
  <c r="BP274" i="7"/>
  <c r="BO274" i="7"/>
  <c r="BN274" i="7"/>
  <c r="BM274" i="7"/>
  <c r="BL274" i="7"/>
  <c r="BJ274" i="7"/>
  <c r="BI274" i="7"/>
  <c r="BH274" i="7"/>
  <c r="BG274" i="7"/>
  <c r="BF274" i="7"/>
  <c r="BE274" i="7"/>
  <c r="BD274" i="7"/>
  <c r="BC274" i="7"/>
  <c r="BB274" i="7"/>
  <c r="AY274" i="7"/>
  <c r="AX274" i="7"/>
  <c r="AW274" i="7"/>
  <c r="AV274" i="7"/>
  <c r="AU274" i="7"/>
  <c r="AT274" i="7"/>
  <c r="AS274" i="7"/>
  <c r="AR274" i="7"/>
  <c r="AQ274" i="7"/>
  <c r="AP274" i="7"/>
  <c r="AN274" i="7"/>
  <c r="AM274" i="7"/>
  <c r="AL274" i="7"/>
  <c r="AJ274" i="7"/>
  <c r="AI274" i="7"/>
  <c r="AH274" i="7"/>
  <c r="AG274" i="7"/>
  <c r="AF274" i="7"/>
  <c r="AE274" i="7"/>
  <c r="BK273" i="7"/>
  <c r="AZ273" i="7"/>
  <c r="AO273" i="7"/>
  <c r="AD273" i="7"/>
  <c r="BK272" i="7"/>
  <c r="AZ272" i="7"/>
  <c r="AO272" i="7"/>
  <c r="AD272" i="7"/>
  <c r="BU271" i="7"/>
  <c r="BT271" i="7"/>
  <c r="BS271" i="7"/>
  <c r="BR271" i="7"/>
  <c r="BQ271" i="7"/>
  <c r="BP271" i="7"/>
  <c r="BO271" i="7"/>
  <c r="BN271" i="7"/>
  <c r="BM271" i="7"/>
  <c r="BL271" i="7"/>
  <c r="BJ271" i="7"/>
  <c r="BI271" i="7"/>
  <c r="BH271" i="7"/>
  <c r="BG271" i="7"/>
  <c r="BF271" i="7"/>
  <c r="BE271" i="7"/>
  <c r="BD271" i="7"/>
  <c r="BC271" i="7"/>
  <c r="BB271" i="7"/>
  <c r="BA271" i="7"/>
  <c r="AY271" i="7"/>
  <c r="AX271" i="7"/>
  <c r="AW271" i="7"/>
  <c r="AV271" i="7"/>
  <c r="AU271" i="7"/>
  <c r="AT271" i="7"/>
  <c r="AS271" i="7"/>
  <c r="AR271" i="7"/>
  <c r="AQ271" i="7"/>
  <c r="AP271" i="7"/>
  <c r="AN271" i="7"/>
  <c r="AM271" i="7"/>
  <c r="AL271" i="7"/>
  <c r="AK271" i="7"/>
  <c r="AJ271" i="7"/>
  <c r="AI271" i="7"/>
  <c r="AH271" i="7"/>
  <c r="AG271" i="7"/>
  <c r="AF271" i="7"/>
  <c r="AE271" i="7"/>
  <c r="BK270" i="7"/>
  <c r="AZ270" i="7"/>
  <c r="AO270" i="7"/>
  <c r="AF270" i="7"/>
  <c r="AD270" i="7" s="1"/>
  <c r="BK269" i="7"/>
  <c r="AZ269" i="7"/>
  <c r="AO269" i="7"/>
  <c r="AD269" i="7"/>
  <c r="BK268" i="7"/>
  <c r="AZ268" i="7"/>
  <c r="AO268" i="7"/>
  <c r="AD268" i="7"/>
  <c r="BK267" i="7"/>
  <c r="AZ267" i="7"/>
  <c r="AO267" i="7"/>
  <c r="AE267" i="7"/>
  <c r="BK266" i="7"/>
  <c r="AZ266" i="7"/>
  <c r="AO266" i="7"/>
  <c r="AD266" i="7"/>
  <c r="BK265" i="7"/>
  <c r="AZ265" i="7"/>
  <c r="AO265" i="7"/>
  <c r="AE265" i="7"/>
  <c r="AD265" i="7" s="1"/>
  <c r="BK264" i="7"/>
  <c r="AZ264" i="7"/>
  <c r="AO264" i="7"/>
  <c r="AD264" i="7"/>
  <c r="BU263" i="7"/>
  <c r="BT263" i="7"/>
  <c r="BS263" i="7"/>
  <c r="BR263" i="7"/>
  <c r="BQ263" i="7"/>
  <c r="BP263" i="7"/>
  <c r="BO263" i="7"/>
  <c r="BN263" i="7"/>
  <c r="BM263" i="7"/>
  <c r="BL263" i="7"/>
  <c r="BJ263" i="7"/>
  <c r="BI263" i="7"/>
  <c r="BH263" i="7"/>
  <c r="BG263" i="7"/>
  <c r="BF263" i="7"/>
  <c r="BE263" i="7"/>
  <c r="BD263" i="7"/>
  <c r="BC263" i="7"/>
  <c r="BB263" i="7"/>
  <c r="BA263" i="7"/>
  <c r="AY263" i="7"/>
  <c r="AX263" i="7"/>
  <c r="AW263" i="7"/>
  <c r="AV263" i="7"/>
  <c r="AU263" i="7"/>
  <c r="AT263" i="7"/>
  <c r="AS263" i="7"/>
  <c r="AR263" i="7"/>
  <c r="AQ263" i="7"/>
  <c r="AP263" i="7"/>
  <c r="AN263" i="7"/>
  <c r="AM263" i="7"/>
  <c r="AL263" i="7"/>
  <c r="AK263" i="7"/>
  <c r="AJ263" i="7"/>
  <c r="AI263" i="7"/>
  <c r="AH263" i="7"/>
  <c r="AG263" i="7"/>
  <c r="BK262" i="7"/>
  <c r="AZ262" i="7"/>
  <c r="AO262" i="7"/>
  <c r="AD262" i="7"/>
  <c r="BK261" i="7"/>
  <c r="AZ261" i="7"/>
  <c r="AO261" i="7"/>
  <c r="AD261" i="7"/>
  <c r="BU260" i="7"/>
  <c r="BT260" i="7"/>
  <c r="BS260" i="7"/>
  <c r="BR260" i="7"/>
  <c r="BQ260" i="7"/>
  <c r="BP260" i="7"/>
  <c r="BO260" i="7"/>
  <c r="BN260" i="7"/>
  <c r="BM260" i="7"/>
  <c r="BL260" i="7"/>
  <c r="BJ260" i="7"/>
  <c r="BI260" i="7"/>
  <c r="BH260" i="7"/>
  <c r="BG260" i="7"/>
  <c r="BF260" i="7"/>
  <c r="BE260" i="7"/>
  <c r="BD260" i="7"/>
  <c r="BC260" i="7"/>
  <c r="BB260" i="7"/>
  <c r="BA260" i="7"/>
  <c r="AY260" i="7"/>
  <c r="AX260" i="7"/>
  <c r="AW260" i="7"/>
  <c r="AV260" i="7"/>
  <c r="AU260" i="7"/>
  <c r="AT260" i="7"/>
  <c r="AS260" i="7"/>
  <c r="AR260" i="7"/>
  <c r="AQ260" i="7"/>
  <c r="AP260" i="7"/>
  <c r="AN260" i="7"/>
  <c r="AM260" i="7"/>
  <c r="AL260" i="7"/>
  <c r="AK260" i="7"/>
  <c r="AJ260" i="7"/>
  <c r="AI260" i="7"/>
  <c r="AH260" i="7"/>
  <c r="AG260" i="7"/>
  <c r="AF260" i="7"/>
  <c r="AE260" i="7"/>
  <c r="BK259" i="7"/>
  <c r="AZ259" i="7"/>
  <c r="AO259" i="7"/>
  <c r="AD259" i="7"/>
  <c r="BK258" i="7"/>
  <c r="AZ258" i="7"/>
  <c r="AO258" i="7"/>
  <c r="AD258" i="7"/>
  <c r="BK257" i="7"/>
  <c r="AZ257" i="7"/>
  <c r="AO257" i="7"/>
  <c r="AD257" i="7"/>
  <c r="BK256" i="7"/>
  <c r="AZ256" i="7"/>
  <c r="AO256" i="7"/>
  <c r="AD256" i="7"/>
  <c r="BU255" i="7"/>
  <c r="BT255" i="7"/>
  <c r="BS255" i="7"/>
  <c r="BR255" i="7"/>
  <c r="BQ255" i="7"/>
  <c r="BP255" i="7"/>
  <c r="BO255" i="7"/>
  <c r="BN255" i="7"/>
  <c r="BM255" i="7"/>
  <c r="BL255" i="7"/>
  <c r="BJ255" i="7"/>
  <c r="BI255" i="7"/>
  <c r="BH255" i="7"/>
  <c r="BG255" i="7"/>
  <c r="BF255" i="7"/>
  <c r="BE255" i="7"/>
  <c r="BD255" i="7"/>
  <c r="BC255" i="7"/>
  <c r="BB255" i="7"/>
  <c r="BA255" i="7"/>
  <c r="AY255" i="7"/>
  <c r="AX255" i="7"/>
  <c r="AW255" i="7"/>
  <c r="AV255" i="7"/>
  <c r="AU255" i="7"/>
  <c r="AT255" i="7"/>
  <c r="AS255" i="7"/>
  <c r="AR255" i="7"/>
  <c r="AQ255" i="7"/>
  <c r="AP255" i="7"/>
  <c r="AN255" i="7"/>
  <c r="AM255" i="7"/>
  <c r="AL255" i="7"/>
  <c r="AK255" i="7"/>
  <c r="AJ255" i="7"/>
  <c r="AI255" i="7"/>
  <c r="AH255" i="7"/>
  <c r="AG255" i="7"/>
  <c r="AF255" i="7"/>
  <c r="AE255" i="7"/>
  <c r="BK254" i="7"/>
  <c r="AZ254" i="7"/>
  <c r="AO254" i="7"/>
  <c r="AD254" i="7"/>
  <c r="BM251" i="7"/>
  <c r="BK251" i="7" s="1"/>
  <c r="BB251" i="7"/>
  <c r="AZ251" i="7" s="1"/>
  <c r="AQ251" i="7"/>
  <c r="AO251" i="7" s="1"/>
  <c r="AK251" i="7"/>
  <c r="AK249" i="7" s="1"/>
  <c r="BK250" i="7"/>
  <c r="AZ250" i="7"/>
  <c r="AO250" i="7"/>
  <c r="AD250" i="7"/>
  <c r="BU249" i="7"/>
  <c r="BT249" i="7"/>
  <c r="BS249" i="7"/>
  <c r="BR249" i="7"/>
  <c r="BQ249" i="7"/>
  <c r="BP249" i="7"/>
  <c r="BO249" i="7"/>
  <c r="BN249" i="7"/>
  <c r="BL249" i="7"/>
  <c r="BJ249" i="7"/>
  <c r="BI249" i="7"/>
  <c r="BH249" i="7"/>
  <c r="BG249" i="7"/>
  <c r="BF249" i="7"/>
  <c r="BE249" i="7"/>
  <c r="BD249" i="7"/>
  <c r="BC249" i="7"/>
  <c r="BA249" i="7"/>
  <c r="AY249" i="7"/>
  <c r="AX249" i="7"/>
  <c r="AW249" i="7"/>
  <c r="AV249" i="7"/>
  <c r="AU249" i="7"/>
  <c r="AT249" i="7"/>
  <c r="AS249" i="7"/>
  <c r="AR249" i="7"/>
  <c r="AP249" i="7"/>
  <c r="AN249" i="7"/>
  <c r="AM249" i="7"/>
  <c r="AL249" i="7"/>
  <c r="AJ249" i="7"/>
  <c r="AI249" i="7"/>
  <c r="AH249" i="7"/>
  <c r="AG249" i="7"/>
  <c r="AF249" i="7"/>
  <c r="BK247" i="7"/>
  <c r="AZ247" i="7"/>
  <c r="AO247" i="7"/>
  <c r="AD247" i="7"/>
  <c r="BK246" i="7"/>
  <c r="AZ246" i="7"/>
  <c r="AO246" i="7"/>
  <c r="AD246" i="7"/>
  <c r="BU245" i="7"/>
  <c r="BT245" i="7"/>
  <c r="BS245" i="7"/>
  <c r="BR245" i="7"/>
  <c r="BQ245" i="7"/>
  <c r="BP245" i="7"/>
  <c r="BO245" i="7"/>
  <c r="BN245" i="7"/>
  <c r="BM245" i="7"/>
  <c r="BL245" i="7"/>
  <c r="BJ245" i="7"/>
  <c r="BI245" i="7"/>
  <c r="BH245" i="7"/>
  <c r="BG245" i="7"/>
  <c r="BF245" i="7"/>
  <c r="BE245" i="7"/>
  <c r="BD245" i="7"/>
  <c r="BC245" i="7"/>
  <c r="BB245" i="7"/>
  <c r="BA245" i="7"/>
  <c r="AY245" i="7"/>
  <c r="AX245" i="7"/>
  <c r="AW245" i="7"/>
  <c r="AV245" i="7"/>
  <c r="AU245" i="7"/>
  <c r="AT245" i="7"/>
  <c r="AS245" i="7"/>
  <c r="AR245" i="7"/>
  <c r="AQ245" i="7"/>
  <c r="AP245" i="7"/>
  <c r="AN245" i="7"/>
  <c r="AM245" i="7"/>
  <c r="AL245" i="7"/>
  <c r="AK245" i="7"/>
  <c r="AJ245" i="7"/>
  <c r="AI245" i="7"/>
  <c r="AH245" i="7"/>
  <c r="AG245" i="7"/>
  <c r="AF245" i="7"/>
  <c r="AE245" i="7"/>
  <c r="BK244" i="7"/>
  <c r="AZ244" i="7"/>
  <c r="AO244" i="7"/>
  <c r="BK243" i="7"/>
  <c r="AZ243" i="7"/>
  <c r="AO243" i="7"/>
  <c r="BK242" i="7"/>
  <c r="AZ242" i="7"/>
  <c r="AO242" i="7"/>
  <c r="AD242" i="7"/>
  <c r="AD241" i="7" s="1"/>
  <c r="BU241" i="7"/>
  <c r="BT241" i="7"/>
  <c r="BS241" i="7"/>
  <c r="BR241" i="7"/>
  <c r="BQ241" i="7"/>
  <c r="BP241" i="7"/>
  <c r="BO241" i="7"/>
  <c r="BN241" i="7"/>
  <c r="BM241" i="7"/>
  <c r="BL241" i="7"/>
  <c r="BJ241" i="7"/>
  <c r="BI241" i="7"/>
  <c r="BH241" i="7"/>
  <c r="BG241" i="7"/>
  <c r="BF241" i="7"/>
  <c r="BE241" i="7"/>
  <c r="BD241" i="7"/>
  <c r="BC241" i="7"/>
  <c r="BB241" i="7"/>
  <c r="BA241" i="7"/>
  <c r="AY241" i="7"/>
  <c r="AX241" i="7"/>
  <c r="AW241" i="7"/>
  <c r="AV241" i="7"/>
  <c r="AU241" i="7"/>
  <c r="AT241" i="7"/>
  <c r="AS241" i="7"/>
  <c r="AR241" i="7"/>
  <c r="AQ241" i="7"/>
  <c r="AP241" i="7"/>
  <c r="AN241" i="7"/>
  <c r="AM241" i="7"/>
  <c r="AL241" i="7"/>
  <c r="AK241" i="7"/>
  <c r="AJ241" i="7"/>
  <c r="AI241" i="7"/>
  <c r="AH241" i="7"/>
  <c r="AG241" i="7"/>
  <c r="AF241" i="7"/>
  <c r="AE241" i="7"/>
  <c r="BK240" i="7"/>
  <c r="AZ240" i="7"/>
  <c r="AO240" i="7"/>
  <c r="AD240" i="7"/>
  <c r="BK239" i="7"/>
  <c r="AZ239" i="7"/>
  <c r="AO239" i="7"/>
  <c r="AD239" i="7"/>
  <c r="BU238" i="7"/>
  <c r="BT238" i="7"/>
  <c r="BS238" i="7"/>
  <c r="BR238" i="7"/>
  <c r="BQ238" i="7"/>
  <c r="BP238" i="7"/>
  <c r="BO238" i="7"/>
  <c r="BN238" i="7"/>
  <c r="BM238" i="7"/>
  <c r="BL238" i="7"/>
  <c r="BJ238" i="7"/>
  <c r="BI238" i="7"/>
  <c r="BH238" i="7"/>
  <c r="BG238" i="7"/>
  <c r="BF238" i="7"/>
  <c r="BE238" i="7"/>
  <c r="BD238" i="7"/>
  <c r="BC238" i="7"/>
  <c r="BB238" i="7"/>
  <c r="BA238" i="7"/>
  <c r="AY238" i="7"/>
  <c r="AX238" i="7"/>
  <c r="AW238" i="7"/>
  <c r="AV238" i="7"/>
  <c r="AU238" i="7"/>
  <c r="AT238" i="7"/>
  <c r="AS238" i="7"/>
  <c r="AR238" i="7"/>
  <c r="AQ238" i="7"/>
  <c r="AP238" i="7"/>
  <c r="AN238" i="7"/>
  <c r="AM238" i="7"/>
  <c r="AL238" i="7"/>
  <c r="AK238" i="7"/>
  <c r="AJ238" i="7"/>
  <c r="AI238" i="7"/>
  <c r="AH238" i="7"/>
  <c r="AG238" i="7"/>
  <c r="AF238" i="7"/>
  <c r="AE238" i="7"/>
  <c r="BK237" i="7"/>
  <c r="BK236" i="7" s="1"/>
  <c r="AZ237" i="7"/>
  <c r="AZ236" i="7" s="1"/>
  <c r="AO237" i="7"/>
  <c r="AO236" i="7" s="1"/>
  <c r="AD237" i="7"/>
  <c r="AD236" i="7" s="1"/>
  <c r="BU236" i="7"/>
  <c r="BT236" i="7"/>
  <c r="BS236" i="7"/>
  <c r="BR236" i="7"/>
  <c r="BQ236" i="7"/>
  <c r="BP236" i="7"/>
  <c r="BO236" i="7"/>
  <c r="BN236" i="7"/>
  <c r="BM236" i="7"/>
  <c r="BL236" i="7"/>
  <c r="BJ236" i="7"/>
  <c r="BI236" i="7"/>
  <c r="BH236" i="7"/>
  <c r="BG236" i="7"/>
  <c r="BF236" i="7"/>
  <c r="BE236" i="7"/>
  <c r="BD236" i="7"/>
  <c r="BC236" i="7"/>
  <c r="BB236" i="7"/>
  <c r="BA236" i="7"/>
  <c r="AY236" i="7"/>
  <c r="AX236" i="7"/>
  <c r="AW236" i="7"/>
  <c r="AV236" i="7"/>
  <c r="AU236" i="7"/>
  <c r="AT236" i="7"/>
  <c r="AS236" i="7"/>
  <c r="AR236" i="7"/>
  <c r="AQ236" i="7"/>
  <c r="AP236" i="7"/>
  <c r="AN236" i="7"/>
  <c r="AM236" i="7"/>
  <c r="AL236" i="7"/>
  <c r="AK236" i="7"/>
  <c r="AJ236" i="7"/>
  <c r="AI236" i="7"/>
  <c r="AH236" i="7"/>
  <c r="AG236" i="7"/>
  <c r="AF236" i="7"/>
  <c r="AE236" i="7"/>
  <c r="BK235" i="7"/>
  <c r="AZ235" i="7"/>
  <c r="AO235" i="7"/>
  <c r="AD235" i="7"/>
  <c r="BK234" i="7"/>
  <c r="AZ234" i="7"/>
  <c r="AO234" i="7"/>
  <c r="AD234" i="7"/>
  <c r="BK233" i="7"/>
  <c r="AZ233" i="7"/>
  <c r="AO233" i="7"/>
  <c r="AD233" i="7"/>
  <c r="BK232" i="7"/>
  <c r="AZ232" i="7"/>
  <c r="AO232" i="7"/>
  <c r="AE232" i="7"/>
  <c r="BU231" i="7"/>
  <c r="BT231" i="7"/>
  <c r="BS231" i="7"/>
  <c r="BR231" i="7"/>
  <c r="BQ231" i="7"/>
  <c r="BP231" i="7"/>
  <c r="BO231" i="7"/>
  <c r="BN231" i="7"/>
  <c r="BM231" i="7"/>
  <c r="BL231" i="7"/>
  <c r="BJ231" i="7"/>
  <c r="BI231" i="7"/>
  <c r="BH231" i="7"/>
  <c r="BG231" i="7"/>
  <c r="BF231" i="7"/>
  <c r="BE231" i="7"/>
  <c r="BD231" i="7"/>
  <c r="BC231" i="7"/>
  <c r="BB231" i="7"/>
  <c r="BA231" i="7"/>
  <c r="AY231" i="7"/>
  <c r="AX231" i="7"/>
  <c r="AW231" i="7"/>
  <c r="AV231" i="7"/>
  <c r="AU231" i="7"/>
  <c r="AT231" i="7"/>
  <c r="AS231" i="7"/>
  <c r="AR231" i="7"/>
  <c r="AQ231" i="7"/>
  <c r="AP231" i="7"/>
  <c r="AN231" i="7"/>
  <c r="AM231" i="7"/>
  <c r="AL231" i="7"/>
  <c r="AK231" i="7"/>
  <c r="AJ231" i="7"/>
  <c r="AI231" i="7"/>
  <c r="AH231" i="7"/>
  <c r="AG231" i="7"/>
  <c r="AF231" i="7"/>
  <c r="BK230" i="7"/>
  <c r="AZ230" i="7"/>
  <c r="AO230" i="7"/>
  <c r="AD230" i="7"/>
  <c r="BK229" i="7"/>
  <c r="AZ229" i="7"/>
  <c r="AO229" i="7"/>
  <c r="AE229" i="7"/>
  <c r="AD229" i="7" s="1"/>
  <c r="BK228" i="7"/>
  <c r="AZ228" i="7"/>
  <c r="AO228" i="7"/>
  <c r="AD228" i="7"/>
  <c r="BK227" i="7"/>
  <c r="AZ227" i="7"/>
  <c r="AO227" i="7"/>
  <c r="AE227" i="7"/>
  <c r="AD227" i="7" s="1"/>
  <c r="BK226" i="7"/>
  <c r="AZ226" i="7"/>
  <c r="AO226" i="7"/>
  <c r="AD226" i="7"/>
  <c r="AZ225" i="7"/>
  <c r="AO225" i="7"/>
  <c r="AD225" i="7"/>
  <c r="BK224" i="7"/>
  <c r="AZ224" i="7"/>
  <c r="AO224" i="7"/>
  <c r="AD224" i="7"/>
  <c r="BL223" i="7"/>
  <c r="BK223" i="7" s="1"/>
  <c r="BA223" i="7"/>
  <c r="AZ223" i="7" s="1"/>
  <c r="AP223" i="7"/>
  <c r="AO223" i="7" s="1"/>
  <c r="AE223" i="7"/>
  <c r="AC223" i="7"/>
  <c r="AB223" i="7"/>
  <c r="AA223" i="7"/>
  <c r="Z223" i="7"/>
  <c r="Y223" i="7"/>
  <c r="BK222" i="7"/>
  <c r="AZ222" i="7"/>
  <c r="AO222" i="7"/>
  <c r="AD222" i="7"/>
  <c r="BU221" i="7"/>
  <c r="BT221" i="7"/>
  <c r="BS221" i="7"/>
  <c r="BR221" i="7"/>
  <c r="BQ221" i="7"/>
  <c r="BP221" i="7"/>
  <c r="BO221" i="7"/>
  <c r="BN221" i="7"/>
  <c r="BM221" i="7"/>
  <c r="BJ221" i="7"/>
  <c r="BI221" i="7"/>
  <c r="BH221" i="7"/>
  <c r="BG221" i="7"/>
  <c r="BF221" i="7"/>
  <c r="BE221" i="7"/>
  <c r="BD221" i="7"/>
  <c r="BC221" i="7"/>
  <c r="BB221" i="7"/>
  <c r="AY221" i="7"/>
  <c r="AX221" i="7"/>
  <c r="AW221" i="7"/>
  <c r="AV221" i="7"/>
  <c r="AU221" i="7"/>
  <c r="AT221" i="7"/>
  <c r="AS221" i="7"/>
  <c r="AR221" i="7"/>
  <c r="AQ221" i="7"/>
  <c r="AN221" i="7"/>
  <c r="AM221" i="7"/>
  <c r="AL221" i="7"/>
  <c r="AK221" i="7"/>
  <c r="AJ221" i="7"/>
  <c r="AI221" i="7"/>
  <c r="AH221" i="7"/>
  <c r="AG221" i="7"/>
  <c r="AF221" i="7"/>
  <c r="BK220" i="7"/>
  <c r="BK219" i="7" s="1"/>
  <c r="AZ220" i="7"/>
  <c r="AZ219" i="7" s="1"/>
  <c r="AO220" i="7"/>
  <c r="AO219" i="7" s="1"/>
  <c r="AD220" i="7"/>
  <c r="BU219" i="7"/>
  <c r="BT219" i="7"/>
  <c r="BS219" i="7"/>
  <c r="BR219" i="7"/>
  <c r="BQ219" i="7"/>
  <c r="BP219" i="7"/>
  <c r="BO219" i="7"/>
  <c r="BN219" i="7"/>
  <c r="BM219" i="7"/>
  <c r="BL219" i="7"/>
  <c r="BJ219" i="7"/>
  <c r="BI219" i="7"/>
  <c r="BH219" i="7"/>
  <c r="BG219" i="7"/>
  <c r="BF219" i="7"/>
  <c r="BE219" i="7"/>
  <c r="BD219" i="7"/>
  <c r="BC219" i="7"/>
  <c r="BB219" i="7"/>
  <c r="BA219" i="7"/>
  <c r="AY219" i="7"/>
  <c r="AX219" i="7"/>
  <c r="AW219" i="7"/>
  <c r="AV219" i="7"/>
  <c r="AU219" i="7"/>
  <c r="AT219" i="7"/>
  <c r="AS219" i="7"/>
  <c r="AR219" i="7"/>
  <c r="AQ219" i="7"/>
  <c r="AP219" i="7"/>
  <c r="AN219" i="7"/>
  <c r="AM219" i="7"/>
  <c r="AL219" i="7"/>
  <c r="AK219" i="7"/>
  <c r="AJ219" i="7"/>
  <c r="AI219" i="7"/>
  <c r="AH219" i="7"/>
  <c r="AG219" i="7"/>
  <c r="AF219" i="7"/>
  <c r="AE219" i="7"/>
  <c r="BK218" i="7"/>
  <c r="AZ218" i="7"/>
  <c r="AO218" i="7"/>
  <c r="AD218" i="7"/>
  <c r="BK217" i="7"/>
  <c r="AZ217" i="7"/>
  <c r="AO217" i="7"/>
  <c r="AE217" i="7"/>
  <c r="BK216" i="7"/>
  <c r="AZ216" i="7"/>
  <c r="AO216" i="7"/>
  <c r="AE216" i="7"/>
  <c r="AD216" i="7" s="1"/>
  <c r="BK215" i="7"/>
  <c r="AZ215" i="7"/>
  <c r="AO215" i="7"/>
  <c r="AD215" i="7"/>
  <c r="BK214" i="7"/>
  <c r="AZ214" i="7"/>
  <c r="AO214" i="7"/>
  <c r="AE214" i="7"/>
  <c r="AD214" i="7" s="1"/>
  <c r="BU213" i="7"/>
  <c r="BT213" i="7"/>
  <c r="BS213" i="7"/>
  <c r="BR213" i="7"/>
  <c r="BQ213" i="7"/>
  <c r="BP213" i="7"/>
  <c r="BO213" i="7"/>
  <c r="BN213" i="7"/>
  <c r="BM213" i="7"/>
  <c r="BL213" i="7"/>
  <c r="BJ213" i="7"/>
  <c r="BI213" i="7"/>
  <c r="BH213" i="7"/>
  <c r="BG213" i="7"/>
  <c r="BF213" i="7"/>
  <c r="BE213" i="7"/>
  <c r="BD213" i="7"/>
  <c r="BC213" i="7"/>
  <c r="BB213" i="7"/>
  <c r="BA213" i="7"/>
  <c r="AY213" i="7"/>
  <c r="AX213" i="7"/>
  <c r="AW213" i="7"/>
  <c r="AV213" i="7"/>
  <c r="AU213" i="7"/>
  <c r="AT213" i="7"/>
  <c r="AS213" i="7"/>
  <c r="AR213" i="7"/>
  <c r="AQ213" i="7"/>
  <c r="AP213" i="7"/>
  <c r="AN213" i="7"/>
  <c r="AM213" i="7"/>
  <c r="AL213" i="7"/>
  <c r="AK213" i="7"/>
  <c r="AJ213" i="7"/>
  <c r="AI213" i="7"/>
  <c r="AH213" i="7"/>
  <c r="AG213" i="7"/>
  <c r="AF213" i="7"/>
  <c r="BK212" i="7"/>
  <c r="AZ212" i="7"/>
  <c r="AO212" i="7"/>
  <c r="AD212" i="7"/>
  <c r="BK211" i="7"/>
  <c r="AZ211" i="7"/>
  <c r="AO211" i="7"/>
  <c r="AD211" i="7"/>
  <c r="BU210" i="7"/>
  <c r="BT210" i="7"/>
  <c r="BS210" i="7"/>
  <c r="BR210" i="7"/>
  <c r="BQ210" i="7"/>
  <c r="BP210" i="7"/>
  <c r="BO210" i="7"/>
  <c r="BN210" i="7"/>
  <c r="BM210" i="7"/>
  <c r="BL210" i="7"/>
  <c r="BJ210" i="7"/>
  <c r="BI210" i="7"/>
  <c r="BH210" i="7"/>
  <c r="BG210" i="7"/>
  <c r="BF210" i="7"/>
  <c r="BE210" i="7"/>
  <c r="BD210" i="7"/>
  <c r="BC210" i="7"/>
  <c r="BB210" i="7"/>
  <c r="BA210" i="7"/>
  <c r="AY210" i="7"/>
  <c r="AX210" i="7"/>
  <c r="AW210" i="7"/>
  <c r="AV210" i="7"/>
  <c r="AU210" i="7"/>
  <c r="AT210" i="7"/>
  <c r="AS210" i="7"/>
  <c r="AR210" i="7"/>
  <c r="AQ210" i="7"/>
  <c r="AP210" i="7"/>
  <c r="AN210" i="7"/>
  <c r="AM210" i="7"/>
  <c r="AL210" i="7"/>
  <c r="AK210" i="7"/>
  <c r="AJ210" i="7"/>
  <c r="AI210" i="7"/>
  <c r="AH210" i="7"/>
  <c r="AG210" i="7"/>
  <c r="AF210" i="7"/>
  <c r="AE210" i="7"/>
  <c r="BK209" i="7"/>
  <c r="BK208" i="7" s="1"/>
  <c r="AZ209" i="7"/>
  <c r="AZ208" i="7" s="1"/>
  <c r="AO209" i="7"/>
  <c r="AO208" i="7" s="1"/>
  <c r="AD209" i="7"/>
  <c r="AD208" i="7" s="1"/>
  <c r="BU208" i="7"/>
  <c r="BT208" i="7"/>
  <c r="BS208" i="7"/>
  <c r="BR208" i="7"/>
  <c r="BQ208" i="7"/>
  <c r="BP208" i="7"/>
  <c r="BO208" i="7"/>
  <c r="BN208" i="7"/>
  <c r="BM208" i="7"/>
  <c r="BL208" i="7"/>
  <c r="BJ208" i="7"/>
  <c r="BI208" i="7"/>
  <c r="BH208" i="7"/>
  <c r="BG208" i="7"/>
  <c r="BF208" i="7"/>
  <c r="BE208" i="7"/>
  <c r="BD208" i="7"/>
  <c r="BC208" i="7"/>
  <c r="BB208" i="7"/>
  <c r="BA208" i="7"/>
  <c r="AY208" i="7"/>
  <c r="AX208" i="7"/>
  <c r="AW208" i="7"/>
  <c r="AV208" i="7"/>
  <c r="AU208" i="7"/>
  <c r="AT208" i="7"/>
  <c r="AS208" i="7"/>
  <c r="AR208" i="7"/>
  <c r="AQ208" i="7"/>
  <c r="AP208" i="7"/>
  <c r="AN208" i="7"/>
  <c r="AM208" i="7"/>
  <c r="AL208" i="7"/>
  <c r="AK208" i="7"/>
  <c r="AJ208" i="7"/>
  <c r="AI208" i="7"/>
  <c r="AH208" i="7"/>
  <c r="AG208" i="7"/>
  <c r="AF208" i="7"/>
  <c r="AE208" i="7"/>
  <c r="BK207" i="7"/>
  <c r="BK206" i="7" s="1"/>
  <c r="AZ207" i="7"/>
  <c r="AZ206" i="7" s="1"/>
  <c r="AO207" i="7"/>
  <c r="AO206" i="7" s="1"/>
  <c r="AD207" i="7"/>
  <c r="AD206" i="7" s="1"/>
  <c r="BU206" i="7"/>
  <c r="BT206" i="7"/>
  <c r="BS206" i="7"/>
  <c r="BR206" i="7"/>
  <c r="BQ206" i="7"/>
  <c r="BP206" i="7"/>
  <c r="BO206" i="7"/>
  <c r="BN206" i="7"/>
  <c r="BM206" i="7"/>
  <c r="BL206" i="7"/>
  <c r="BJ206" i="7"/>
  <c r="BI206" i="7"/>
  <c r="BH206" i="7"/>
  <c r="BG206" i="7"/>
  <c r="BF206" i="7"/>
  <c r="BE206" i="7"/>
  <c r="BD206" i="7"/>
  <c r="BC206" i="7"/>
  <c r="BB206" i="7"/>
  <c r="BA206" i="7"/>
  <c r="AY206" i="7"/>
  <c r="AX206" i="7"/>
  <c r="AW206" i="7"/>
  <c r="AV206" i="7"/>
  <c r="AU206" i="7"/>
  <c r="AT206" i="7"/>
  <c r="AS206" i="7"/>
  <c r="AR206" i="7"/>
  <c r="AQ206" i="7"/>
  <c r="AP206" i="7"/>
  <c r="AN206" i="7"/>
  <c r="AM206" i="7"/>
  <c r="AL206" i="7"/>
  <c r="AK206" i="7"/>
  <c r="AJ206" i="7"/>
  <c r="AI206" i="7"/>
  <c r="AH206" i="7"/>
  <c r="AG206" i="7"/>
  <c r="AF206" i="7"/>
  <c r="AE206" i="7"/>
  <c r="BK205" i="7"/>
  <c r="AZ205" i="7"/>
  <c r="AO205" i="7"/>
  <c r="AD205" i="7"/>
  <c r="BK204" i="7"/>
  <c r="AZ204" i="7"/>
  <c r="AO204" i="7"/>
  <c r="AD204" i="7"/>
  <c r="BU203" i="7"/>
  <c r="BT203" i="7"/>
  <c r="BS203" i="7"/>
  <c r="BR203" i="7"/>
  <c r="BQ203" i="7"/>
  <c r="BP203" i="7"/>
  <c r="BO203" i="7"/>
  <c r="BN203" i="7"/>
  <c r="BM203" i="7"/>
  <c r="BL203" i="7"/>
  <c r="BJ203" i="7"/>
  <c r="BI203" i="7"/>
  <c r="BH203" i="7"/>
  <c r="BG203" i="7"/>
  <c r="BF203" i="7"/>
  <c r="BE203" i="7"/>
  <c r="BD203" i="7"/>
  <c r="BC203" i="7"/>
  <c r="BB203" i="7"/>
  <c r="BA203" i="7"/>
  <c r="AY203" i="7"/>
  <c r="AX203" i="7"/>
  <c r="AW203" i="7"/>
  <c r="AV203" i="7"/>
  <c r="AU203" i="7"/>
  <c r="AT203" i="7"/>
  <c r="AS203" i="7"/>
  <c r="AR203" i="7"/>
  <c r="AQ203" i="7"/>
  <c r="AP203" i="7"/>
  <c r="AN203" i="7"/>
  <c r="AM203" i="7"/>
  <c r="AL203" i="7"/>
  <c r="AK203" i="7"/>
  <c r="AJ203" i="7"/>
  <c r="AI203" i="7"/>
  <c r="AH203" i="7"/>
  <c r="AG203" i="7"/>
  <c r="AF203" i="7"/>
  <c r="AE203" i="7"/>
  <c r="BK202" i="7"/>
  <c r="BK201" i="7" s="1"/>
  <c r="AZ202" i="7"/>
  <c r="AZ201" i="7" s="1"/>
  <c r="AO202" i="7"/>
  <c r="AO201" i="7" s="1"/>
  <c r="AD202" i="7"/>
  <c r="AD201" i="7" s="1"/>
  <c r="BU201" i="7"/>
  <c r="BT201" i="7"/>
  <c r="BS201" i="7"/>
  <c r="BR201" i="7"/>
  <c r="BQ201" i="7"/>
  <c r="BP201" i="7"/>
  <c r="BO201" i="7"/>
  <c r="BN201" i="7"/>
  <c r="BM201" i="7"/>
  <c r="BL201" i="7"/>
  <c r="BJ201" i="7"/>
  <c r="BI201" i="7"/>
  <c r="BH201" i="7"/>
  <c r="BG201" i="7"/>
  <c r="BF201" i="7"/>
  <c r="BE201" i="7"/>
  <c r="BD201" i="7"/>
  <c r="BC201" i="7"/>
  <c r="BB201" i="7"/>
  <c r="BA201" i="7"/>
  <c r="AY201" i="7"/>
  <c r="AX201" i="7"/>
  <c r="AW201" i="7"/>
  <c r="AV201" i="7"/>
  <c r="AU201" i="7"/>
  <c r="AT201" i="7"/>
  <c r="AS201" i="7"/>
  <c r="AR201" i="7"/>
  <c r="AQ201" i="7"/>
  <c r="AP201" i="7"/>
  <c r="AN201" i="7"/>
  <c r="AM201" i="7"/>
  <c r="AL201" i="7"/>
  <c r="AK201" i="7"/>
  <c r="AJ201" i="7"/>
  <c r="AI201" i="7"/>
  <c r="AH201" i="7"/>
  <c r="AG201" i="7"/>
  <c r="AF201" i="7"/>
  <c r="AE201" i="7"/>
  <c r="BK200" i="7"/>
  <c r="AZ200" i="7"/>
  <c r="AO200" i="7"/>
  <c r="AD200" i="7"/>
  <c r="BK199" i="7"/>
  <c r="AZ199" i="7"/>
  <c r="AO199" i="7"/>
  <c r="AD199" i="7"/>
  <c r="BK198" i="7"/>
  <c r="AZ198" i="7"/>
  <c r="AO198" i="7"/>
  <c r="BK197" i="7"/>
  <c r="AZ197" i="7"/>
  <c r="AO197" i="7"/>
  <c r="AD197" i="7"/>
  <c r="BK196" i="7"/>
  <c r="AZ196" i="7"/>
  <c r="AO196" i="7"/>
  <c r="AD196" i="7"/>
  <c r="BK195" i="7"/>
  <c r="AZ195" i="7"/>
  <c r="AO195" i="7"/>
  <c r="AD195" i="7"/>
  <c r="BK194" i="7"/>
  <c r="AZ194" i="7"/>
  <c r="AO194" i="7"/>
  <c r="AD194" i="7"/>
  <c r="BK193" i="7"/>
  <c r="AZ193" i="7"/>
  <c r="AO193" i="7"/>
  <c r="AD193" i="7"/>
  <c r="BK192" i="7"/>
  <c r="AZ192" i="7"/>
  <c r="AO192" i="7"/>
  <c r="AD192" i="7"/>
  <c r="BK191" i="7"/>
  <c r="AZ191" i="7"/>
  <c r="AO191" i="7"/>
  <c r="AD191" i="7"/>
  <c r="BK190" i="7"/>
  <c r="AZ190" i="7"/>
  <c r="AO190" i="7"/>
  <c r="AD190" i="7"/>
  <c r="BK189" i="7"/>
  <c r="AZ189" i="7"/>
  <c r="AO189" i="7"/>
  <c r="AD189" i="7"/>
  <c r="BU188" i="7"/>
  <c r="BT188" i="7"/>
  <c r="BS188" i="7"/>
  <c r="BR188" i="7"/>
  <c r="BQ188" i="7"/>
  <c r="BP188" i="7"/>
  <c r="BO188" i="7"/>
  <c r="BN188" i="7"/>
  <c r="BM188" i="7"/>
  <c r="BL188" i="7"/>
  <c r="BJ188" i="7"/>
  <c r="BI188" i="7"/>
  <c r="BH188" i="7"/>
  <c r="BG188" i="7"/>
  <c r="BF188" i="7"/>
  <c r="BE188" i="7"/>
  <c r="BD188" i="7"/>
  <c r="BC188" i="7"/>
  <c r="BB188" i="7"/>
  <c r="BA188" i="7"/>
  <c r="AY188" i="7"/>
  <c r="AX188" i="7"/>
  <c r="AW188" i="7"/>
  <c r="AV188" i="7"/>
  <c r="AU188" i="7"/>
  <c r="AT188" i="7"/>
  <c r="AS188" i="7"/>
  <c r="AR188" i="7"/>
  <c r="AQ188" i="7"/>
  <c r="AP188" i="7"/>
  <c r="AN188" i="7"/>
  <c r="AM188" i="7"/>
  <c r="AL188" i="7"/>
  <c r="AK188" i="7"/>
  <c r="AJ188" i="7"/>
  <c r="AI188" i="7"/>
  <c r="AH188" i="7"/>
  <c r="AG188" i="7"/>
  <c r="AF188" i="7"/>
  <c r="AE188" i="7"/>
  <c r="BK186" i="7"/>
  <c r="BK185" i="7" s="1"/>
  <c r="AZ186" i="7"/>
  <c r="AZ185" i="7" s="1"/>
  <c r="AO186" i="7"/>
  <c r="AO185" i="7" s="1"/>
  <c r="AD186" i="7"/>
  <c r="AD185" i="7" s="1"/>
  <c r="BU185" i="7"/>
  <c r="BT185" i="7"/>
  <c r="BS185" i="7"/>
  <c r="BR185" i="7"/>
  <c r="BQ185" i="7"/>
  <c r="BP185" i="7"/>
  <c r="BO185" i="7"/>
  <c r="BN185" i="7"/>
  <c r="BM185" i="7"/>
  <c r="BL185" i="7"/>
  <c r="BJ185" i="7"/>
  <c r="BI185" i="7"/>
  <c r="BH185" i="7"/>
  <c r="BG185" i="7"/>
  <c r="BF185" i="7"/>
  <c r="BE185" i="7"/>
  <c r="BD185" i="7"/>
  <c r="BC185" i="7"/>
  <c r="BB185" i="7"/>
  <c r="BA185" i="7"/>
  <c r="AY185" i="7"/>
  <c r="AX185" i="7"/>
  <c r="AW185" i="7"/>
  <c r="AV185" i="7"/>
  <c r="AU185" i="7"/>
  <c r="AT185" i="7"/>
  <c r="AS185" i="7"/>
  <c r="AR185" i="7"/>
  <c r="AQ185" i="7"/>
  <c r="AP185" i="7"/>
  <c r="AN185" i="7"/>
  <c r="AM185" i="7"/>
  <c r="AL185" i="7"/>
  <c r="AK185" i="7"/>
  <c r="AJ185" i="7"/>
  <c r="AI185" i="7"/>
  <c r="AH185" i="7"/>
  <c r="AG185" i="7"/>
  <c r="AF185" i="7"/>
  <c r="AE185" i="7"/>
  <c r="BK184" i="7"/>
  <c r="AZ184" i="7"/>
  <c r="AO184" i="7"/>
  <c r="AD184" i="7"/>
  <c r="BK325" i="7"/>
  <c r="AZ325" i="7"/>
  <c r="AO325" i="7"/>
  <c r="AD325" i="7"/>
  <c r="BK324" i="7"/>
  <c r="AZ324" i="7"/>
  <c r="AO324" i="7"/>
  <c r="AD324" i="7"/>
  <c r="BK317" i="7"/>
  <c r="AZ317" i="7"/>
  <c r="AO317" i="7"/>
  <c r="AD317" i="7"/>
  <c r="BK183" i="7"/>
  <c r="AZ183" i="7"/>
  <c r="AO183" i="7"/>
  <c r="AO182" i="7" s="1"/>
  <c r="AD183" i="7"/>
  <c r="BU182" i="7"/>
  <c r="BT182" i="7"/>
  <c r="BS182" i="7"/>
  <c r="BR182" i="7"/>
  <c r="BQ182" i="7"/>
  <c r="BP182" i="7"/>
  <c r="BO182" i="7"/>
  <c r="BN182" i="7"/>
  <c r="BM182" i="7"/>
  <c r="BL182" i="7"/>
  <c r="BJ182" i="7"/>
  <c r="BI182" i="7"/>
  <c r="BH182" i="7"/>
  <c r="BG182" i="7"/>
  <c r="BF182" i="7"/>
  <c r="BE182" i="7"/>
  <c r="BD182" i="7"/>
  <c r="BC182" i="7"/>
  <c r="BB182" i="7"/>
  <c r="BA182" i="7"/>
  <c r="AY182" i="7"/>
  <c r="AX182" i="7"/>
  <c r="AW182" i="7"/>
  <c r="AV182" i="7"/>
  <c r="AU182" i="7"/>
  <c r="AT182" i="7"/>
  <c r="AS182" i="7"/>
  <c r="AR182" i="7"/>
  <c r="AQ182" i="7"/>
  <c r="AP182" i="7"/>
  <c r="AN182" i="7"/>
  <c r="AM182" i="7"/>
  <c r="AL182" i="7"/>
  <c r="AK182" i="7"/>
  <c r="AJ182" i="7"/>
  <c r="AI182" i="7"/>
  <c r="AH182" i="7"/>
  <c r="AG182" i="7"/>
  <c r="AF182" i="7"/>
  <c r="AE182" i="7"/>
  <c r="BK181" i="7"/>
  <c r="AZ181" i="7"/>
  <c r="AO181" i="7"/>
  <c r="AD181" i="7"/>
  <c r="BK180" i="7"/>
  <c r="AZ180" i="7"/>
  <c r="AO180" i="7"/>
  <c r="AD180" i="7"/>
  <c r="BK179" i="7"/>
  <c r="AZ179" i="7"/>
  <c r="AO179" i="7"/>
  <c r="AD179" i="7"/>
  <c r="BU178" i="7"/>
  <c r="BT178" i="7"/>
  <c r="BS178" i="7"/>
  <c r="BR178" i="7"/>
  <c r="BQ178" i="7"/>
  <c r="BP178" i="7"/>
  <c r="BO178" i="7"/>
  <c r="BN178" i="7"/>
  <c r="BM178" i="7"/>
  <c r="BL178" i="7"/>
  <c r="BJ178" i="7"/>
  <c r="BI178" i="7"/>
  <c r="BH178" i="7"/>
  <c r="BG178" i="7"/>
  <c r="BF178" i="7"/>
  <c r="BE178" i="7"/>
  <c r="BD178" i="7"/>
  <c r="BC178" i="7"/>
  <c r="BB178" i="7"/>
  <c r="BA178" i="7"/>
  <c r="AY178" i="7"/>
  <c r="AX178" i="7"/>
  <c r="AW178" i="7"/>
  <c r="AV178" i="7"/>
  <c r="AU178" i="7"/>
  <c r="AT178" i="7"/>
  <c r="AS178" i="7"/>
  <c r="AR178" i="7"/>
  <c r="AQ178" i="7"/>
  <c r="AP178" i="7"/>
  <c r="AN178" i="7"/>
  <c r="AM178" i="7"/>
  <c r="AL178" i="7"/>
  <c r="AK178" i="7"/>
  <c r="AJ178" i="7"/>
  <c r="AI178" i="7"/>
  <c r="AH178" i="7"/>
  <c r="AG178" i="7"/>
  <c r="AF178" i="7"/>
  <c r="AE178" i="7"/>
  <c r="BM177" i="7"/>
  <c r="BB177" i="7"/>
  <c r="BB172" i="7" s="1"/>
  <c r="AZ177" i="7"/>
  <c r="AZ172" i="7" s="1"/>
  <c r="AQ177" i="7"/>
  <c r="AF177" i="7"/>
  <c r="AD177" i="7" s="1"/>
  <c r="BK176" i="7"/>
  <c r="AO176" i="7"/>
  <c r="AD176" i="7"/>
  <c r="BK175" i="7"/>
  <c r="AO175" i="7"/>
  <c r="AD175" i="7"/>
  <c r="BK174" i="7"/>
  <c r="AO174" i="7"/>
  <c r="AD174" i="7"/>
  <c r="BK173" i="7"/>
  <c r="AO173" i="7"/>
  <c r="AD173" i="7"/>
  <c r="BU172" i="7"/>
  <c r="BT172" i="7"/>
  <c r="BS172" i="7"/>
  <c r="BR172" i="7"/>
  <c r="BQ172" i="7"/>
  <c r="BP172" i="7"/>
  <c r="BO172" i="7"/>
  <c r="BN172" i="7"/>
  <c r="BL172" i="7"/>
  <c r="BJ172" i="7"/>
  <c r="BI172" i="7"/>
  <c r="BH172" i="7"/>
  <c r="BG172" i="7"/>
  <c r="BF172" i="7"/>
  <c r="BE172" i="7"/>
  <c r="BD172" i="7"/>
  <c r="BC172" i="7"/>
  <c r="BA172" i="7"/>
  <c r="AY172" i="7"/>
  <c r="AX172" i="7"/>
  <c r="AW172" i="7"/>
  <c r="AV172" i="7"/>
  <c r="AU172" i="7"/>
  <c r="AT172" i="7"/>
  <c r="AS172" i="7"/>
  <c r="AR172" i="7"/>
  <c r="AP172" i="7"/>
  <c r="AN172" i="7"/>
  <c r="AM172" i="7"/>
  <c r="AL172" i="7"/>
  <c r="AK172" i="7"/>
  <c r="AJ172" i="7"/>
  <c r="AI172" i="7"/>
  <c r="AH172" i="7"/>
  <c r="AG172" i="7"/>
  <c r="AE172" i="7"/>
  <c r="BK330" i="7"/>
  <c r="AZ330" i="7"/>
  <c r="AO330" i="7"/>
  <c r="AD330" i="7"/>
  <c r="BK329" i="7"/>
  <c r="AZ329" i="7"/>
  <c r="AO329" i="7"/>
  <c r="BK322" i="7"/>
  <c r="AZ322" i="7"/>
  <c r="AO322" i="7"/>
  <c r="AD322" i="7"/>
  <c r="BK328" i="7"/>
  <c r="AZ328" i="7"/>
  <c r="AO328" i="7"/>
  <c r="AD328" i="7"/>
  <c r="BK171" i="7"/>
  <c r="AZ171" i="7"/>
  <c r="AO171" i="7"/>
  <c r="AD171" i="7"/>
  <c r="BK170" i="7"/>
  <c r="AZ170" i="7"/>
  <c r="AO170" i="7"/>
  <c r="AD170" i="7"/>
  <c r="BK169" i="7"/>
  <c r="AZ169" i="7"/>
  <c r="AO169" i="7"/>
  <c r="AD169" i="7"/>
  <c r="BK168" i="7"/>
  <c r="AZ168" i="7"/>
  <c r="AO168" i="7"/>
  <c r="AD168" i="7"/>
  <c r="BK167" i="7"/>
  <c r="AZ167" i="7"/>
  <c r="AO167" i="7"/>
  <c r="AD167" i="7"/>
  <c r="BK166" i="7"/>
  <c r="AZ166" i="7"/>
  <c r="AO166" i="7"/>
  <c r="AD166" i="7"/>
  <c r="BK164" i="7"/>
  <c r="AZ164" i="7"/>
  <c r="AO164" i="7"/>
  <c r="BK163" i="7"/>
  <c r="AZ163" i="7"/>
  <c r="AO163" i="7"/>
  <c r="BK162" i="7"/>
  <c r="AZ162" i="7"/>
  <c r="AO162" i="7"/>
  <c r="BK161" i="7"/>
  <c r="AZ161" i="7"/>
  <c r="AO161" i="7"/>
  <c r="BK160" i="7"/>
  <c r="AZ160" i="7"/>
  <c r="AO160" i="7"/>
  <c r="BK159" i="7"/>
  <c r="AZ159" i="7"/>
  <c r="AO159" i="7"/>
  <c r="BK158" i="7"/>
  <c r="AZ158" i="7"/>
  <c r="AO158" i="7"/>
  <c r="AD158" i="7"/>
  <c r="BK157" i="7"/>
  <c r="AZ157" i="7"/>
  <c r="AO157" i="7"/>
  <c r="AD157" i="7"/>
  <c r="BU156" i="7"/>
  <c r="BT156" i="7"/>
  <c r="BS156" i="7"/>
  <c r="BR156" i="7"/>
  <c r="BQ156" i="7"/>
  <c r="BP156" i="7"/>
  <c r="BO156" i="7"/>
  <c r="BN156" i="7"/>
  <c r="BM156" i="7"/>
  <c r="BL156" i="7"/>
  <c r="BJ156" i="7"/>
  <c r="BI156" i="7"/>
  <c r="BH156" i="7"/>
  <c r="BG156" i="7"/>
  <c r="BF156" i="7"/>
  <c r="BE156" i="7"/>
  <c r="BD156" i="7"/>
  <c r="BC156" i="7"/>
  <c r="BB156" i="7"/>
  <c r="BA156" i="7"/>
  <c r="AY156" i="7"/>
  <c r="AX156" i="7"/>
  <c r="AW156" i="7"/>
  <c r="AV156" i="7"/>
  <c r="AU156" i="7"/>
  <c r="AT156" i="7"/>
  <c r="AS156" i="7"/>
  <c r="AR156" i="7"/>
  <c r="AQ156" i="7"/>
  <c r="AP156" i="7"/>
  <c r="AN156" i="7"/>
  <c r="AM156" i="7"/>
  <c r="AL156" i="7"/>
  <c r="AK156" i="7"/>
  <c r="AJ156" i="7"/>
  <c r="AI156" i="7"/>
  <c r="AH156" i="7"/>
  <c r="AG156" i="7"/>
  <c r="AF156" i="7"/>
  <c r="BK155" i="7"/>
  <c r="AZ155" i="7"/>
  <c r="AO155" i="7"/>
  <c r="AD155" i="7"/>
  <c r="BK154" i="7"/>
  <c r="AZ154" i="7"/>
  <c r="AO154" i="7"/>
  <c r="AD154" i="7"/>
  <c r="BK152" i="7"/>
  <c r="AZ152" i="7"/>
  <c r="AO152" i="7"/>
  <c r="AD152" i="7"/>
  <c r="BK151" i="7"/>
  <c r="AZ151" i="7"/>
  <c r="AO151" i="7"/>
  <c r="AD151" i="7"/>
  <c r="BK150" i="7"/>
  <c r="AZ150" i="7"/>
  <c r="AO150" i="7"/>
  <c r="AD150" i="7"/>
  <c r="BK149" i="7"/>
  <c r="AZ149" i="7"/>
  <c r="AO149" i="7"/>
  <c r="AD149" i="7"/>
  <c r="BK148" i="7"/>
  <c r="AZ148" i="7"/>
  <c r="AO148" i="7"/>
  <c r="AD148" i="7"/>
  <c r="BK147" i="7"/>
  <c r="AZ147" i="7"/>
  <c r="AO147" i="7"/>
  <c r="AD147" i="7"/>
  <c r="BK146" i="7"/>
  <c r="AZ146" i="7"/>
  <c r="AO146" i="7"/>
  <c r="AD146" i="7"/>
  <c r="BK144" i="7"/>
  <c r="AZ144" i="7"/>
  <c r="AO144" i="7"/>
  <c r="AD144" i="7"/>
  <c r="BK143" i="7"/>
  <c r="AZ143" i="7"/>
  <c r="AO143" i="7"/>
  <c r="AD143" i="7"/>
  <c r="BK142" i="7"/>
  <c r="AZ142" i="7"/>
  <c r="AO142" i="7"/>
  <c r="AD142" i="7"/>
  <c r="BK141" i="7"/>
  <c r="AZ141" i="7"/>
  <c r="AO141" i="7"/>
  <c r="AD141" i="7"/>
  <c r="BK140" i="7"/>
  <c r="AZ140" i="7"/>
  <c r="AO140" i="7"/>
  <c r="AD140" i="7"/>
  <c r="BU139" i="7"/>
  <c r="BT139" i="7"/>
  <c r="BS139" i="7"/>
  <c r="BR139" i="7"/>
  <c r="BQ139" i="7"/>
  <c r="BP139" i="7"/>
  <c r="BO139" i="7"/>
  <c r="BN139" i="7"/>
  <c r="BM139" i="7"/>
  <c r="BL139" i="7"/>
  <c r="BJ139" i="7"/>
  <c r="BI139" i="7"/>
  <c r="BH139" i="7"/>
  <c r="BG139" i="7"/>
  <c r="BF139" i="7"/>
  <c r="BE139" i="7"/>
  <c r="BD139" i="7"/>
  <c r="BC139" i="7"/>
  <c r="BB139" i="7"/>
  <c r="BA139" i="7"/>
  <c r="AY139" i="7"/>
  <c r="AX139" i="7"/>
  <c r="AW139" i="7"/>
  <c r="AV139" i="7"/>
  <c r="AU139" i="7"/>
  <c r="AT139" i="7"/>
  <c r="AS139" i="7"/>
  <c r="AR139" i="7"/>
  <c r="AQ139" i="7"/>
  <c r="AP139" i="7"/>
  <c r="AN139" i="7"/>
  <c r="AM139" i="7"/>
  <c r="AL139" i="7"/>
  <c r="AK139" i="7"/>
  <c r="AJ139" i="7"/>
  <c r="AI139" i="7"/>
  <c r="AH139" i="7"/>
  <c r="AG139" i="7"/>
  <c r="AF139" i="7"/>
  <c r="AE139" i="7"/>
  <c r="BK138" i="7"/>
  <c r="AZ138" i="7"/>
  <c r="AO138" i="7"/>
  <c r="AD138" i="7"/>
  <c r="BK137" i="7"/>
  <c r="AZ137" i="7"/>
  <c r="AO137" i="7"/>
  <c r="AD137" i="7"/>
  <c r="BU136" i="7"/>
  <c r="BT136" i="7"/>
  <c r="BS136" i="7"/>
  <c r="BR136" i="7"/>
  <c r="BQ136" i="7"/>
  <c r="BP136" i="7"/>
  <c r="BO136" i="7"/>
  <c r="BN136" i="7"/>
  <c r="BM136" i="7"/>
  <c r="BL136" i="7"/>
  <c r="BJ136" i="7"/>
  <c r="BI136" i="7"/>
  <c r="BH136" i="7"/>
  <c r="BG136" i="7"/>
  <c r="BF136" i="7"/>
  <c r="BE136" i="7"/>
  <c r="BD136" i="7"/>
  <c r="BC136" i="7"/>
  <c r="BB136" i="7"/>
  <c r="BA136" i="7"/>
  <c r="AY136" i="7"/>
  <c r="AX136" i="7"/>
  <c r="AW136" i="7"/>
  <c r="AV136" i="7"/>
  <c r="AU136" i="7"/>
  <c r="AT136" i="7"/>
  <c r="AS136" i="7"/>
  <c r="AR136" i="7"/>
  <c r="AQ136" i="7"/>
  <c r="AP136" i="7"/>
  <c r="AN136" i="7"/>
  <c r="AM136" i="7"/>
  <c r="AL136" i="7"/>
  <c r="AK136" i="7"/>
  <c r="AJ136" i="7"/>
  <c r="AI136" i="7"/>
  <c r="AH136" i="7"/>
  <c r="AG136" i="7"/>
  <c r="AF136" i="7"/>
  <c r="AE136" i="7"/>
  <c r="BK135" i="7"/>
  <c r="AZ135" i="7"/>
  <c r="AO135" i="7"/>
  <c r="AD135" i="7"/>
  <c r="BK134" i="7"/>
  <c r="AZ134" i="7"/>
  <c r="AO134" i="7"/>
  <c r="AD134" i="7"/>
  <c r="BK133" i="7"/>
  <c r="AZ133" i="7"/>
  <c r="AO133" i="7"/>
  <c r="AD133" i="7"/>
  <c r="BK132" i="7"/>
  <c r="AZ132" i="7"/>
  <c r="AO132" i="7"/>
  <c r="AD132" i="7"/>
  <c r="BK131" i="7"/>
  <c r="AZ131" i="7"/>
  <c r="AO131" i="7"/>
  <c r="AD131" i="7"/>
  <c r="BK130" i="7"/>
  <c r="AZ130" i="7"/>
  <c r="AO130" i="7"/>
  <c r="AD130" i="7"/>
  <c r="AC130" i="7"/>
  <c r="AB130" i="7"/>
  <c r="BK129" i="7"/>
  <c r="AZ129" i="7"/>
  <c r="AO129" i="7"/>
  <c r="AD129" i="7"/>
  <c r="BK128" i="7"/>
  <c r="AZ128" i="7"/>
  <c r="AO128" i="7"/>
  <c r="AD128" i="7"/>
  <c r="BK127" i="7"/>
  <c r="AZ127" i="7"/>
  <c r="AO127" i="7"/>
  <c r="AD127" i="7"/>
  <c r="BK126" i="7"/>
  <c r="AZ126" i="7"/>
  <c r="AO126" i="7"/>
  <c r="AD126" i="7"/>
  <c r="BU125" i="7"/>
  <c r="BT125" i="7"/>
  <c r="BS125" i="7"/>
  <c r="BR125" i="7"/>
  <c r="BQ125" i="7"/>
  <c r="BP125" i="7"/>
  <c r="BO125" i="7"/>
  <c r="BN125" i="7"/>
  <c r="BM125" i="7"/>
  <c r="BL125" i="7"/>
  <c r="BJ125" i="7"/>
  <c r="BI125" i="7"/>
  <c r="BH125" i="7"/>
  <c r="BG125" i="7"/>
  <c r="BF125" i="7"/>
  <c r="BE125" i="7"/>
  <c r="BD125" i="7"/>
  <c r="BC125" i="7"/>
  <c r="BB125" i="7"/>
  <c r="BA125" i="7"/>
  <c r="AY125" i="7"/>
  <c r="AX125" i="7"/>
  <c r="AW125" i="7"/>
  <c r="AV125" i="7"/>
  <c r="AU125" i="7"/>
  <c r="AT125" i="7"/>
  <c r="AS125" i="7"/>
  <c r="AR125" i="7"/>
  <c r="AQ125" i="7"/>
  <c r="AP125" i="7"/>
  <c r="AN125" i="7"/>
  <c r="AM125" i="7"/>
  <c r="AL125" i="7"/>
  <c r="AK125" i="7"/>
  <c r="AJ125" i="7"/>
  <c r="AI125" i="7"/>
  <c r="AH125" i="7"/>
  <c r="AG125" i="7"/>
  <c r="AF125" i="7"/>
  <c r="AE125" i="7"/>
  <c r="BK124" i="7"/>
  <c r="AZ124" i="7"/>
  <c r="AO124" i="7"/>
  <c r="AD124" i="7"/>
  <c r="BK123" i="7"/>
  <c r="AZ123" i="7"/>
  <c r="AO123" i="7"/>
  <c r="AD123" i="7"/>
  <c r="BK122" i="7"/>
  <c r="AZ122" i="7"/>
  <c r="AO122" i="7"/>
  <c r="AD122" i="7"/>
  <c r="BK119" i="7"/>
  <c r="AZ119" i="7"/>
  <c r="AO119" i="7"/>
  <c r="AD119" i="7"/>
  <c r="BK116" i="7"/>
  <c r="AZ116" i="7"/>
  <c r="AO116" i="7"/>
  <c r="AD116" i="7"/>
  <c r="BK115" i="7"/>
  <c r="AZ115" i="7"/>
  <c r="AO115" i="7"/>
  <c r="AD115" i="7"/>
  <c r="BK114" i="7"/>
  <c r="AZ114" i="7"/>
  <c r="AO114" i="7"/>
  <c r="AD114" i="7"/>
  <c r="BK113" i="7"/>
  <c r="AZ113" i="7"/>
  <c r="AO113" i="7"/>
  <c r="AD113" i="7"/>
  <c r="BK112" i="7"/>
  <c r="AZ112" i="7"/>
  <c r="AO112" i="7"/>
  <c r="BK111" i="7"/>
  <c r="AZ111" i="7"/>
  <c r="AO111" i="7"/>
  <c r="AD111" i="7"/>
  <c r="BK110" i="7"/>
  <c r="AZ110" i="7"/>
  <c r="AO110" i="7"/>
  <c r="AD110" i="7"/>
  <c r="BK109" i="7"/>
  <c r="AZ109" i="7"/>
  <c r="AO109" i="7"/>
  <c r="AD109" i="7"/>
  <c r="BM107" i="7"/>
  <c r="BK107" i="7" s="1"/>
  <c r="BB107" i="7"/>
  <c r="AZ107" i="7" s="1"/>
  <c r="AQ107" i="7"/>
  <c r="AO107" i="7" s="1"/>
  <c r="AF107" i="7"/>
  <c r="AD107" i="7" s="1"/>
  <c r="BK106" i="7"/>
  <c r="AZ106" i="7"/>
  <c r="AO106" i="7"/>
  <c r="AD106" i="7"/>
  <c r="BK105" i="7"/>
  <c r="AZ105" i="7"/>
  <c r="AO105" i="7"/>
  <c r="AD105" i="7"/>
  <c r="BK104" i="7"/>
  <c r="AZ104" i="7"/>
  <c r="AO104" i="7"/>
  <c r="AD104" i="7"/>
  <c r="BL103" i="7"/>
  <c r="BK103" i="7" s="1"/>
  <c r="BA103" i="7"/>
  <c r="AZ103" i="7" s="1"/>
  <c r="AP103" i="7"/>
  <c r="AO103" i="7" s="1"/>
  <c r="AE103" i="7"/>
  <c r="AD103" i="7" s="1"/>
  <c r="BK102" i="7"/>
  <c r="AZ102" i="7"/>
  <c r="AO102" i="7"/>
  <c r="AD102" i="7"/>
  <c r="BK101" i="7"/>
  <c r="AZ101" i="7"/>
  <c r="AO101" i="7"/>
  <c r="AD101" i="7"/>
  <c r="BK100" i="7"/>
  <c r="AZ100" i="7"/>
  <c r="AO100" i="7"/>
  <c r="AD100" i="7"/>
  <c r="BK99" i="7"/>
  <c r="AZ99" i="7"/>
  <c r="AO99" i="7"/>
  <c r="AD99" i="7"/>
  <c r="BK98" i="7"/>
  <c r="AZ98" i="7"/>
  <c r="AO98" i="7"/>
  <c r="AD98" i="7"/>
  <c r="BK97" i="7"/>
  <c r="AZ97" i="7"/>
  <c r="AO97" i="7"/>
  <c r="AD97" i="7"/>
  <c r="BK96" i="7"/>
  <c r="AZ96" i="7"/>
  <c r="AO96" i="7"/>
  <c r="AD96" i="7"/>
  <c r="BK95" i="7"/>
  <c r="AZ95" i="7"/>
  <c r="AO95" i="7"/>
  <c r="AD95" i="7"/>
  <c r="BK94" i="7"/>
  <c r="AZ94" i="7"/>
  <c r="AO94" i="7"/>
  <c r="AD94" i="7"/>
  <c r="BK93" i="7"/>
  <c r="AZ93" i="7"/>
  <c r="AO93" i="7"/>
  <c r="AD93" i="7"/>
  <c r="BK92" i="7"/>
  <c r="AZ92" i="7"/>
  <c r="AO92" i="7"/>
  <c r="AD92" i="7"/>
  <c r="BK91" i="7"/>
  <c r="AZ91" i="7"/>
  <c r="AO91" i="7"/>
  <c r="AD91" i="7"/>
  <c r="BK90" i="7"/>
  <c r="AZ90" i="7"/>
  <c r="AO90" i="7"/>
  <c r="AD90" i="7"/>
  <c r="BK89" i="7"/>
  <c r="AZ89" i="7"/>
  <c r="AO89" i="7"/>
  <c r="AD89" i="7"/>
  <c r="BK88" i="7"/>
  <c r="AZ88" i="7"/>
  <c r="AO88" i="7"/>
  <c r="AD88" i="7"/>
  <c r="BK87" i="7"/>
  <c r="AZ87" i="7"/>
  <c r="AO87" i="7"/>
  <c r="AD87" i="7"/>
  <c r="BK86" i="7"/>
  <c r="AZ86" i="7"/>
  <c r="AO86" i="7"/>
  <c r="AD86" i="7"/>
  <c r="BK85" i="7"/>
  <c r="AZ85" i="7"/>
  <c r="AO85" i="7"/>
  <c r="AD85" i="7"/>
  <c r="BK84" i="7"/>
  <c r="AZ84" i="7"/>
  <c r="AO84" i="7"/>
  <c r="AD84" i="7"/>
  <c r="BK83" i="7"/>
  <c r="AZ83" i="7"/>
  <c r="AO83" i="7"/>
  <c r="AE83" i="7"/>
  <c r="AD83" i="7" s="1"/>
  <c r="BK82" i="7"/>
  <c r="AZ82" i="7"/>
  <c r="AO82" i="7"/>
  <c r="AD82" i="7"/>
  <c r="BK81" i="7"/>
  <c r="AZ81" i="7"/>
  <c r="AO81" i="7"/>
  <c r="AD81" i="7"/>
  <c r="BK80" i="7"/>
  <c r="AZ80" i="7"/>
  <c r="AO80" i="7"/>
  <c r="AD80" i="7"/>
  <c r="BK79" i="7"/>
  <c r="AZ79" i="7"/>
  <c r="AO79" i="7"/>
  <c r="AD79" i="7"/>
  <c r="BK78" i="7"/>
  <c r="AZ78" i="7"/>
  <c r="AO78" i="7"/>
  <c r="AD78" i="7"/>
  <c r="BK77" i="7"/>
  <c r="AZ77" i="7"/>
  <c r="AO77" i="7"/>
  <c r="AD77" i="7"/>
  <c r="BK76" i="7"/>
  <c r="AZ76" i="7"/>
  <c r="AO76" i="7"/>
  <c r="AD76" i="7"/>
  <c r="BK75" i="7"/>
  <c r="AZ75" i="7"/>
  <c r="AO75" i="7"/>
  <c r="AD75" i="7"/>
  <c r="BK74" i="7"/>
  <c r="AZ74" i="7"/>
  <c r="AO74" i="7"/>
  <c r="AD74" i="7"/>
  <c r="BU73" i="7"/>
  <c r="BT73" i="7"/>
  <c r="BS73" i="7"/>
  <c r="BR73" i="7"/>
  <c r="BQ73" i="7"/>
  <c r="BP73" i="7"/>
  <c r="BO73" i="7"/>
  <c r="BN73" i="7"/>
  <c r="BJ73" i="7"/>
  <c r="BI73" i="7"/>
  <c r="BH73" i="7"/>
  <c r="BG73" i="7"/>
  <c r="BF73" i="7"/>
  <c r="BE73" i="7"/>
  <c r="BD73" i="7"/>
  <c r="BC73" i="7"/>
  <c r="AY73" i="7"/>
  <c r="AX73" i="7"/>
  <c r="AW73" i="7"/>
  <c r="AV73" i="7"/>
  <c r="AU73" i="7"/>
  <c r="AT73" i="7"/>
  <c r="AS73" i="7"/>
  <c r="AR73" i="7"/>
  <c r="AN73" i="7"/>
  <c r="AM73" i="7"/>
  <c r="AL73" i="7"/>
  <c r="AK73" i="7"/>
  <c r="AJ73" i="7"/>
  <c r="AI73" i="7"/>
  <c r="AH73" i="7"/>
  <c r="AG73" i="7"/>
  <c r="BK72" i="7"/>
  <c r="AZ72" i="7"/>
  <c r="AO72" i="7"/>
  <c r="AD72" i="7"/>
  <c r="BK71" i="7"/>
  <c r="AZ71" i="7"/>
  <c r="AO71" i="7"/>
  <c r="AN71" i="7"/>
  <c r="AD71" i="7" s="1"/>
  <c r="BK70" i="7"/>
  <c r="AZ70" i="7"/>
  <c r="AO70" i="7"/>
  <c r="AH70" i="7"/>
  <c r="AD70" i="7" s="1"/>
  <c r="BK69" i="7"/>
  <c r="AZ69" i="7"/>
  <c r="AO69" i="7"/>
  <c r="AD69" i="7"/>
  <c r="BK68" i="7"/>
  <c r="AZ68" i="7"/>
  <c r="AO68" i="7"/>
  <c r="AD68" i="7"/>
  <c r="BK67" i="7"/>
  <c r="AZ67" i="7"/>
  <c r="AO67" i="7"/>
  <c r="AD67" i="7"/>
  <c r="BK66" i="7"/>
  <c r="AZ66" i="7"/>
  <c r="AO66" i="7"/>
  <c r="AD66" i="7"/>
  <c r="BK65" i="7"/>
  <c r="AZ65" i="7"/>
  <c r="AO65" i="7"/>
  <c r="AN65" i="7"/>
  <c r="AD65" i="7" s="1"/>
  <c r="BK64" i="7"/>
  <c r="AZ64" i="7"/>
  <c r="AO64" i="7"/>
  <c r="AD64" i="7"/>
  <c r="BK63" i="7"/>
  <c r="AZ63" i="7"/>
  <c r="AO63" i="7"/>
  <c r="AD63" i="7"/>
  <c r="BK62" i="7"/>
  <c r="AZ62" i="7"/>
  <c r="AO62" i="7"/>
  <c r="AD62" i="7"/>
  <c r="BK61" i="7"/>
  <c r="AZ61" i="7"/>
  <c r="AO61" i="7"/>
  <c r="AD61" i="7"/>
  <c r="BU60" i="7"/>
  <c r="BT60" i="7"/>
  <c r="BS60" i="7"/>
  <c r="BR60" i="7"/>
  <c r="BQ60" i="7"/>
  <c r="BP60" i="7"/>
  <c r="BO60" i="7"/>
  <c r="BN60" i="7"/>
  <c r="BM60" i="7"/>
  <c r="BL60" i="7"/>
  <c r="BJ60" i="7"/>
  <c r="BI60" i="7"/>
  <c r="BH60" i="7"/>
  <c r="BG60" i="7"/>
  <c r="BF60" i="7"/>
  <c r="BE60" i="7"/>
  <c r="BD60" i="7"/>
  <c r="BC60" i="7"/>
  <c r="BB60" i="7"/>
  <c r="BA60" i="7"/>
  <c r="AY60" i="7"/>
  <c r="AX60" i="7"/>
  <c r="AW60" i="7"/>
  <c r="AV60" i="7"/>
  <c r="AU60" i="7"/>
  <c r="AT60" i="7"/>
  <c r="AS60" i="7"/>
  <c r="AR60" i="7"/>
  <c r="AQ60" i="7"/>
  <c r="AP60" i="7"/>
  <c r="AM60" i="7"/>
  <c r="AL60" i="7"/>
  <c r="AK60" i="7"/>
  <c r="AJ60" i="7"/>
  <c r="AI60" i="7"/>
  <c r="AG60" i="7"/>
  <c r="AF60" i="7"/>
  <c r="AE60" i="7"/>
  <c r="BK59" i="7"/>
  <c r="AZ59" i="7"/>
  <c r="AO59" i="7"/>
  <c r="AD59" i="7"/>
  <c r="BK58" i="7"/>
  <c r="AZ58" i="7"/>
  <c r="AO58" i="7"/>
  <c r="AD58" i="7"/>
  <c r="BK57" i="7"/>
  <c r="AZ57" i="7"/>
  <c r="AO57" i="7"/>
  <c r="AD57" i="7"/>
  <c r="BK56" i="7"/>
  <c r="AZ56" i="7"/>
  <c r="AO56" i="7"/>
  <c r="AD56" i="7"/>
  <c r="BK55" i="7"/>
  <c r="AZ55" i="7"/>
  <c r="AO55" i="7"/>
  <c r="AD55" i="7"/>
  <c r="BK54" i="7"/>
  <c r="AZ54" i="7"/>
  <c r="AO54" i="7"/>
  <c r="AD54" i="7"/>
  <c r="BK53" i="7"/>
  <c r="AZ53" i="7"/>
  <c r="AO53" i="7"/>
  <c r="AD53" i="7"/>
  <c r="BK52" i="7"/>
  <c r="AZ52" i="7"/>
  <c r="AO52" i="7"/>
  <c r="AD52" i="7"/>
  <c r="BK51" i="7"/>
  <c r="AZ51" i="7"/>
  <c r="AO51" i="7"/>
  <c r="AD51" i="7"/>
  <c r="BK50" i="7"/>
  <c r="AZ50" i="7"/>
  <c r="AO50" i="7"/>
  <c r="AD50" i="7"/>
  <c r="BK49" i="7"/>
  <c r="AZ49" i="7"/>
  <c r="AO49" i="7"/>
  <c r="AD49" i="7"/>
  <c r="BK48" i="7"/>
  <c r="AZ48" i="7"/>
  <c r="AO48" i="7"/>
  <c r="AD48" i="7"/>
  <c r="BK47" i="7"/>
  <c r="AZ47" i="7"/>
  <c r="AO47" i="7"/>
  <c r="AN47" i="7"/>
  <c r="AN37" i="7" s="1"/>
  <c r="BK46" i="7"/>
  <c r="AZ46" i="7"/>
  <c r="AO46" i="7"/>
  <c r="AD46" i="7"/>
  <c r="BK45" i="7"/>
  <c r="AZ45" i="7"/>
  <c r="AO45" i="7"/>
  <c r="AD45" i="7"/>
  <c r="BK44" i="7"/>
  <c r="AZ44" i="7"/>
  <c r="AO44" i="7"/>
  <c r="AD44" i="7"/>
  <c r="BK43" i="7"/>
  <c r="AZ43" i="7"/>
  <c r="AO43" i="7"/>
  <c r="AD43" i="7"/>
  <c r="BK42" i="7"/>
  <c r="AZ42" i="7"/>
  <c r="AO42" i="7"/>
  <c r="AD42" i="7"/>
  <c r="BK41" i="7"/>
  <c r="AZ41" i="7"/>
  <c r="AO41" i="7"/>
  <c r="AD41" i="7"/>
  <c r="BK40" i="7"/>
  <c r="AZ40" i="7"/>
  <c r="AO40" i="7"/>
  <c r="AD40" i="7"/>
  <c r="BK39" i="7"/>
  <c r="AZ39" i="7"/>
  <c r="AO39" i="7"/>
  <c r="AD39" i="7"/>
  <c r="BK38" i="7"/>
  <c r="AZ38" i="7"/>
  <c r="AO38" i="7"/>
  <c r="AD38" i="7"/>
  <c r="BU37" i="7"/>
  <c r="BT37" i="7"/>
  <c r="BS37" i="7"/>
  <c r="BR37" i="7"/>
  <c r="BQ37" i="7"/>
  <c r="BP37" i="7"/>
  <c r="BO37" i="7"/>
  <c r="BN37" i="7"/>
  <c r="BM37" i="7"/>
  <c r="BL37" i="7"/>
  <c r="BJ37" i="7"/>
  <c r="BI37" i="7"/>
  <c r="BH37" i="7"/>
  <c r="BG37" i="7"/>
  <c r="BF37" i="7"/>
  <c r="BE37" i="7"/>
  <c r="BD37" i="7"/>
  <c r="BC37" i="7"/>
  <c r="BB37" i="7"/>
  <c r="BA37" i="7"/>
  <c r="AY37" i="7"/>
  <c r="AX37" i="7"/>
  <c r="AW37" i="7"/>
  <c r="AV37" i="7"/>
  <c r="AU37" i="7"/>
  <c r="AT37" i="7"/>
  <c r="AS37" i="7"/>
  <c r="AR37" i="7"/>
  <c r="AQ37" i="7"/>
  <c r="AP37" i="7"/>
  <c r="AM37" i="7"/>
  <c r="AL37" i="7"/>
  <c r="AK37" i="7"/>
  <c r="AJ37" i="7"/>
  <c r="AI37" i="7"/>
  <c r="AH37" i="7"/>
  <c r="AG37" i="7"/>
  <c r="AF37" i="7"/>
  <c r="AE37" i="7"/>
  <c r="BK36" i="7"/>
  <c r="AZ36" i="7"/>
  <c r="AO36" i="7"/>
  <c r="AD36" i="7"/>
  <c r="BK35" i="7"/>
  <c r="AZ35" i="7"/>
  <c r="AO35" i="7"/>
  <c r="AD35" i="7"/>
  <c r="BK34" i="7"/>
  <c r="AZ34" i="7"/>
  <c r="AO34" i="7"/>
  <c r="AD34" i="7"/>
  <c r="BK33" i="7"/>
  <c r="AZ33" i="7"/>
  <c r="AO33" i="7"/>
  <c r="AD33" i="7"/>
  <c r="BK32" i="7"/>
  <c r="AZ32" i="7"/>
  <c r="AO32" i="7"/>
  <c r="AD32" i="7"/>
  <c r="BK31" i="7"/>
  <c r="AZ31" i="7"/>
  <c r="AO31" i="7"/>
  <c r="AD31" i="7"/>
  <c r="BK30" i="7"/>
  <c r="AZ30" i="7"/>
  <c r="AO30" i="7"/>
  <c r="AD30" i="7"/>
  <c r="BK29" i="7"/>
  <c r="AZ29" i="7"/>
  <c r="AO29" i="7"/>
  <c r="AD29" i="7"/>
  <c r="BK28" i="7"/>
  <c r="AZ28" i="7"/>
  <c r="AO28" i="7"/>
  <c r="AD28" i="7"/>
  <c r="BK27" i="7"/>
  <c r="AZ27" i="7"/>
  <c r="AO27" i="7"/>
  <c r="AD27" i="7"/>
  <c r="BK26" i="7"/>
  <c r="AZ26" i="7"/>
  <c r="AO26" i="7"/>
  <c r="AD26" i="7"/>
  <c r="BK25" i="7"/>
  <c r="AZ25" i="7"/>
  <c r="AO25" i="7"/>
  <c r="AD25" i="7"/>
  <c r="BK24" i="7"/>
  <c r="AZ24" i="7"/>
  <c r="AO24" i="7"/>
  <c r="AD24" i="7"/>
  <c r="BK23" i="7"/>
  <c r="AZ23" i="7"/>
  <c r="AO23" i="7"/>
  <c r="AD23" i="7"/>
  <c r="BK22" i="7"/>
  <c r="AZ22" i="7"/>
  <c r="AO22" i="7"/>
  <c r="AD22" i="7"/>
  <c r="BK21" i="7"/>
  <c r="AZ21" i="7"/>
  <c r="AO21" i="7"/>
  <c r="AD21" i="7"/>
  <c r="BK20" i="7"/>
  <c r="AZ20" i="7"/>
  <c r="AO20" i="7"/>
  <c r="AD20" i="7"/>
  <c r="BK19" i="7"/>
  <c r="AZ19" i="7"/>
  <c r="AO19" i="7"/>
  <c r="AD19" i="7"/>
  <c r="BK18" i="7"/>
  <c r="AZ18" i="7"/>
  <c r="AO18" i="7"/>
  <c r="AD18" i="7"/>
  <c r="BK17" i="7"/>
  <c r="AZ17" i="7"/>
  <c r="AO17" i="7"/>
  <c r="AD17" i="7"/>
  <c r="BU16" i="7"/>
  <c r="BT16" i="7"/>
  <c r="BS16" i="7"/>
  <c r="BR16" i="7"/>
  <c r="BQ16" i="7"/>
  <c r="BP16" i="7"/>
  <c r="BO16" i="7"/>
  <c r="BN16" i="7"/>
  <c r="BM16" i="7"/>
  <c r="BL16" i="7"/>
  <c r="BJ16" i="7"/>
  <c r="BI16" i="7"/>
  <c r="BH16" i="7"/>
  <c r="BG16" i="7"/>
  <c r="BF16" i="7"/>
  <c r="BE16" i="7"/>
  <c r="BD16" i="7"/>
  <c r="BC16" i="7"/>
  <c r="BB16" i="7"/>
  <c r="BA16" i="7"/>
  <c r="AY16" i="7"/>
  <c r="AX16" i="7"/>
  <c r="AW16" i="7"/>
  <c r="AV16" i="7"/>
  <c r="AU16" i="7"/>
  <c r="AT16" i="7"/>
  <c r="AS16" i="7"/>
  <c r="AR16" i="7"/>
  <c r="AQ16" i="7"/>
  <c r="AP16" i="7"/>
  <c r="AN16" i="7"/>
  <c r="AM16" i="7"/>
  <c r="AL16" i="7"/>
  <c r="AK16" i="7"/>
  <c r="AJ16" i="7"/>
  <c r="AI16" i="7"/>
  <c r="AH16" i="7"/>
  <c r="AG16" i="7"/>
  <c r="AF16" i="7"/>
  <c r="AE16" i="7"/>
  <c r="BK15" i="7"/>
  <c r="BK14" i="7" s="1"/>
  <c r="AZ15" i="7"/>
  <c r="AZ14" i="7" s="1"/>
  <c r="AO15" i="7"/>
  <c r="AO14" i="7" s="1"/>
  <c r="AD15" i="7"/>
  <c r="AD14" i="7" s="1"/>
  <c r="BU14" i="7"/>
  <c r="BT14" i="7"/>
  <c r="BS14" i="7"/>
  <c r="BR14" i="7"/>
  <c r="BQ14" i="7"/>
  <c r="BP14" i="7"/>
  <c r="BO14" i="7"/>
  <c r="BN14" i="7"/>
  <c r="BM14" i="7"/>
  <c r="BL14" i="7"/>
  <c r="BJ14" i="7"/>
  <c r="BI14" i="7"/>
  <c r="BH14" i="7"/>
  <c r="BG14" i="7"/>
  <c r="BF14" i="7"/>
  <c r="BE14" i="7"/>
  <c r="BD14" i="7"/>
  <c r="BC14" i="7"/>
  <c r="BB14" i="7"/>
  <c r="BA14" i="7"/>
  <c r="AY14" i="7"/>
  <c r="AX14" i="7"/>
  <c r="AW14" i="7"/>
  <c r="AV14" i="7"/>
  <c r="AU14" i="7"/>
  <c r="AT14" i="7"/>
  <c r="AS14" i="7"/>
  <c r="AR14" i="7"/>
  <c r="AQ14" i="7"/>
  <c r="AP14" i="7"/>
  <c r="AN14" i="7"/>
  <c r="AM14" i="7"/>
  <c r="AL14" i="7"/>
  <c r="AK14" i="7"/>
  <c r="AJ14" i="7"/>
  <c r="AI14" i="7"/>
  <c r="AH14" i="7"/>
  <c r="AG14" i="7"/>
  <c r="AF14" i="7"/>
  <c r="AE14" i="7"/>
  <c r="BK13" i="7"/>
  <c r="BK12" i="7" s="1"/>
  <c r="AZ13" i="7"/>
  <c r="AZ12" i="7" s="1"/>
  <c r="AO13" i="7"/>
  <c r="AO12" i="7" s="1"/>
  <c r="AD13" i="7"/>
  <c r="AD12" i="7" s="1"/>
  <c r="BU12" i="7"/>
  <c r="BT12" i="7"/>
  <c r="BS12" i="7"/>
  <c r="BR12" i="7"/>
  <c r="BQ12" i="7"/>
  <c r="BP12" i="7"/>
  <c r="BO12" i="7"/>
  <c r="BN12" i="7"/>
  <c r="BM12" i="7"/>
  <c r="BL12" i="7"/>
  <c r="BJ12" i="7"/>
  <c r="BI12" i="7"/>
  <c r="BH12" i="7"/>
  <c r="BG12" i="7"/>
  <c r="BF12" i="7"/>
  <c r="BE12" i="7"/>
  <c r="BD12" i="7"/>
  <c r="BC12" i="7"/>
  <c r="BB12" i="7"/>
  <c r="BA12" i="7"/>
  <c r="AY12" i="7"/>
  <c r="AX12" i="7"/>
  <c r="AW12" i="7"/>
  <c r="AV12" i="7"/>
  <c r="AU12" i="7"/>
  <c r="AT12" i="7"/>
  <c r="AS12" i="7"/>
  <c r="AR12" i="7"/>
  <c r="AQ12" i="7"/>
  <c r="AP12" i="7"/>
  <c r="AN12" i="7"/>
  <c r="AM12" i="7"/>
  <c r="AL12" i="7"/>
  <c r="AK12" i="7"/>
  <c r="AJ12" i="7"/>
  <c r="AI12" i="7"/>
  <c r="AH12" i="7"/>
  <c r="AG12" i="7"/>
  <c r="AF12" i="7"/>
  <c r="AE12" i="7"/>
  <c r="BK11" i="7"/>
  <c r="AZ11" i="7"/>
  <c r="AO11" i="7"/>
  <c r="AD11" i="7"/>
  <c r="BK10" i="7"/>
  <c r="AZ10" i="7"/>
  <c r="AO10" i="7"/>
  <c r="AD10" i="7"/>
  <c r="BU9" i="7"/>
  <c r="BT9" i="7"/>
  <c r="BS9" i="7"/>
  <c r="BR9" i="7"/>
  <c r="BQ9" i="7"/>
  <c r="BP9" i="7"/>
  <c r="BO9" i="7"/>
  <c r="BN9" i="7"/>
  <c r="BM9" i="7"/>
  <c r="BL9" i="7"/>
  <c r="BJ9" i="7"/>
  <c r="BI9" i="7"/>
  <c r="BH9" i="7"/>
  <c r="BG9" i="7"/>
  <c r="BF9" i="7"/>
  <c r="BE9" i="7"/>
  <c r="BD9" i="7"/>
  <c r="BC9" i="7"/>
  <c r="BB9" i="7"/>
  <c r="BA9" i="7"/>
  <c r="AY9" i="7"/>
  <c r="AX9" i="7"/>
  <c r="AW9" i="7"/>
  <c r="AV9" i="7"/>
  <c r="AU9" i="7"/>
  <c r="AT9" i="7"/>
  <c r="AS9" i="7"/>
  <c r="AR9" i="7"/>
  <c r="AQ9" i="7"/>
  <c r="AP9" i="7"/>
  <c r="AN9" i="7"/>
  <c r="AM9" i="7"/>
  <c r="AL9" i="7"/>
  <c r="AK9" i="7"/>
  <c r="AJ9" i="7"/>
  <c r="AI9" i="7"/>
  <c r="AH9" i="7"/>
  <c r="AG9" i="7"/>
  <c r="AF9" i="7"/>
  <c r="AE9" i="7"/>
  <c r="AD182" i="7" l="1"/>
  <c r="AD9" i="7"/>
  <c r="AF172" i="7"/>
  <c r="BM73" i="7"/>
  <c r="AZ178" i="7"/>
  <c r="AF73" i="7"/>
  <c r="AO280" i="7"/>
  <c r="AD178" i="7"/>
  <c r="AD139" i="7"/>
  <c r="AO178" i="7"/>
  <c r="AD136" i="7"/>
  <c r="AQ73" i="7"/>
  <c r="BB73" i="7"/>
  <c r="BB8" i="7" s="1"/>
  <c r="AZ9" i="7"/>
  <c r="BK280" i="7"/>
  <c r="AD165" i="7"/>
  <c r="AO284" i="7"/>
  <c r="AD238" i="7"/>
  <c r="BK292" i="7"/>
  <c r="BK284" i="7"/>
  <c r="AZ284" i="7"/>
  <c r="AD292" i="7"/>
  <c r="AO292" i="7"/>
  <c r="AD284" i="7"/>
  <c r="AD203" i="7"/>
  <c r="AD260" i="7"/>
  <c r="AD280" i="7"/>
  <c r="AD210" i="7"/>
  <c r="BK238" i="7"/>
  <c r="BK145" i="7"/>
  <c r="AD274" i="7"/>
  <c r="AD245" i="7"/>
  <c r="AZ292" i="7"/>
  <c r="AZ280" i="7"/>
  <c r="AD118" i="7"/>
  <c r="AO165" i="7"/>
  <c r="BK178" i="7"/>
  <c r="AD145" i="7"/>
  <c r="AZ145" i="7"/>
  <c r="AZ108" i="7"/>
  <c r="BK108" i="7"/>
  <c r="AO108" i="7"/>
  <c r="AZ121" i="7"/>
  <c r="AZ118" i="7" s="1"/>
  <c r="BA118" i="7"/>
  <c r="BK121" i="7"/>
  <c r="BK118" i="7" s="1"/>
  <c r="BL118" i="7"/>
  <c r="AO121" i="7"/>
  <c r="AO118" i="7" s="1"/>
  <c r="AP118" i="7"/>
  <c r="AD108" i="7"/>
  <c r="AE311" i="7"/>
  <c r="AD301" i="7"/>
  <c r="AD299" i="7" s="1"/>
  <c r="AE299" i="7"/>
  <c r="BK301" i="7"/>
  <c r="BK299" i="7" s="1"/>
  <c r="BL299" i="7"/>
  <c r="BL248" i="7" s="1"/>
  <c r="AO315" i="7"/>
  <c r="AP311" i="7"/>
  <c r="AZ313" i="7"/>
  <c r="AZ311" i="7" s="1"/>
  <c r="BA311" i="7"/>
  <c r="AO331" i="7"/>
  <c r="AP327" i="7"/>
  <c r="AZ300" i="7"/>
  <c r="AZ299" i="7" s="1"/>
  <c r="BA299" i="7"/>
  <c r="BK305" i="7"/>
  <c r="BK304" i="7" s="1"/>
  <c r="BL304" i="7"/>
  <c r="BL311" i="7"/>
  <c r="AD331" i="7"/>
  <c r="AE327" i="7"/>
  <c r="AZ331" i="7"/>
  <c r="BA327" i="7"/>
  <c r="AZ305" i="7"/>
  <c r="AZ304" i="7" s="1"/>
  <c r="BA304" i="7"/>
  <c r="AD308" i="7"/>
  <c r="BV308" i="7" s="1"/>
  <c r="AE304" i="7"/>
  <c r="BK331" i="7"/>
  <c r="BL327" i="7"/>
  <c r="AD60" i="7"/>
  <c r="AD125" i="7"/>
  <c r="AJ8" i="7"/>
  <c r="AS8" i="7"/>
  <c r="AW8" i="7"/>
  <c r="BF8" i="7"/>
  <c r="BJ8" i="7"/>
  <c r="BO8" i="7"/>
  <c r="BS8" i="7"/>
  <c r="AF8" i="7"/>
  <c r="AK8" i="7"/>
  <c r="BC8" i="7"/>
  <c r="BG8" i="7"/>
  <c r="BP8" i="7"/>
  <c r="BT8" i="7"/>
  <c r="AH187" i="7"/>
  <c r="AL187" i="7"/>
  <c r="AQ187" i="7"/>
  <c r="AU187" i="7"/>
  <c r="AY187" i="7"/>
  <c r="BD187" i="7"/>
  <c r="BH187" i="7"/>
  <c r="BM187" i="7"/>
  <c r="BQ187" i="7"/>
  <c r="BU187" i="7"/>
  <c r="AR187" i="7"/>
  <c r="AV187" i="7"/>
  <c r="BE187" i="7"/>
  <c r="BI187" i="7"/>
  <c r="BN187" i="7"/>
  <c r="BR187" i="7"/>
  <c r="AH248" i="7"/>
  <c r="AS248" i="7"/>
  <c r="AW248" i="7"/>
  <c r="BQ248" i="7"/>
  <c r="BU248" i="7"/>
  <c r="AO299" i="7"/>
  <c r="AG248" i="7"/>
  <c r="AL248" i="7"/>
  <c r="AR248" i="7"/>
  <c r="AV248" i="7"/>
  <c r="BF248" i="7"/>
  <c r="BJ248" i="7"/>
  <c r="BP248" i="7"/>
  <c r="BT248" i="7"/>
  <c r="AG8" i="7"/>
  <c r="AM248" i="7"/>
  <c r="BC248" i="7"/>
  <c r="BG248" i="7"/>
  <c r="AX8" i="7"/>
  <c r="AI187" i="7"/>
  <c r="AL8" i="7"/>
  <c r="AU8" i="7"/>
  <c r="AY8" i="7"/>
  <c r="BD8" i="7"/>
  <c r="BH8" i="7"/>
  <c r="BQ8" i="7"/>
  <c r="BU8" i="7"/>
  <c r="AF187" i="7"/>
  <c r="AJ187" i="7"/>
  <c r="AN187" i="7"/>
  <c r="AS187" i="7"/>
  <c r="AW187" i="7"/>
  <c r="BB187" i="7"/>
  <c r="BF187" i="7"/>
  <c r="BJ187" i="7"/>
  <c r="BO187" i="7"/>
  <c r="BS187" i="7"/>
  <c r="AI248" i="7"/>
  <c r="AN248" i="7"/>
  <c r="AT248" i="7"/>
  <c r="AX248" i="7"/>
  <c r="BD248" i="7"/>
  <c r="BH248" i="7"/>
  <c r="BN248" i="7"/>
  <c r="BR248" i="7"/>
  <c r="AD255" i="7"/>
  <c r="AT8" i="7"/>
  <c r="AM187" i="7"/>
  <c r="AI8" i="7"/>
  <c r="AM8" i="7"/>
  <c r="AR8" i="7"/>
  <c r="AV8" i="7"/>
  <c r="BE8" i="7"/>
  <c r="BI8" i="7"/>
  <c r="BN8" i="7"/>
  <c r="BR8" i="7"/>
  <c r="AG187" i="7"/>
  <c r="AK187" i="7"/>
  <c r="AT187" i="7"/>
  <c r="AX187" i="7"/>
  <c r="BC187" i="7"/>
  <c r="BG187" i="7"/>
  <c r="BP187" i="7"/>
  <c r="BT187" i="7"/>
  <c r="AJ248" i="7"/>
  <c r="AP248" i="7"/>
  <c r="AU248" i="7"/>
  <c r="AY248" i="7"/>
  <c r="BE248" i="7"/>
  <c r="BI248" i="7"/>
  <c r="BO248" i="7"/>
  <c r="BS248" i="7"/>
  <c r="AD16" i="7"/>
  <c r="AZ165" i="7"/>
  <c r="AO145" i="7"/>
  <c r="BK165" i="7"/>
  <c r="AD156" i="7"/>
  <c r="AD73" i="7"/>
  <c r="BK136" i="7"/>
  <c r="AD172" i="7"/>
  <c r="AD271" i="7"/>
  <c r="AD188" i="7"/>
  <c r="AD47" i="7"/>
  <c r="BV47" i="7" s="1"/>
  <c r="BA274" i="7"/>
  <c r="BK271" i="7"/>
  <c r="AQ249" i="7"/>
  <c r="AQ248" i="7" s="1"/>
  <c r="BB249" i="7"/>
  <c r="BB248" i="7" s="1"/>
  <c r="AK274" i="7"/>
  <c r="AK248" i="7" s="1"/>
  <c r="BM249" i="7"/>
  <c r="BM248" i="7" s="1"/>
  <c r="AO245" i="7"/>
  <c r="AP73" i="7"/>
  <c r="BL73" i="7"/>
  <c r="AH60" i="7"/>
  <c r="AH8" i="7" s="1"/>
  <c r="BA73" i="7"/>
  <c r="AF263" i="7"/>
  <c r="AF248" i="7" s="1"/>
  <c r="AO203" i="7"/>
  <c r="BK182" i="7"/>
  <c r="AE156" i="7"/>
  <c r="AE73" i="7"/>
  <c r="AP221" i="7"/>
  <c r="AP187" i="7" s="1"/>
  <c r="BA221" i="7"/>
  <c r="BA187" i="7" s="1"/>
  <c r="BL221" i="7"/>
  <c r="BL187" i="7" s="1"/>
  <c r="BK333" i="7"/>
  <c r="BV333" i="7" s="1"/>
  <c r="BK9" i="7"/>
  <c r="AO260" i="7"/>
  <c r="AZ255" i="7"/>
  <c r="BK210" i="7"/>
  <c r="AZ245" i="7"/>
  <c r="AO255" i="7"/>
  <c r="BK125" i="7"/>
  <c r="AZ203" i="7"/>
  <c r="AZ182" i="7"/>
  <c r="AO210" i="7"/>
  <c r="AZ231" i="7"/>
  <c r="AZ210" i="7"/>
  <c r="AZ260" i="7"/>
  <c r="AO136" i="7"/>
  <c r="BV344" i="7"/>
  <c r="BK139" i="7"/>
  <c r="AO271" i="7"/>
  <c r="AZ238" i="7"/>
  <c r="AO156" i="7"/>
  <c r="AO9" i="7"/>
  <c r="AO139" i="7"/>
  <c r="AZ156" i="7"/>
  <c r="AZ139" i="7"/>
  <c r="BK16" i="7"/>
  <c r="BV346" i="7"/>
  <c r="BK245" i="7"/>
  <c r="AO60" i="7"/>
  <c r="AO238" i="7"/>
  <c r="BV174" i="7"/>
  <c r="BK241" i="7"/>
  <c r="BV198" i="7"/>
  <c r="BV173" i="7"/>
  <c r="BV199" i="7"/>
  <c r="BV176" i="7"/>
  <c r="BV197" i="7"/>
  <c r="BV200" i="7"/>
  <c r="BV127" i="7"/>
  <c r="BV128" i="7"/>
  <c r="BV129" i="7"/>
  <c r="BV175" i="7"/>
  <c r="BV229" i="7"/>
  <c r="AO263" i="7"/>
  <c r="BV266" i="7"/>
  <c r="BV270" i="7"/>
  <c r="BV293" i="7"/>
  <c r="BV296" i="7"/>
  <c r="BV297" i="7"/>
  <c r="BV298" i="7"/>
  <c r="BV71" i="7"/>
  <c r="BV112" i="7"/>
  <c r="AO213" i="7"/>
  <c r="BV103" i="7"/>
  <c r="BV107" i="7"/>
  <c r="BV328" i="7"/>
  <c r="BV281" i="7"/>
  <c r="BV310" i="7"/>
  <c r="AZ271" i="7"/>
  <c r="BV57" i="7"/>
  <c r="BV58" i="7"/>
  <c r="BV72" i="7"/>
  <c r="AZ37" i="7"/>
  <c r="BV148" i="7"/>
  <c r="BV149" i="7"/>
  <c r="BV151" i="7"/>
  <c r="BV152" i="7"/>
  <c r="BV154" i="7"/>
  <c r="BV155" i="7"/>
  <c r="BK263" i="7"/>
  <c r="AZ73" i="7"/>
  <c r="BV18" i="7"/>
  <c r="BV19" i="7"/>
  <c r="BV20" i="7"/>
  <c r="BV23" i="7"/>
  <c r="BV24" i="7"/>
  <c r="BV25" i="7"/>
  <c r="BV28" i="7"/>
  <c r="BV29" i="7"/>
  <c r="BV30" i="7"/>
  <c r="BV31" i="7"/>
  <c r="BV32" i="7"/>
  <c r="BV52" i="7"/>
  <c r="BV53" i="7"/>
  <c r="AZ60" i="7"/>
  <c r="BV76" i="7"/>
  <c r="BV77" i="7"/>
  <c r="BV79" i="7"/>
  <c r="BV80" i="7"/>
  <c r="BV81" i="7"/>
  <c r="BV82" i="7"/>
  <c r="BV83" i="7"/>
  <c r="BV87" i="7"/>
  <c r="BV90" i="7"/>
  <c r="BV91" i="7"/>
  <c r="BV95" i="7"/>
  <c r="BV96" i="7"/>
  <c r="BV97" i="7"/>
  <c r="BV99" i="7"/>
  <c r="BV100" i="7"/>
  <c r="BV101" i="7"/>
  <c r="BV102" i="7"/>
  <c r="BK255" i="7"/>
  <c r="BV35" i="7"/>
  <c r="BV244" i="7"/>
  <c r="AO241" i="7"/>
  <c r="BV34" i="7"/>
  <c r="BK37" i="7"/>
  <c r="BV166" i="7"/>
  <c r="BV106" i="7"/>
  <c r="BV137" i="7"/>
  <c r="BV138" i="7"/>
  <c r="BV157" i="7"/>
  <c r="BV158" i="7"/>
  <c r="BV160" i="7"/>
  <c r="BV161" i="7"/>
  <c r="BV162" i="7"/>
  <c r="BV163" i="7"/>
  <c r="BV164" i="7"/>
  <c r="BV179" i="7"/>
  <c r="BV186" i="7"/>
  <c r="BV185" i="7" s="1"/>
  <c r="BK203" i="7"/>
  <c r="BV211" i="7"/>
  <c r="AZ213" i="7"/>
  <c r="BV220" i="7"/>
  <c r="BV219" i="7" s="1"/>
  <c r="BV222" i="7"/>
  <c r="AO221" i="7"/>
  <c r="BV256" i="7"/>
  <c r="BV259" i="7"/>
  <c r="BV326" i="7"/>
  <c r="BV334" i="7"/>
  <c r="BV339" i="7"/>
  <c r="BV56" i="7"/>
  <c r="BV85" i="7"/>
  <c r="BV86" i="7"/>
  <c r="BV109" i="7"/>
  <c r="BV110" i="7"/>
  <c r="BV115" i="7"/>
  <c r="BV116" i="7"/>
  <c r="BV132" i="7"/>
  <c r="BV133" i="7"/>
  <c r="BV134" i="7"/>
  <c r="BV144" i="7"/>
  <c r="BV330" i="7"/>
  <c r="BV183" i="7"/>
  <c r="BV184" i="7"/>
  <c r="BV189" i="7"/>
  <c r="BV192" i="7"/>
  <c r="BV193" i="7"/>
  <c r="BV194" i="7"/>
  <c r="AZ188" i="7"/>
  <c r="BV215" i="7"/>
  <c r="BV216" i="7"/>
  <c r="BK213" i="7"/>
  <c r="BV224" i="7"/>
  <c r="BV225" i="7"/>
  <c r="BV233" i="7"/>
  <c r="BV235" i="7"/>
  <c r="BV38" i="7"/>
  <c r="BV43" i="7"/>
  <c r="BV44" i="7"/>
  <c r="BV48" i="7"/>
  <c r="BV49" i="7"/>
  <c r="BV50" i="7"/>
  <c r="BV51" i="7"/>
  <c r="BV63" i="7"/>
  <c r="BV64" i="7"/>
  <c r="BV65" i="7"/>
  <c r="BV68" i="7"/>
  <c r="BV69" i="7"/>
  <c r="BV119" i="7"/>
  <c r="AZ136" i="7"/>
  <c r="BV169" i="7"/>
  <c r="AO188" i="7"/>
  <c r="BV218" i="7"/>
  <c r="AD219" i="7"/>
  <c r="AO231" i="7"/>
  <c r="BV247" i="7"/>
  <c r="AO249" i="7"/>
  <c r="BK260" i="7"/>
  <c r="BV264" i="7"/>
  <c r="BK274" i="7"/>
  <c r="BV226" i="7"/>
  <c r="BV227" i="7"/>
  <c r="BV230" i="7"/>
  <c r="BK231" i="7"/>
  <c r="BV242" i="7"/>
  <c r="BK249" i="7"/>
  <c r="BV272" i="7"/>
  <c r="BV273" i="7"/>
  <c r="BV275" i="7"/>
  <c r="BV276" i="7"/>
  <c r="BV278" i="7"/>
  <c r="BV285" i="7"/>
  <c r="BV288" i="7"/>
  <c r="BV289" i="7"/>
  <c r="BV290" i="7"/>
  <c r="BV307" i="7"/>
  <c r="BV314" i="7"/>
  <c r="BV342" i="7"/>
  <c r="BV343" i="7"/>
  <c r="BV345" i="7"/>
  <c r="BV347" i="7"/>
  <c r="AZ249" i="7"/>
  <c r="AZ263" i="7"/>
  <c r="AO274" i="7"/>
  <c r="BV319" i="7"/>
  <c r="BV337" i="7"/>
  <c r="BV13" i="7"/>
  <c r="BV12" i="7" s="1"/>
  <c r="BV15" i="7"/>
  <c r="BV14" i="7" s="1"/>
  <c r="AO16" i="7"/>
  <c r="BV21" i="7"/>
  <c r="BV22" i="7"/>
  <c r="BV33" i="7"/>
  <c r="AO37" i="7"/>
  <c r="BV40" i="7"/>
  <c r="BV41" i="7"/>
  <c r="BV42" i="7"/>
  <c r="BV59" i="7"/>
  <c r="BV66" i="7"/>
  <c r="BV67" i="7"/>
  <c r="BK73" i="7"/>
  <c r="BV84" i="7"/>
  <c r="BV88" i="7"/>
  <c r="BV89" i="7"/>
  <c r="BV104" i="7"/>
  <c r="BV105" i="7"/>
  <c r="BV114" i="7"/>
  <c r="BV123" i="7"/>
  <c r="BV124" i="7"/>
  <c r="AO125" i="7"/>
  <c r="BV140" i="7"/>
  <c r="BV146" i="7"/>
  <c r="BV167" i="7"/>
  <c r="BV168" i="7"/>
  <c r="BV170" i="7"/>
  <c r="BV322" i="7"/>
  <c r="BV329" i="7"/>
  <c r="BV180" i="7"/>
  <c r="BV324" i="7"/>
  <c r="BV325" i="7"/>
  <c r="BV10" i="7"/>
  <c r="BV11" i="7"/>
  <c r="AZ16" i="7"/>
  <c r="BV26" i="7"/>
  <c r="BV27" i="7"/>
  <c r="BV36" i="7"/>
  <c r="BV45" i="7"/>
  <c r="BV46" i="7"/>
  <c r="BV54" i="7"/>
  <c r="BV55" i="7"/>
  <c r="BK60" i="7"/>
  <c r="BV70" i="7"/>
  <c r="BV74" i="7"/>
  <c r="BV75" i="7"/>
  <c r="BV92" i="7"/>
  <c r="BV93" i="7"/>
  <c r="BV94" i="7"/>
  <c r="AZ125" i="7"/>
  <c r="BV130" i="7"/>
  <c r="BV131" i="7"/>
  <c r="BV141" i="7"/>
  <c r="BV142" i="7"/>
  <c r="BV143" i="7"/>
  <c r="BV147" i="7"/>
  <c r="BK156" i="7"/>
  <c r="BV171" i="7"/>
  <c r="BK177" i="7"/>
  <c r="BK172" i="7" s="1"/>
  <c r="BM172" i="7"/>
  <c r="BV181" i="7"/>
  <c r="BV190" i="7"/>
  <c r="BK188" i="7"/>
  <c r="AN60" i="7"/>
  <c r="AN8" i="7" s="1"/>
  <c r="BV61" i="7"/>
  <c r="BV62" i="7"/>
  <c r="AO73" i="7"/>
  <c r="BV78" i="7"/>
  <c r="BV98" i="7"/>
  <c r="BV126" i="7"/>
  <c r="BV135" i="7"/>
  <c r="BV150" i="7"/>
  <c r="BV159" i="7"/>
  <c r="AO177" i="7"/>
  <c r="AQ172" i="7"/>
  <c r="BV17" i="7"/>
  <c r="BV39" i="7"/>
  <c r="BV111" i="7"/>
  <c r="BV122" i="7"/>
  <c r="BV317" i="7"/>
  <c r="BV204" i="7"/>
  <c r="BV113" i="7"/>
  <c r="BV191" i="7"/>
  <c r="BV205" i="7"/>
  <c r="BV209" i="7"/>
  <c r="BV208" i="7" s="1"/>
  <c r="BV212" i="7"/>
  <c r="AD217" i="7"/>
  <c r="BV217" i="7" s="1"/>
  <c r="AE213" i="7"/>
  <c r="BK221" i="7"/>
  <c r="AD232" i="7"/>
  <c r="AD231" i="7" s="1"/>
  <c r="AE231" i="7"/>
  <c r="BV237" i="7"/>
  <c r="BV236" i="7" s="1"/>
  <c r="BV239" i="7"/>
  <c r="BV240" i="7"/>
  <c r="AZ241" i="7"/>
  <c r="BV246" i="7"/>
  <c r="BV257" i="7"/>
  <c r="BV265" i="7"/>
  <c r="BV195" i="7"/>
  <c r="BV196" i="7"/>
  <c r="BV234" i="7"/>
  <c r="BV294" i="7"/>
  <c r="BV202" i="7"/>
  <c r="BV201" i="7" s="1"/>
  <c r="BV207" i="7"/>
  <c r="BV206" i="7" s="1"/>
  <c r="BV214" i="7"/>
  <c r="AD223" i="7"/>
  <c r="AD221" i="7" s="1"/>
  <c r="AE221" i="7"/>
  <c r="AZ221" i="7"/>
  <c r="BV228" i="7"/>
  <c r="BV243" i="7"/>
  <c r="BV286" i="7"/>
  <c r="BV258" i="7"/>
  <c r="AD267" i="7"/>
  <c r="BV267" i="7" s="1"/>
  <c r="AE263" i="7"/>
  <c r="BV282" i="7"/>
  <c r="BV287" i="7"/>
  <c r="BV295" i="7"/>
  <c r="AD305" i="7"/>
  <c r="AD340" i="7"/>
  <c r="BV340" i="7" s="1"/>
  <c r="BV254" i="7"/>
  <c r="BV261" i="7"/>
  <c r="BV268" i="7"/>
  <c r="BV269" i="7"/>
  <c r="AZ274" i="7"/>
  <c r="BV277" i="7"/>
  <c r="BV283" i="7"/>
  <c r="BV291" i="7"/>
  <c r="BV302" i="7"/>
  <c r="AO316" i="7"/>
  <c r="AD335" i="7"/>
  <c r="BV335" i="7" s="1"/>
  <c r="BV250" i="7"/>
  <c r="AD251" i="7"/>
  <c r="AD249" i="7" s="1"/>
  <c r="AE249" i="7"/>
  <c r="BV262" i="7"/>
  <c r="BV279" i="7"/>
  <c r="BV320" i="7"/>
  <c r="BV321" i="7"/>
  <c r="BV336" i="7"/>
  <c r="BV341" i="7"/>
  <c r="AO305" i="7"/>
  <c r="AO304" i="7" s="1"/>
  <c r="BV312" i="7"/>
  <c r="BK313" i="7"/>
  <c r="BK311" i="7" s="1"/>
  <c r="BV306" i="7"/>
  <c r="AD315" i="7"/>
  <c r="AD311" i="7" s="1"/>
  <c r="BV332" i="7"/>
  <c r="AO338" i="7"/>
  <c r="BV338" i="7" s="1"/>
  <c r="BM8" i="7" l="1"/>
  <c r="AQ8" i="7"/>
  <c r="AQ348" i="7" s="1"/>
  <c r="BL8" i="7"/>
  <c r="AD304" i="7"/>
  <c r="AO311" i="7"/>
  <c r="AE303" i="7"/>
  <c r="BV301" i="7"/>
  <c r="BV331" i="7"/>
  <c r="BV327" i="7" s="1"/>
  <c r="BA248" i="7"/>
  <c r="AP8" i="7"/>
  <c r="BA8" i="7"/>
  <c r="AZ327" i="7"/>
  <c r="AZ303" i="7" s="1"/>
  <c r="BV121" i="7"/>
  <c r="BV118" i="7" s="1"/>
  <c r="BV300" i="7"/>
  <c r="BV108" i="7"/>
  <c r="AP303" i="7"/>
  <c r="BL303" i="7"/>
  <c r="BA303" i="7"/>
  <c r="AE248" i="7"/>
  <c r="AE187" i="7"/>
  <c r="AZ8" i="7"/>
  <c r="AE8" i="7"/>
  <c r="AZ248" i="7"/>
  <c r="BK327" i="7"/>
  <c r="BK303" i="7" s="1"/>
  <c r="AD327" i="7"/>
  <c r="BK248" i="7"/>
  <c r="AZ187" i="7"/>
  <c r="AO327" i="7"/>
  <c r="BK187" i="7"/>
  <c r="BV284" i="7"/>
  <c r="AO248" i="7"/>
  <c r="AO187" i="7"/>
  <c r="BV280" i="7"/>
  <c r="BV292" i="7"/>
  <c r="BK8" i="7"/>
  <c r="BV145" i="7"/>
  <c r="BV165" i="7"/>
  <c r="AD263" i="7"/>
  <c r="AD213" i="7"/>
  <c r="AD37" i="7"/>
  <c r="AH348" i="7"/>
  <c r="AL348" i="7"/>
  <c r="AT348" i="7"/>
  <c r="AF348" i="7"/>
  <c r="BB348" i="7"/>
  <c r="AM348" i="7"/>
  <c r="BR348" i="7"/>
  <c r="BO348" i="7"/>
  <c r="AI348" i="7"/>
  <c r="AJ348" i="7"/>
  <c r="BF348" i="7"/>
  <c r="BH348" i="7"/>
  <c r="BN348" i="7"/>
  <c r="BQ348" i="7"/>
  <c r="BI348" i="7"/>
  <c r="AK348" i="7"/>
  <c r="BD348" i="7"/>
  <c r="AR348" i="7"/>
  <c r="BE348" i="7"/>
  <c r="AV348" i="7"/>
  <c r="AW348" i="7"/>
  <c r="AG348" i="7"/>
  <c r="BP348" i="7"/>
  <c r="BJ348" i="7"/>
  <c r="AS348" i="7"/>
  <c r="BS348" i="7"/>
  <c r="AY348" i="7"/>
  <c r="BG348" i="7"/>
  <c r="BT348" i="7"/>
  <c r="AU348" i="7"/>
  <c r="BC348" i="7"/>
  <c r="BM348" i="7"/>
  <c r="AX348" i="7"/>
  <c r="BU348" i="7"/>
  <c r="BV182" i="7"/>
  <c r="BV9" i="7"/>
  <c r="BV125" i="7"/>
  <c r="BV178" i="7"/>
  <c r="BV156" i="7"/>
  <c r="BV316" i="7"/>
  <c r="BV238" i="7"/>
  <c r="BV271" i="7"/>
  <c r="BV274" i="7"/>
  <c r="BV241" i="7"/>
  <c r="BV213" i="7"/>
  <c r="BV210" i="7"/>
  <c r="BV245" i="7"/>
  <c r="BV16" i="7"/>
  <c r="BV37" i="7"/>
  <c r="BV177" i="7"/>
  <c r="BV172" i="7" s="1"/>
  <c r="BV260" i="7"/>
  <c r="BV255" i="7"/>
  <c r="BV263" i="7"/>
  <c r="BV188" i="7"/>
  <c r="BV60" i="7"/>
  <c r="BV136" i="7"/>
  <c r="BV313" i="7"/>
  <c r="BV139" i="7"/>
  <c r="BV251" i="7"/>
  <c r="BV249" i="7" s="1"/>
  <c r="AO172" i="7"/>
  <c r="AO8" i="7" s="1"/>
  <c r="BV315" i="7"/>
  <c r="BV223" i="7"/>
  <c r="BV221" i="7" s="1"/>
  <c r="BV232" i="7"/>
  <c r="BV231" i="7" s="1"/>
  <c r="BV203" i="7"/>
  <c r="BV305" i="7"/>
  <c r="BV304" i="7" s="1"/>
  <c r="BV73" i="7"/>
  <c r="AO303" i="7" l="1"/>
  <c r="BV299" i="7"/>
  <c r="BV248" i="7" s="1"/>
  <c r="BV311" i="7"/>
  <c r="BV303" i="7" s="1"/>
  <c r="BV187" i="7"/>
  <c r="BV8" i="7"/>
  <c r="BA348" i="7"/>
  <c r="AE348" i="7"/>
  <c r="AZ348" i="7"/>
  <c r="AN348" i="7"/>
  <c r="BL348" i="7"/>
  <c r="AD187" i="7"/>
  <c r="AD248" i="7"/>
  <c r="AD303" i="7"/>
  <c r="AP348" i="7"/>
  <c r="AD8" i="7" l="1"/>
  <c r="AD348" i="7" s="1"/>
  <c r="BK348" i="7"/>
  <c r="AO348" i="7"/>
  <c r="BV3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Lenovo</author>
    <author>AUXPLANEACION03</author>
    <author>AUXPLANEACION32</author>
  </authors>
  <commentList>
    <comment ref="Q115" authorId="0" shapeId="0" xr:uid="{00000000-0006-0000-0000-000001000000}">
      <text>
        <r>
          <rPr>
            <b/>
            <sz val="9"/>
            <color indexed="81"/>
            <rFont val="Tahoma"/>
            <family val="2"/>
          </rPr>
          <t xml:space="preserve">UsuaBo esta en el POAI </t>
        </r>
      </text>
    </comment>
    <comment ref="R115" authorId="0" shapeId="0" xr:uid="{00000000-0006-0000-0000-000002000000}">
      <text>
        <r>
          <rPr>
            <b/>
            <sz val="9"/>
            <color indexed="81"/>
            <rFont val="Tahoma"/>
            <family val="2"/>
          </rPr>
          <t xml:space="preserve">UsuaBo esta en el POAI </t>
        </r>
      </text>
    </comment>
    <comment ref="Q116" authorId="0" shapeId="0" xr:uid="{00000000-0006-0000-0000-000003000000}">
      <text>
        <r>
          <rPr>
            <b/>
            <sz val="9"/>
            <color indexed="81"/>
            <rFont val="Tahoma"/>
            <family val="2"/>
          </rPr>
          <t>Usuario:</t>
        </r>
        <r>
          <rPr>
            <sz val="9"/>
            <color indexed="81"/>
            <rFont val="Tahoma"/>
            <family val="2"/>
          </rPr>
          <t xml:space="preserve">
NO ESTA EN EL POAI </t>
        </r>
      </text>
    </comment>
    <comment ref="R116" authorId="0" shapeId="0" xr:uid="{00000000-0006-0000-0000-000004000000}">
      <text>
        <r>
          <rPr>
            <b/>
            <sz val="9"/>
            <color indexed="81"/>
            <rFont val="Tahoma"/>
            <family val="2"/>
          </rPr>
          <t>Usuario:</t>
        </r>
        <r>
          <rPr>
            <sz val="9"/>
            <color indexed="81"/>
            <rFont val="Tahoma"/>
            <family val="2"/>
          </rPr>
          <t xml:space="preserve">
NO ESTA EN EL POAI </t>
        </r>
      </text>
    </comment>
    <comment ref="Q117" authorId="0" shapeId="0" xr:uid="{00000000-0006-0000-0000-000005000000}">
      <text>
        <r>
          <rPr>
            <b/>
            <sz val="9"/>
            <color indexed="81"/>
            <rFont val="Tahoma"/>
            <family val="2"/>
          </rPr>
          <t>Usuario:</t>
        </r>
        <r>
          <rPr>
            <sz val="9"/>
            <color indexed="81"/>
            <rFont val="Tahoma"/>
            <family val="2"/>
          </rPr>
          <t xml:space="preserve">
NO ESTA EN EL POAI</t>
        </r>
      </text>
    </comment>
    <comment ref="Q119" authorId="0" shapeId="0" xr:uid="{00000000-0006-0000-0000-000006000000}">
      <text>
        <r>
          <rPr>
            <b/>
            <sz val="9"/>
            <color indexed="81"/>
            <rFont val="Tahoma"/>
            <family val="2"/>
          </rPr>
          <t>Usuario:</t>
        </r>
        <r>
          <rPr>
            <sz val="9"/>
            <color indexed="81"/>
            <rFont val="Tahoma"/>
            <family val="2"/>
          </rPr>
          <t xml:space="preserve">
NO ESTA EN EL POAI </t>
        </r>
      </text>
    </comment>
    <comment ref="R119" authorId="0" shapeId="0" xr:uid="{00000000-0006-0000-0000-000007000000}">
      <text>
        <r>
          <rPr>
            <b/>
            <sz val="9"/>
            <color indexed="81"/>
            <rFont val="Tahoma"/>
            <family val="2"/>
          </rPr>
          <t>Usuario:</t>
        </r>
        <r>
          <rPr>
            <sz val="9"/>
            <color indexed="81"/>
            <rFont val="Tahoma"/>
            <family val="2"/>
          </rPr>
          <t xml:space="preserve">
NO ESTA EN EL POAI </t>
        </r>
      </text>
    </comment>
    <comment ref="Q122" authorId="0" shapeId="0" xr:uid="{00000000-0006-0000-0000-000008000000}">
      <text>
        <r>
          <rPr>
            <b/>
            <sz val="9"/>
            <color indexed="81"/>
            <rFont val="Tahoma"/>
            <family val="2"/>
          </rPr>
          <t>Usuario:</t>
        </r>
        <r>
          <rPr>
            <sz val="9"/>
            <color indexed="81"/>
            <rFont val="Tahoma"/>
            <family val="2"/>
          </rPr>
          <t xml:space="preserve">
NO ESTA EN EL POAI </t>
        </r>
      </text>
    </comment>
    <comment ref="R122" authorId="0" shapeId="0" xr:uid="{00000000-0006-0000-0000-000009000000}">
      <text>
        <r>
          <rPr>
            <b/>
            <sz val="9"/>
            <color indexed="81"/>
            <rFont val="Tahoma"/>
            <family val="2"/>
          </rPr>
          <t>Usuario:</t>
        </r>
        <r>
          <rPr>
            <sz val="9"/>
            <color indexed="81"/>
            <rFont val="Tahoma"/>
            <family val="2"/>
          </rPr>
          <t xml:space="preserve">
NO ESTA EN EL POAI </t>
        </r>
      </text>
    </comment>
    <comment ref="Q123" authorId="0" shapeId="0" xr:uid="{00000000-0006-0000-0000-00000A000000}">
      <text>
        <r>
          <rPr>
            <b/>
            <sz val="9"/>
            <color indexed="81"/>
            <rFont val="Tahoma"/>
            <family val="2"/>
          </rPr>
          <t>Usuario:</t>
        </r>
        <r>
          <rPr>
            <sz val="9"/>
            <color indexed="81"/>
            <rFont val="Tahoma"/>
            <family val="2"/>
          </rPr>
          <t xml:space="preserve">
NO ESTA EN EL POAI </t>
        </r>
      </text>
    </comment>
    <comment ref="R123" authorId="0" shapeId="0" xr:uid="{00000000-0006-0000-0000-00000B000000}">
      <text>
        <r>
          <rPr>
            <b/>
            <sz val="9"/>
            <color indexed="81"/>
            <rFont val="Tahoma"/>
            <family val="2"/>
          </rPr>
          <t>Usuario:</t>
        </r>
        <r>
          <rPr>
            <sz val="9"/>
            <color indexed="81"/>
            <rFont val="Tahoma"/>
            <family val="2"/>
          </rPr>
          <t xml:space="preserve">
NO ESTA EN EL POAI </t>
        </r>
      </text>
    </comment>
    <comment ref="H168" authorId="1" shapeId="0" xr:uid="{00000000-0006-0000-0000-00000C000000}">
      <text>
        <r>
          <rPr>
            <b/>
            <sz val="9"/>
            <color indexed="81"/>
            <rFont val="Tahoma"/>
            <family val="2"/>
          </rPr>
          <t>Lenovo:</t>
        </r>
        <r>
          <rPr>
            <sz val="9"/>
            <color indexed="81"/>
            <rFont val="Tahoma"/>
            <family val="2"/>
          </rPr>
          <t xml:space="preserve">
revisar si se puede poner el porcentaje, sujeto a la ejecución del presupuesto y a las solicitudes de ayudes
</t>
        </r>
      </text>
    </comment>
    <comment ref="Y177" authorId="2" shapeId="0" xr:uid="{00000000-0006-0000-0000-00000D000000}">
      <text>
        <r>
          <rPr>
            <b/>
            <sz val="9"/>
            <color indexed="81"/>
            <rFont val="Tahoma"/>
            <family val="2"/>
          </rPr>
          <t>AUXPLANEACION03:</t>
        </r>
        <r>
          <rPr>
            <sz val="9"/>
            <color indexed="81"/>
            <rFont val="Tahoma"/>
            <family val="2"/>
          </rPr>
          <t xml:space="preserve">
Promotora 4
</t>
        </r>
      </text>
    </comment>
    <comment ref="V228" authorId="3" shapeId="0" xr:uid="{00000000-0006-0000-0000-00000E000000}">
      <text>
        <r>
          <rPr>
            <b/>
            <sz val="9"/>
            <color indexed="81"/>
            <rFont val="Tahoma"/>
            <family val="2"/>
          </rPr>
          <t>AUXPLANEACION32:</t>
        </r>
        <r>
          <rPr>
            <sz val="9"/>
            <color indexed="81"/>
            <rFont val="Tahoma"/>
            <family val="2"/>
          </rPr>
          <t xml:space="preserve">
Fortalecimiento de las Agencias de Inversión.</t>
        </r>
      </text>
    </comment>
    <comment ref="Y251" authorId="2" shapeId="0" xr:uid="{00000000-0006-0000-0000-00000F000000}">
      <text>
        <r>
          <rPr>
            <b/>
            <sz val="9"/>
            <color indexed="81"/>
            <rFont val="Tahoma"/>
            <family val="2"/>
          </rPr>
          <t>AUXPLANEACION03:</t>
        </r>
        <r>
          <rPr>
            <sz val="9"/>
            <color indexed="81"/>
            <rFont val="Tahoma"/>
            <family val="2"/>
          </rPr>
          <t xml:space="preserve">
Proviquindio 20</t>
        </r>
      </text>
    </comment>
    <comment ref="Y252" authorId="2" shapeId="0" xr:uid="{00000000-0006-0000-0000-000010000000}">
      <text>
        <r>
          <rPr>
            <b/>
            <sz val="9"/>
            <color indexed="81"/>
            <rFont val="Tahoma"/>
            <family val="2"/>
          </rPr>
          <t>AUXPLANEACION03:</t>
        </r>
        <r>
          <rPr>
            <sz val="9"/>
            <color indexed="81"/>
            <rFont val="Tahoma"/>
            <family val="2"/>
          </rPr>
          <t xml:space="preserve">
Proviquindio 20</t>
        </r>
      </text>
    </comment>
    <comment ref="Y253" authorId="2" shapeId="0" xr:uid="{00000000-0006-0000-0000-000011000000}">
      <text>
        <r>
          <rPr>
            <b/>
            <sz val="9"/>
            <color indexed="81"/>
            <rFont val="Tahoma"/>
            <family val="2"/>
          </rPr>
          <t>AUXPLANEACION03:</t>
        </r>
        <r>
          <rPr>
            <sz val="9"/>
            <color indexed="81"/>
            <rFont val="Tahoma"/>
            <family val="2"/>
          </rPr>
          <t xml:space="preserve">
Proviquindio 20</t>
        </r>
      </text>
    </comment>
    <comment ref="Q305" authorId="0" shapeId="0" xr:uid="{00000000-0006-0000-0000-000012000000}">
      <text>
        <r>
          <rPr>
            <b/>
            <sz val="9"/>
            <color indexed="81"/>
            <rFont val="Tahoma"/>
            <family val="2"/>
          </rPr>
          <t>Usuario:</t>
        </r>
        <r>
          <rPr>
            <sz val="9"/>
            <color indexed="81"/>
            <rFont val="Tahoma"/>
            <family val="2"/>
          </rPr>
          <t xml:space="preserve">
Lo valores no coinciden </t>
        </r>
      </text>
    </comment>
    <comment ref="R305" authorId="0" shapeId="0" xr:uid="{00000000-0006-0000-0000-000013000000}">
      <text>
        <r>
          <rPr>
            <b/>
            <sz val="9"/>
            <color indexed="81"/>
            <rFont val="Tahoma"/>
            <family val="2"/>
          </rPr>
          <t>Usuario:</t>
        </r>
        <r>
          <rPr>
            <sz val="9"/>
            <color indexed="81"/>
            <rFont val="Tahoma"/>
            <family val="2"/>
          </rPr>
          <t xml:space="preserve">
Lo valores no coinciden </t>
        </r>
      </text>
    </comment>
    <comment ref="Q308" authorId="0" shapeId="0" xr:uid="{00000000-0006-0000-0000-000014000000}">
      <text>
        <r>
          <rPr>
            <b/>
            <sz val="9"/>
            <color indexed="81"/>
            <rFont val="Tahoma"/>
            <family val="2"/>
          </rPr>
          <t>Usuario:</t>
        </r>
        <r>
          <rPr>
            <sz val="9"/>
            <color indexed="81"/>
            <rFont val="Tahoma"/>
            <family val="2"/>
          </rPr>
          <t xml:space="preserve">
los valores no coinciden</t>
        </r>
      </text>
    </comment>
    <comment ref="R308" authorId="0" shapeId="0" xr:uid="{00000000-0006-0000-0000-000015000000}">
      <text>
        <r>
          <rPr>
            <b/>
            <sz val="9"/>
            <color indexed="81"/>
            <rFont val="Tahoma"/>
            <family val="2"/>
          </rPr>
          <t>Usuario:</t>
        </r>
        <r>
          <rPr>
            <sz val="9"/>
            <color indexed="81"/>
            <rFont val="Tahoma"/>
            <family val="2"/>
          </rPr>
          <t xml:space="preserve">
los valores no coinciden</t>
        </r>
      </text>
    </comment>
    <comment ref="Q309" authorId="0" shapeId="0" xr:uid="{00000000-0006-0000-0000-000016000000}">
      <text>
        <r>
          <rPr>
            <b/>
            <sz val="9"/>
            <color indexed="81"/>
            <rFont val="Tahoma"/>
            <family val="2"/>
          </rPr>
          <t xml:space="preserve">Usuar
No coinciden los valores </t>
        </r>
      </text>
    </comment>
    <comment ref="R309" authorId="0" shapeId="0" xr:uid="{00000000-0006-0000-0000-000017000000}">
      <text>
        <r>
          <rPr>
            <b/>
            <sz val="9"/>
            <color indexed="81"/>
            <rFont val="Tahoma"/>
            <family val="2"/>
          </rPr>
          <t xml:space="preserve">Usuar
No coinciden los valores </t>
        </r>
      </text>
    </comment>
  </commentList>
</comments>
</file>

<file path=xl/sharedStrings.xml><?xml version="1.0" encoding="utf-8"?>
<sst xmlns="http://schemas.openxmlformats.org/spreadsheetml/2006/main" count="4402" uniqueCount="1712">
  <si>
    <t>1 de 1</t>
  </si>
  <si>
    <t>Índice de Gestión del Modelo Integrado de Planeación y de Gestión MIPG  de la Administración Departamental</t>
  </si>
  <si>
    <t>Implementación de  las Dimensiones y Politicas  del Modelo Integrado de Planeación y de Gestión MIPG</t>
  </si>
  <si>
    <t>Estrategias  de actualización, depuración, seguimiento y evaluación de las bases de datos  del Pasivo Pensional  de la Administración Departamental.</t>
  </si>
  <si>
    <t>Porcentaje promedio  de participación de ciudadanos en los eventos de elección popular.</t>
  </si>
  <si>
    <t>Implementación del Plan de Acción del Sistema Departamental de Servicio a la Ciudadanía SDSC</t>
  </si>
  <si>
    <t>LIDERAZGO, GOBERNABILIDAD Y TRANSPARENCIA</t>
  </si>
  <si>
    <t>Fortalecimiento técnico y logístico del  Consejo Territorial de Planeación Departamental, como representantes de la sociedad civil en la planeación  del desarrollo integral  de la entidad territorial</t>
  </si>
  <si>
    <t>M</t>
  </si>
  <si>
    <t>I</t>
  </si>
  <si>
    <t>Instrumentos de planificación para el ordenamiento y la gestión territorial departamental (Plan de Desarrollo Departamental PDD, Ordenamiento Territorial, Sistema de Información Geográfica, Mecanismos de Integración, Catastro multipropósito etc.).</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</si>
  <si>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</si>
  <si>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</si>
  <si>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Entes territoriales  con servicio de asistencia técnica en la Medición del Desempeño Municipal.</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</si>
  <si>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</si>
  <si>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</si>
  <si>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</si>
  <si>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Estrategia para el mejoramiento del Índice de Desempeño Fiscal en la Administración Departamental.</t>
  </si>
  <si>
    <t xml:space="preserve">Programa para el cumplimiento de las políticas y prácticas contables para la administración departamental         </t>
  </si>
  <si>
    <t>INCLUSIÓN SOCIAL Y EQUIDAD</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</si>
  <si>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</si>
  <si>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</si>
  <si>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Índice Departamental de Competitividad</t>
  </si>
  <si>
    <t>Calidad, cobertura y fortalecimiento de la educación inicial, prescolar, básica y media." Tú y yo con educación y de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</si>
  <si>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</si>
  <si>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</si>
  <si>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Promoción y acceso efectivo a procesos culturales y artísticos. "Tú y yo somos cultura Quindiana"</t>
  </si>
  <si>
    <t>Servicio de mantenimiento de infraestructura cultural</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</si>
  <si>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</si>
  <si>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Formación y preparación de deportistas. "Tú y yo campeones"</t>
  </si>
  <si>
    <t>Piscinas construidas y dotadas</t>
  </si>
  <si>
    <t>Cobertura de municipios del departamento del Quindío, con programas de atención a la población habitante de calle.</t>
  </si>
  <si>
    <t>Centros de atención integral para personas con discapacidad construidos y dotados</t>
  </si>
  <si>
    <t>PRODUCTIVIDAD Y COMPETITIVIDAD</t>
  </si>
  <si>
    <t>Infraestructura productiva y comercialización. "Tú y yo con agro competitivo"</t>
  </si>
  <si>
    <t>Crecimiento económico del sector agropecuario (PIB)</t>
  </si>
  <si>
    <t>Plantas de beneficio animal adecuadas</t>
  </si>
  <si>
    <t>Plazas de mercado adecuadas</t>
  </si>
  <si>
    <t xml:space="preserve">Productividad y competitividad de las empresas colombianas. "Tú y yo con empresas competitivas" </t>
  </si>
  <si>
    <t>Índice Departamental de Competitividad Turìstica
Tasa de sempleo</t>
  </si>
  <si>
    <t>Mirador turístico construido</t>
  </si>
  <si>
    <t>TERRITORIO, AMBIENTE Y DESARROLLO SOSTENIBLE</t>
  </si>
  <si>
    <t>Infraestructura red vial regional. "Tú y yo con movilidad vial"</t>
  </si>
  <si>
    <t>3202</t>
  </si>
  <si>
    <t>Conservación de la biodiversidad y sus servicios ecosistémicos. "Tú y yo en territorios biodiversos"</t>
  </si>
  <si>
    <t xml:space="preserve">Porcentaje de Ecosistemas protegidos y/o en procesos de restauración en el Departamento </t>
  </si>
  <si>
    <t xml:space="preserve">Infraestructura ecoturística construida </t>
  </si>
  <si>
    <t>Ordenamiento Ambiental Territorial. "Tú y yo planificamos con sentido ambiental"</t>
  </si>
  <si>
    <t>Obras para estabilización de taludes</t>
  </si>
  <si>
    <t>Obras de infraestructura para mitigación y atención a desastres</t>
  </si>
  <si>
    <t>Acceso a soluciones de vivienda. "Tú y yo con vivienda digna"</t>
  </si>
  <si>
    <t>Deficid cualitativo de viviendas por hogares</t>
  </si>
  <si>
    <t>Acceso de la población a los servicios de agua potable y saneamiento básico. "Tú y yo con calidad del agua"</t>
  </si>
  <si>
    <t>4003018</t>
  </si>
  <si>
    <t>Alcantarillados construidos</t>
  </si>
  <si>
    <t>4003025</t>
  </si>
  <si>
    <t>Servicios de apoyo financiero para la ejecución de proyectos de acueductos y alcantarillado</t>
  </si>
  <si>
    <t>4003028</t>
  </si>
  <si>
    <t>Servicios de educación informal en agua potable y saneamiento básico</t>
  </si>
  <si>
    <t>Estudios de pre inversión e inversión</t>
  </si>
  <si>
    <t>Salones comunales adecuados</t>
  </si>
  <si>
    <t>Promoción de los métodos de resolución de conflictos. "Tú y yo resolvemos los conflictos"</t>
  </si>
  <si>
    <t>Servicio de asistencia técnica para la implementación de los métodos de resolución de conflictos</t>
  </si>
  <si>
    <t>Sistema penitenciario y carcelario en el marco de los derechos humanos. "Quindío respeta derechos penitenciarios"</t>
  </si>
  <si>
    <t>Servicio de resocialización de personas privadas de la libertad</t>
  </si>
  <si>
    <t>Servicio de gestión de riesgos y desastres en establecimientos educativos</t>
  </si>
  <si>
    <t>Atención, asistencia y reparación integral a las víctimas. "Tú y yo con reparación integral"</t>
  </si>
  <si>
    <t>Cobertura de la población victima atendida con procesos de atención, prevención y asistencia humanitaria</t>
  </si>
  <si>
    <t>Servicio de orientación y comunicación a las víctimas</t>
  </si>
  <si>
    <t>Servicio de ayuda y atención humanitaria</t>
  </si>
  <si>
    <t>Servicio de asistencia técnica para la participación de las víctimas</t>
  </si>
  <si>
    <t>Cobertura de víctimas atendidas con la línea de emprendimiento y fortalecimiento.</t>
  </si>
  <si>
    <t>Servicio de apoyo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</si>
  <si>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</si>
  <si>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</si>
  <si>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Inclusión social y productiva para la población en situación de vulnerabilidad. "Tú y yo, población vulnerable incluida"</t>
  </si>
  <si>
    <t>Cobertura de la población excombatiente atendida con procesos de atención y asistencia humanitaria</t>
  </si>
  <si>
    <t>PENDIENTE DNP</t>
  </si>
  <si>
    <t>Servicio de atención y asistencia para la población excombatiente del Departamento del Quindío</t>
  </si>
  <si>
    <t>Fortalecimiento de la convivencia y la seguridad ciudadana. "Tú y yo seguros"</t>
  </si>
  <si>
    <t>Fortalecimiento institucional a organismos de seguridad</t>
  </si>
  <si>
    <t>Cobertura de asistencia a los municipios del departamento del Quindío en los procesos de la garantia y prevención de derechos humanos.</t>
  </si>
  <si>
    <t>Servicio de apoyo para la implementación de medidas en derechos humanos y derecho internacional humanitario</t>
  </si>
  <si>
    <t>Servicio de asistencia técnica</t>
  </si>
  <si>
    <t>Documentos de estudios técnicos para el ordenamiento ambiental territorial</t>
  </si>
  <si>
    <t>Cobertura de   personas capacitadas en Gestión del Riesgo de Desastres  en el Departamento del Quindio, bajo el marco de Ciudades resilientes</t>
  </si>
  <si>
    <t>Servicio de educación informal</t>
  </si>
  <si>
    <t>Cobertura de atención  del Sistema Departamental de Gestión del Riesgo de Desastres del Quindío.</t>
  </si>
  <si>
    <t>Servicio de promoción a la participación ciudadana</t>
  </si>
  <si>
    <t>Implementar la Política de Libertad Religiosa</t>
  </si>
  <si>
    <t>Fortalecimiento de los organismos  de acción comunal (OAC)  de los doce municipios del Departamento en lo relacionado a sus procesos formativos, participativos, de organización y  gestión.</t>
  </si>
  <si>
    <t xml:space="preserve">Formulación de la  Política Pública Departamental para la  Acción Comunal </t>
  </si>
  <si>
    <t>.Cobertura en formación artística y cultural
.Tasa de consumo de sustancias sicoactivas por 100.000 habitantes en el departamento del Quindío.</t>
  </si>
  <si>
    <t>Servicio de educación informal en áreas artísticas y culturales</t>
  </si>
  <si>
    <t>Servicio de circulación artística y cultural</t>
  </si>
  <si>
    <t>Servicios bibliotecarios</t>
  </si>
  <si>
    <t>Servicio de divulgación y publicaciones</t>
  </si>
  <si>
    <t>Servicio de información para el sector artístico y cultural</t>
  </si>
  <si>
    <t>Servicio de asistencia técnica en gestión artística y cultural</t>
  </si>
  <si>
    <t>Gestión, protección y salvaguardia del patrimonio cultural colombiano. "Tú y yo protectores del patrimonio cultural"</t>
  </si>
  <si>
    <t>Servicio de asistencia técnica en el manejo y gestión del patrimonio arqueológico, antropológico e histórico.</t>
  </si>
  <si>
    <t>3302070</t>
  </si>
  <si>
    <t>Servicio de divulgación y publicación del Patrimonio cultural</t>
  </si>
  <si>
    <t>Servicio de apoyo y consolidación de las Comisiones Regionales de Competitividad - CRC</t>
  </si>
  <si>
    <t>Servicio de asistencia técnica a las Mipymes para el acceso a nuevos mercados</t>
  </si>
  <si>
    <t>Documentos de planeación</t>
  </si>
  <si>
    <t>Servicio de asistencia técnica a los entes territoriales para el desarrollo turístico</t>
  </si>
  <si>
    <t>Servicio de promoción turística</t>
  </si>
  <si>
    <t>Generación y formalización del empleo. "Tú y yo con empleo de calidad"</t>
  </si>
  <si>
    <t>Servicios de apoyo financiero para la creación de empresas</t>
  </si>
  <si>
    <t>Servicio de información y monitoreo del mercado de trabajo</t>
  </si>
  <si>
    <t>Inclusión productiva de pequeños productores rurales. "Tú y yo con oportunidades para el pequeño campesino"</t>
  </si>
  <si>
    <t>Servicio de asesoría para el fortalecimiento de la asociatividad</t>
  </si>
  <si>
    <t>Servicio de apoyo financiero para proyectos productivos</t>
  </si>
  <si>
    <t>Servicio de apoyo financiero para el acceso a activos productivos y de comercialización</t>
  </si>
  <si>
    <t>Servicio de apoyo a la comercialización</t>
  </si>
  <si>
    <t>Servicio de apoyo para el acceso a maquinaria y equipos</t>
  </si>
  <si>
    <t>Servicio de apoyo para el fomento organizativo de la Agricultura Campesina, Familiar y Comunitaria</t>
  </si>
  <si>
    <t>Servicio de acompañamiento productivo y empresarial</t>
  </si>
  <si>
    <t>Servicio de apoyo en la formulación y estructuración de proyectos</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</si>
  <si>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</si>
  <si>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</si>
  <si>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Ordenamiento social y uso productivo del territorio rural. "Tú y yo con un campo planificado"</t>
  </si>
  <si>
    <t>Documentos de lineamientos técnicos</t>
  </si>
  <si>
    <t>Servicio de apoyo para el fomento de la formalidad</t>
  </si>
  <si>
    <t>Aprovechamiento de mercados externos. "Tú y yo a los mercados internacionales"</t>
  </si>
  <si>
    <t>Sanidad agropecuaria e inocuidad agroalimentaria. "Tú y yo con un agro saludable"</t>
  </si>
  <si>
    <t>Servicio de divulgación y socialización</t>
  </si>
  <si>
    <t>Ciencia, tecnología e innovación agropecuaria. "Tú y yo con un agro interconectado"</t>
  </si>
  <si>
    <t>Servicio de información actualizado</t>
  </si>
  <si>
    <t>Centros logísticos agropecuarios adecuados</t>
  </si>
  <si>
    <t>Infraestructura de pos cosecha adecuada</t>
  </si>
  <si>
    <t>Servicio de procesamiento de caña panelera</t>
  </si>
  <si>
    <t>Servicio de asistencia técnica para emprendedores y/o empresas en edad temprana</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</si>
  <si>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</si>
  <si>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</si>
  <si>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</si>
  <si>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</si>
  <si>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Servicio de recuperación de cuerpos de agua lénticos y lóticos</t>
  </si>
  <si>
    <t>3204</t>
  </si>
  <si>
    <t>Gestión de la información y el conocimiento ambiental. "Tú y yo conscientes con la naturaleza"</t>
  </si>
  <si>
    <t>Servicio de apoyo financiero a emprendimientos</t>
  </si>
  <si>
    <t>3206</t>
  </si>
  <si>
    <t>Gestión del cambio climático para un desarrollo bajo en carbono y resiliente al clima. "Tú y yo preparados para el cambio climático"</t>
  </si>
  <si>
    <t>Servicio de producción de plántulas en viveros</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</si>
  <si>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</si>
  <si>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Encuentros ciudadanos en el Departamento del Quindio en aplicación de la Política de Transparencia, Acceso a la Información Pública y Lucha contra la Corrupción.  </t>
  </si>
  <si>
    <t>Tasa de deserción escolar intra -anual</t>
  </si>
  <si>
    <t>Servicio de fomento para la permanencia en programas de educación formal</t>
  </si>
  <si>
    <t>Tasa de cobertura bruta en transición
Tasa de cobertura bruta en educación básica
Tasa de cobertura en educación media
Tasa de deserción escolar intra-anual
Tasa de repitencia</t>
  </si>
  <si>
    <t>Servicio de apoyo a la permanencia con alimentación escolar</t>
  </si>
  <si>
    <t>Servicio de apoyo a la permanencia con transporte escolar</t>
  </si>
  <si>
    <t xml:space="preserve">Tasa de cobertura bruta en educación básica
Tasa de cobertura en educación media
</t>
  </si>
  <si>
    <t>Servicio de apoyo para la implementación de la estrategia educativa del sistema de responsabilidad penal para adolescentes</t>
  </si>
  <si>
    <t>Tasa de cobertura bruta en educación básica
Tasa de cobertura en educación media
Tasa de Analfabetismo
Tasa de deserción escolar intra-anual
Tasa de repitencia</t>
  </si>
  <si>
    <t>Servicio educación formal por modelos educativos flexibles</t>
  </si>
  <si>
    <t xml:space="preserve">Tasa de cobertura bruta en transición
Tasa de cobertura bruta en educación básica
Tasa de cobertura en educación media
</t>
  </si>
  <si>
    <t>Servicio educativo</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</si>
  <si>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</si>
  <si>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</si>
  <si>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Servicios de asistencia técnica en innovación educativa en la educación inicial, preescolar, básica y media</t>
  </si>
  <si>
    <t>Infraestructura de Instituciones Educativas construida, mejorada, ampliada, mantenida, y/o reforzada.</t>
  </si>
  <si>
    <t xml:space="preserve">Tasa de cobertura bruta en transición
Tasa de cobertura bruta en educación básica
Tasa de cobertura en educación media 
Tasa de deserción escolar intra-anual </t>
  </si>
  <si>
    <t>Servicio de acondicionamiento de ambientes de aprendizaje</t>
  </si>
  <si>
    <t>Tasa de cobertura bruta en transición</t>
  </si>
  <si>
    <t>Servicio de atención integral para la primera infancia</t>
  </si>
  <si>
    <t>Servicio de accesibilidad a contenidos web para fines pedagógicos</t>
  </si>
  <si>
    <t>Porcentaje de estudiantes de grado 11 con dominio de inglés a nivel B1 (preintermedio)</t>
  </si>
  <si>
    <t>Servicio educativo de promoción del bilingüismo para docentes</t>
  </si>
  <si>
    <t>Servicio de monitoreo y seguimiento a la gestión del sector educativo</t>
  </si>
  <si>
    <t>Fortalecimiento de la educación media para la articulación con la educación superior o terciaria. "Tú y yo preparados para la educación superior"</t>
  </si>
  <si>
    <t>Tasa de cobertura en educación superior</t>
  </si>
  <si>
    <t>Servicio de apoyo para el acceso y la permanencia a la educación superior o terciaria</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</si>
  <si>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</si>
  <si>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</si>
  <si>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 xml:space="preserve">Servicio de gestión del riesgo en temas de salud sexual y reproductiva </t>
  </si>
  <si>
    <t xml:space="preserve">Servicio de gestión del riesgo en temas de trastornos mentales </t>
  </si>
  <si>
    <t>Cobertura  de municipios   con  jóvenes en riesgo psicosocial impactados en los  Barrios vulnerables del Departamento del Quindío</t>
  </si>
  <si>
    <t>Servicio de educación informal al sector artístico y cultural</t>
  </si>
  <si>
    <t xml:space="preserve">Cobertura  en la  implementación y seguimiento de las   Rutas integrales de atención  a la primera infancia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</si>
  <si>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</si>
  <si>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</si>
  <si>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Tasa de Violencia Intrafamiliar x 100.000 Habitantes en el Departamento del Quindío.
Tasa de violencia de Género</t>
  </si>
  <si>
    <t>Rutas integrales de atención en violencia intrafamiliar y  violencia de género</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</si>
  <si>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</si>
  <si>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</si>
  <si>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</si>
  <si>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</si>
  <si>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</si>
  <si>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</si>
  <si>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 xml:space="preserve">Cobertura de municipios del departamemto apoyados con  emprendimientos juveniles </t>
  </si>
  <si>
    <t>Servicio de asistencia técnica para fortalecimiento de unidades productivas colectivas para la generación de ingresos</t>
  </si>
  <si>
    <t>Cobertura para la atención al ciudadano migrante a través del plan de atención y de repatriación.</t>
  </si>
  <si>
    <t>Servicio de gestión de oferta social para la población vulnerable</t>
  </si>
  <si>
    <t>Servicio de acompañamiento familiar y comunitario para la superación de la pobreza</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</si>
  <si>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</si>
  <si>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</si>
  <si>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 xml:space="preserve">Tasa planes de vida de los cabildos  indígenas construidos e implementados </t>
  </si>
  <si>
    <t xml:space="preserve">Apoyar la construcción e Implementación de los  Planes de vida de los cabildos Indígenas asentados en el Departamento del Quindío </t>
  </si>
  <si>
    <t>Tasa de  planes de vida de los resguardos  indígenas construidos e implementados</t>
  </si>
  <si>
    <t xml:space="preserve">Apoyar la construcción e Implementación de los  Planes de vida de los resguardos indígenas  asentados en el Departamento del Quindío </t>
  </si>
  <si>
    <t>Cobertura  de población diferencial,  comunidades negras, afros raizales y Palenqueras asentadas en el departamento del Quindío con una  política publica .</t>
  </si>
  <si>
    <t>4104035</t>
  </si>
  <si>
    <t>Servicios de atención integral a población en condición de discapacidad</t>
  </si>
  <si>
    <t>4104026</t>
  </si>
  <si>
    <t>Servicio de articulación de oferta social para la población habitante de calle</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</si>
  <si>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</si>
  <si>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</si>
  <si>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 xml:space="preserve">Revisar, ajustar e implementar la política pública de equidad de género para la mujer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</si>
  <si>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</si>
  <si>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</si>
  <si>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</si>
  <si>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 xml:space="preserve">Mejorar las condiciones de calidad de vida de la población, el acceso incluyente y equitativo a la oferta de servicios del Estado y la ampliación de oportunidades para los Quindianos. </t>
  </si>
  <si>
    <t xml:space="preserve">Cobertura de Asociaciones de mujeres fortalecidas  </t>
  </si>
  <si>
    <t>1702011</t>
  </si>
  <si>
    <t>Servicio de asesoría para el fortalecimiento de la Asociatividad</t>
  </si>
  <si>
    <t>Derechos fundamentales del trabajo y fortalecimiento del diálogo social. "Tú y yo con una niñez protegida"</t>
  </si>
  <si>
    <t>Tasa  de Niños, Niñas y Adolescentes que participan en una actividad remunerada  o no  x cada 100.000 habitantes  en el departamento del Quindío</t>
  </si>
  <si>
    <t>Servicio de educación informal para la prevención integral del trabajo infantil</t>
  </si>
  <si>
    <t>Tasa de participación femenina en cargos de elección popular en el  departamento del Quindío</t>
  </si>
  <si>
    <t xml:space="preserve">Inspección, vigilancia y control. "Tú y yo con salud certificada" </t>
  </si>
  <si>
    <t>Mortalidad por diarreica aguda (EDA) menores 5 años (numero de muertes anual)</t>
  </si>
  <si>
    <t>Servicio de concepto sanitario</t>
  </si>
  <si>
    <t>Prevalencia de niños menores de 5 años con desnutrición aguda</t>
  </si>
  <si>
    <t>Servicio de asistencia técnica en inspección, vigilancia y control</t>
  </si>
  <si>
    <t>Mortalidad por infección respiratoria aguda (IRA) menores 5 años (numero de muertes anual)</t>
  </si>
  <si>
    <t>Mortalidad por dengue (casos)</t>
  </si>
  <si>
    <t>Servicio de promoción, prevención, vigilancia y control de vectores y zoonosis</t>
  </si>
  <si>
    <t>Tasa de mortalidad en menores de 1 año (por 1000 nacidos vivos).</t>
  </si>
  <si>
    <t>Servicio de evaluación, aprobación y seguimiento de planes de gestión integral del riesgo</t>
  </si>
  <si>
    <t>Tasa mortalidad en menores de 5 años (por 1.000 nacidos vivos).</t>
  </si>
  <si>
    <t>Servicio de inspección, vigilancia y control</t>
  </si>
  <si>
    <t>Porcentaje de población asegurada al SGSSS
Opotunidad en la presunción diagnóstica y tratamiento oncológico en menores de 18 años (alta y media)</t>
  </si>
  <si>
    <t>Tasa de violencia de género</t>
  </si>
  <si>
    <t>Servicio de adopción y seguimiento de acciones y medidas especiales</t>
  </si>
  <si>
    <t>Servicio de análisis de laboratorio</t>
  </si>
  <si>
    <t>Tasa ajustada por edad de mortalidad asociada a cáncer de cuello uterino (por 100.000 mujeres).</t>
  </si>
  <si>
    <t>Servicio de auditoría y visitas inspectivas</t>
  </si>
  <si>
    <t>Servicio de información de vigilancia epidemiológica</t>
  </si>
  <si>
    <t>Opotunidad en la presunción diagnóstica y tratamiento oncológico en menores de 18 años (alta y media)</t>
  </si>
  <si>
    <t>Servicio de información para la gestión de la inspección, vigilancia y control sanitario</t>
  </si>
  <si>
    <t>Razón de mortalidad materna (por 100.000 nacidos vivos)</t>
  </si>
  <si>
    <t>Servicio de certificaciones en buenas practicas</t>
  </si>
  <si>
    <t>Porcentaje de atención institucional del parto por personal calificado.</t>
  </si>
  <si>
    <t>Porcentaje de población asegurada al SGSSS</t>
  </si>
  <si>
    <t>Servicios de comunicación y divulgación en inspección, vigilancia y control</t>
  </si>
  <si>
    <t>Porcentaje de nacidos vivos con 4 o mas controles prenatales</t>
  </si>
  <si>
    <t>Servicio del ejercicio del procedimiento administrativo sancionatorio</t>
  </si>
  <si>
    <t>Porcentaje transmisión materno -infantil del VIH.</t>
  </si>
  <si>
    <t>Servicio de gestión de peticiones, quejas, reclamos y denuncias</t>
  </si>
  <si>
    <t>Servicio de implementación de estrategias para el fortalecimiento del control social en salud</t>
  </si>
  <si>
    <t>Servicio de gestión del riesgo para temas de consumo, aprovechamiento biológico, calidad e inocuidad de los alimentos.</t>
  </si>
  <si>
    <t>Servicios de promoción de la salud y prevención de riesgos asociados a condiciones no transmisibles</t>
  </si>
  <si>
    <t>Tasa de mortalidad por malaria.</t>
  </si>
  <si>
    <t xml:space="preserve">Servicio de educación informal en temas de salud pública </t>
  </si>
  <si>
    <t>Tasa  de mujeres de 10 a 14 años que han sido madres o están en embarazo.
Tasa de mujeres de 15 a 19 años que han sido madres o están en embarazo.</t>
  </si>
  <si>
    <t>Letalidad por dengue.</t>
  </si>
  <si>
    <t>Formular el Plan de Fortalecimiento de Capacidades en Salud Ambiental en coordinación con el Consejo Territorial de Salud Ambiental COTSA</t>
  </si>
  <si>
    <t>Implementar el protocolo de vigilancia sanitaria y ambiental de los efectos en salud relacionados con la contaminación del aire en los 11 municipios de competencia departamental.</t>
  </si>
  <si>
    <t>Mortalidad por dengue (casos)
Letalidad por dengue.</t>
  </si>
  <si>
    <t>Implementar la estrategia de entornos saludables en articulación intersectorial y sectorial en los entornos de vivienda, educativo, institucional y comunitario con énfasis en la Atención Primaria en Salud Ambiental APSA.</t>
  </si>
  <si>
    <t xml:space="preserve">Implementación de la estrategia de movilidad saludable, segura y sostenible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</si>
  <si>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</si>
  <si>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consumo de sustancias psicoactivas</t>
  </si>
  <si>
    <t>Tasa ajustada por edad de mortalidad asociada a cáncer de cuello uterino (por 100.000 mujeres).
Opotunidad en la presunción diagnóstica y tratamiento oncológico en menores de 18 años (alta y media)</t>
  </si>
  <si>
    <t>Servicio de gestión del riesgo para abordar condiciones crónicas prevalentes</t>
  </si>
  <si>
    <t>Cobertura de vacunación con DPT en menores de 1 año
Cobertura de vacunación con Triple Viral en niños de 1 año
Cobertura útil con esquema completo de vacunación para la edad (triple viral a los 5 años)</t>
  </si>
  <si>
    <t>Cuartos fríos adecuados</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</si>
  <si>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</si>
  <si>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Servicio de gestión del riesgo para enfermedades emergentes, reemergentes y desatendidas</t>
  </si>
  <si>
    <t>Servicio de gestión del riesgo para enfermedades inmunoprevenibles</t>
  </si>
  <si>
    <t>Servicios de atención en salud pública en situaciones de emergencias y desastres</t>
  </si>
  <si>
    <t>Servicio de gestión del riesgo para abordar situaciones prevalentes de origen laboral</t>
  </si>
  <si>
    <t>Porcentaje de atención institucional del parto.</t>
  </si>
  <si>
    <t>Servicio de promoción de afiliaciones al régimen contributivo del Sistema General de Seguridad Social de las personas con capacidad de pago</t>
  </si>
  <si>
    <t>Cobertura de tratamiento antiretroviral</t>
  </si>
  <si>
    <t>Servicios de reconocimientos para el cumplimiento de metas de calidad, financiera, producción y transferencias especiales.</t>
  </si>
  <si>
    <t>Servicios de reconocimientos de deuda</t>
  </si>
  <si>
    <t>Tasa de mujeres de 15 a 19 años que han sido madres o están en embarazo.</t>
  </si>
  <si>
    <t>Tasa de crecimiento de puntos de acceso a internet gratis 
Índice Departamental de Competitividad
Tasa de Desempleo</t>
  </si>
  <si>
    <t>Nivel de avance alto en el Índice de Gobierno digital
Índice Departamental de Competitividad
Tasa de Desempleo</t>
  </si>
  <si>
    <t>Servicio de educación informal en tecnologías de la información y las comunicaciones.</t>
  </si>
  <si>
    <t>Fomento del desarrollo de aplicaciones, software y contenidos para impulsar la apropiación de las Tecnologías de la Información y las Comunicaciones (TIC) "Quindío paraiso empresarial TIC-Quindío TIC"</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</si>
  <si>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</si>
  <si>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</si>
  <si>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</si>
  <si>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</si>
  <si>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Generación de una cultura que valora y gestiona el conocimiento y la innovación.</t>
  </si>
  <si>
    <t>Incremento de emprendimientos y/o empresas de base tecnologica</t>
  </si>
  <si>
    <t>3904018</t>
  </si>
  <si>
    <t>Nivel de avance alto en el Índice de Gobierno digital</t>
  </si>
  <si>
    <t>Desarrollos digitales</t>
  </si>
  <si>
    <t>Servicio de educación informal en Gestión TI y en Seguridad y Privacidad de la Información</t>
  </si>
  <si>
    <t>Servicio de Escuelas Deportivas</t>
  </si>
  <si>
    <t>Servicio de promoción de la actividad física, la recreación y el deporte</t>
  </si>
  <si>
    <t>Formular e  implementar una  política pública para el desarrollo y acceso al deporte, la recreación, la actividad física, la educación física y el uso adecuado del tiempo libre, como ejes de transformación humana y social en el departamento del Quindío</t>
  </si>
  <si>
    <t>Servicio de asistencia técnica para la promoción del deporte</t>
  </si>
  <si>
    <t>Deficit cualitativo de viviendas por hogares</t>
  </si>
  <si>
    <t>Deficit cuantitativo de viviendas por hogares</t>
  </si>
  <si>
    <t>Seguridad de Transporte. "Tú y yo seguros en la vía"</t>
  </si>
  <si>
    <t>Formular e Implementar una estrategia de movilidad saludable, segura y sostenible.</t>
  </si>
  <si>
    <t>Formular e Implementar un programa de control, prevención y atención del tránsito y el transporte en los municipios y vías de jurisdicción del IDTQ.</t>
  </si>
  <si>
    <t>Infraestructura  en  puentes  con procesos  de construcción, mejoramiento, ampliación, mantenimiento y/o reforzamiento</t>
  </si>
  <si>
    <t>No. Línea Estratégica</t>
  </si>
  <si>
    <t>Fuente</t>
  </si>
  <si>
    <t xml:space="preserve">Código Sector 
KPT
</t>
  </si>
  <si>
    <t>Nombre Sector
KPT</t>
  </si>
  <si>
    <t>Código Sector FUT</t>
  </si>
  <si>
    <t>Nombre Sector FUT</t>
  </si>
  <si>
    <t>Producto</t>
  </si>
  <si>
    <t>Valor total</t>
  </si>
  <si>
    <t>Ingresos Corrientes de Libre Destinación - ICLD</t>
  </si>
  <si>
    <t>Ingresos Corrientes de Destinación Específica- ICDE</t>
  </si>
  <si>
    <t>SGP Educación</t>
  </si>
  <si>
    <t>SGP Salud</t>
  </si>
  <si>
    <t>SGP Agua Potable y Saneamiento Básico</t>
  </si>
  <si>
    <t>SGP Asignaciones Especiales</t>
  </si>
  <si>
    <t xml:space="preserve"> Sistema General de Regalías - SGR</t>
  </si>
  <si>
    <t>Cofinanciación</t>
  </si>
  <si>
    <t>Crédito</t>
  </si>
  <si>
    <t>Otros</t>
  </si>
  <si>
    <t xml:space="preserve"> Ingresos Corrientes de Libre Destinación - ICLD</t>
  </si>
  <si>
    <t>Valor totaL</t>
  </si>
  <si>
    <t>SGP Asignaciones Especiales34</t>
  </si>
  <si>
    <t>Mejorar las condiciones de calidad de vida de la población, el acceso incluyente y equitativo a la oferta de servicios del Estado y la ampliación de oportunidades para los quindianos</t>
  </si>
  <si>
    <t>33,13 Homicidios X 100.000 habitantes
481 Casos x 100.000 habitantes
171 Casos x 100.000 habitantes    
146 Casos x 100.000 habitantes      
112 Casos x 100.000 habitantes
61 casos x 100.000 habitantes</t>
  </si>
  <si>
    <t>2019
2019
2019
2019
2019
2019</t>
  </si>
  <si>
    <t>Policia Nacional
Policia Nacional
Policia Nacional
Policia Nacional
Policia Nacional
Policia Nacional</t>
  </si>
  <si>
    <t>29 Homicidios X 100.000 habitantes
320 Casos x 100.000 habitantes
140 Casos x 100.000 habitantes       
 125 Casos x 100.000 habitantes      
85 Casos x 100.000 habitantes
49 casos x100.000 habitantes</t>
  </si>
  <si>
    <t>Justicia y del Derecho</t>
  </si>
  <si>
    <t>Justicia y Seguridad</t>
  </si>
  <si>
    <t>1.1</t>
  </si>
  <si>
    <t>1.1.1</t>
  </si>
  <si>
    <t>Entidades territoriales asistidas técnicamente</t>
  </si>
  <si>
    <t xml:space="preserve">Mejorar las condiciones de calidad de vida de la población, el acceso incluyente y equitativo a la oferta de servicios del Estado y la ampliación de oportunidades para los quindianos.  
 </t>
  </si>
  <si>
    <t>1.2</t>
  </si>
  <si>
    <t>1.2.1</t>
  </si>
  <si>
    <t>Infraestructura de las Instituciones de Seguridad del Estado construida, mejorada, ampliada, mantenida, y/o reforzada</t>
  </si>
  <si>
    <t>2.1</t>
  </si>
  <si>
    <t>2.1.1</t>
  </si>
  <si>
    <t>Instituciones públicas y privadas asistidas técnicamente en métodos de resolución de conflictos</t>
  </si>
  <si>
    <t>3.1</t>
  </si>
  <si>
    <t>3.1.1</t>
  </si>
  <si>
    <t>Fortalecer la productividad y competitividad en el Departamento, apoyando los sectores productivos consolidados y promisorios, y la dinamización del Sistema Regional de competitividad, sumado a las inversiones de Ciencia, Tecnología e Innovación, y la proyección regional, nacional e internacional del Departamento del Quindío.</t>
  </si>
  <si>
    <t>DANE - Cuentas departamentales</t>
  </si>
  <si>
    <t>Agricultura y desarrollo rural</t>
  </si>
  <si>
    <t>Promoción del Desarrollo</t>
  </si>
  <si>
    <t>4.1</t>
  </si>
  <si>
    <t>4.1.1</t>
  </si>
  <si>
    <t>170200700</t>
  </si>
  <si>
    <t>Proyectos productivos cofinanciados</t>
  </si>
  <si>
    <t>4.2</t>
  </si>
  <si>
    <t>1702009</t>
  </si>
  <si>
    <t>4.2.1</t>
  </si>
  <si>
    <t>170200900</t>
  </si>
  <si>
    <t>Productores apoyados con activos productivos y de comercialización</t>
  </si>
  <si>
    <t>4.3</t>
  </si>
  <si>
    <t>4.3.1</t>
  </si>
  <si>
    <t>170201100</t>
  </si>
  <si>
    <t>Asociaciones fortalecidas</t>
  </si>
  <si>
    <t>Agropecuario</t>
  </si>
  <si>
    <t>4.4</t>
  </si>
  <si>
    <t>4.4.1</t>
  </si>
  <si>
    <t>170201400</t>
  </si>
  <si>
    <t>Productores beneficiados con acceso a maquinaria y equipo</t>
  </si>
  <si>
    <t>4.5</t>
  </si>
  <si>
    <t>1702017</t>
  </si>
  <si>
    <t>4.5.1</t>
  </si>
  <si>
    <t>170201700</t>
  </si>
  <si>
    <t>Productores agropecuarios apoyados</t>
  </si>
  <si>
    <t>4.6</t>
  </si>
  <si>
    <t>4.6.1</t>
  </si>
  <si>
    <t>170202100</t>
  </si>
  <si>
    <t>Unidades productivas beneficiadas</t>
  </si>
  <si>
    <t>4.7</t>
  </si>
  <si>
    <t>1702023</t>
  </si>
  <si>
    <t>4.7.1</t>
  </si>
  <si>
    <t>170202301</t>
  </si>
  <si>
    <t>Planes de Desarrollo Agropecuario y Rural elaborados</t>
  </si>
  <si>
    <t>4.8</t>
  </si>
  <si>
    <t>Servicios de acompañamiento en la implementación de Planes de desarrollo agropecuario y rural</t>
  </si>
  <si>
    <t>4.8.1</t>
  </si>
  <si>
    <t>170202400</t>
  </si>
  <si>
    <t>Planes de Desarrollo Agropecuario y Rural acompañados</t>
  </si>
  <si>
    <t>promoción del Desarrollo</t>
  </si>
  <si>
    <t>4.9</t>
  </si>
  <si>
    <t>4.9.1</t>
  </si>
  <si>
    <t>170202500</t>
  </si>
  <si>
    <t>Proyectos estructurados</t>
  </si>
  <si>
    <t>4.10</t>
  </si>
  <si>
    <t>4.10.1</t>
  </si>
  <si>
    <t>170203800</t>
  </si>
  <si>
    <t>Organizaciones de productores formales apoyadas</t>
  </si>
  <si>
    <t>4.10.2</t>
  </si>
  <si>
    <t>170203801</t>
  </si>
  <si>
    <t>Productores apoyados para la participación en mercados campesinos</t>
  </si>
  <si>
    <t xml:space="preserve">Fortalecer la productividad y competitividad en el Departamento, apoyando los sectores productivos consolidados y promisorios, y la dinamización del Sistema Regional de competitividad, sumado a las inversiones de Ciencia, Tecnología e Innovación, y la proyección regional, nacional e internacional del Departamento del Quindío. </t>
  </si>
  <si>
    <t>Secretaria de Familia Gobernación del Quindío, Oficina de la mujer y la equidad.</t>
  </si>
  <si>
    <t>Desarrollo Comunitario</t>
  </si>
  <si>
    <t>4.3.2</t>
  </si>
  <si>
    <t>Asociaciones de mujeres fortalecidas</t>
  </si>
  <si>
    <t>5.1</t>
  </si>
  <si>
    <t>5.1.1</t>
  </si>
  <si>
    <t>170301300</t>
  </si>
  <si>
    <t>Personas beneficiadas</t>
  </si>
  <si>
    <t>6.1</t>
  </si>
  <si>
    <t>1704002</t>
  </si>
  <si>
    <t>6.1.1</t>
  </si>
  <si>
    <t>170400203</t>
  </si>
  <si>
    <t>Documentos de lineamientos para el ordenamiento social y productivo elaborados</t>
  </si>
  <si>
    <t>6.2</t>
  </si>
  <si>
    <t>1704017</t>
  </si>
  <si>
    <t>6.2.1</t>
  </si>
  <si>
    <t>170401700</t>
  </si>
  <si>
    <t xml:space="preserve">Personas sensibilizadas en la formalización </t>
  </si>
  <si>
    <t>7.1</t>
  </si>
  <si>
    <t>1706004</t>
  </si>
  <si>
    <t>Servicio de apoyo financiero para la participación en Ferias nacionales e internacionales</t>
  </si>
  <si>
    <t>7.1.1</t>
  </si>
  <si>
    <t>170600400</t>
  </si>
  <si>
    <t>Participaciones en ferias nacionales e internacionales</t>
  </si>
  <si>
    <t>8.1</t>
  </si>
  <si>
    <t>1707069</t>
  </si>
  <si>
    <t>8.1.1</t>
  </si>
  <si>
    <t>170706900</t>
  </si>
  <si>
    <t>Eventos realizados</t>
  </si>
  <si>
    <t>9.1</t>
  </si>
  <si>
    <t>1708016</t>
  </si>
  <si>
    <t>9.1.1</t>
  </si>
  <si>
    <t>170801600</t>
  </si>
  <si>
    <t>Documentos de lineamientos técnicos elaborados</t>
  </si>
  <si>
    <t>9.2</t>
  </si>
  <si>
    <t>1708051</t>
  </si>
  <si>
    <t>9.2.1</t>
  </si>
  <si>
    <t>170805100</t>
  </si>
  <si>
    <t>Sistemas de información actualizados</t>
  </si>
  <si>
    <t>10.1</t>
  </si>
  <si>
    <t>1709019</t>
  </si>
  <si>
    <t>10.1.1</t>
  </si>
  <si>
    <t>170901900</t>
  </si>
  <si>
    <t>10.2</t>
  </si>
  <si>
    <t>1709034</t>
  </si>
  <si>
    <t>10.2.1</t>
  </si>
  <si>
    <t>170903400</t>
  </si>
  <si>
    <t>10.5</t>
  </si>
  <si>
    <t>1709093</t>
  </si>
  <si>
    <t>10.5.1</t>
  </si>
  <si>
    <t>170909300</t>
  </si>
  <si>
    <t>Trapiches paneleros con servicio de procesamiento de caña.</t>
  </si>
  <si>
    <t>10.4</t>
  </si>
  <si>
    <t>10.4.1</t>
  </si>
  <si>
    <t>10.3</t>
  </si>
  <si>
    <t>10.3.1</t>
  </si>
  <si>
    <t xml:space="preserve">Mejorar las condiciones de calidad de vida de la población, el acceso incluyente y equitativo a la oferta de servicios del Estado y la ampliación de oportunidades para los quindianos. </t>
  </si>
  <si>
    <t>89,22
89</t>
  </si>
  <si>
    <t>2018
2018</t>
  </si>
  <si>
    <t>MSPS - BDUA
SIVIGILA</t>
  </si>
  <si>
    <t>100
95</t>
  </si>
  <si>
    <t>Salud</t>
  </si>
  <si>
    <t>11.1</t>
  </si>
  <si>
    <t>11.1.1</t>
  </si>
  <si>
    <t>Documentos técnicos publicados y/o socializados</t>
  </si>
  <si>
    <t>DANE - RUAF</t>
  </si>
  <si>
    <t>11.2</t>
  </si>
  <si>
    <t>11.2.1</t>
  </si>
  <si>
    <t>Conceptos sanitarios expedidos</t>
  </si>
  <si>
    <t>11.3</t>
  </si>
  <si>
    <t>11.3.1</t>
  </si>
  <si>
    <t>Certificaciones expedidas</t>
  </si>
  <si>
    <t>11.4</t>
  </si>
  <si>
    <t>11.4.1</t>
  </si>
  <si>
    <t>visitas realizadas</t>
  </si>
  <si>
    <t>11.4.2</t>
  </si>
  <si>
    <t xml:space="preserve">Informes de los resultados obtenidos en la vigilancia sanitaria </t>
  </si>
  <si>
    <t>1
1,5
2,97</t>
  </si>
  <si>
    <t>2018
2018
2018</t>
  </si>
  <si>
    <t>DANE - RUAF
SSDQ-BASE DE DATOS NUTRICION
SIVICAP QUINDIO</t>
  </si>
  <si>
    <t>0
1
2,3</t>
  </si>
  <si>
    <t>11.5</t>
  </si>
  <si>
    <t>11.5.1</t>
  </si>
  <si>
    <t>Análisis realizados</t>
  </si>
  <si>
    <t>Instituto Nacionalde Medicina Legal y Ciencias Forenses</t>
  </si>
  <si>
    <t>11.6</t>
  </si>
  <si>
    <t>11.6.1</t>
  </si>
  <si>
    <t>Acciones y medidas especiales ejecutadas</t>
  </si>
  <si>
    <t>11.7</t>
  </si>
  <si>
    <t>11.7.1</t>
  </si>
  <si>
    <t>Auditorías y visitas inspectivas realizadas</t>
  </si>
  <si>
    <t>11.8</t>
  </si>
  <si>
    <t>11.8.1</t>
  </si>
  <si>
    <t xml:space="preserve">Procesos con aplicación del procedimiento administrativo sancionatorio tramitados </t>
  </si>
  <si>
    <t>SSDQ-BASE DE DATOS NUTRICION</t>
  </si>
  <si>
    <t>11.9</t>
  </si>
  <si>
    <t>11.9.1</t>
  </si>
  <si>
    <t>Asistencias técnica en Inspección, Vigilancia y Control realizadas</t>
  </si>
  <si>
    <t>11.10</t>
  </si>
  <si>
    <t>11.10.1</t>
  </si>
  <si>
    <t>Estrategias para el fortalecimiento del control social en salud implementadas</t>
  </si>
  <si>
    <t>11.11</t>
  </si>
  <si>
    <t>11.11.1</t>
  </si>
  <si>
    <t>Informes de evaluación, aprobación y seguimiento de Planes de Gestión Integral de Riesgo realizados</t>
  </si>
  <si>
    <t>Minsalud SIVIGILA</t>
  </si>
  <si>
    <t>11.12</t>
  </si>
  <si>
    <t>11.12.1</t>
  </si>
  <si>
    <t>Preguntas Quejas Reclamos y Denuncias Gestionadas</t>
  </si>
  <si>
    <t>11.13</t>
  </si>
  <si>
    <t>11.13.1</t>
  </si>
  <si>
    <t>Informes de evento generados en la vigencia</t>
  </si>
  <si>
    <t>11.14</t>
  </si>
  <si>
    <t>11.14.1</t>
  </si>
  <si>
    <t>Asistencias técnicas realizadas</t>
  </si>
  <si>
    <t>11.15</t>
  </si>
  <si>
    <t>11.15.1</t>
  </si>
  <si>
    <t>Municipios categorías 4, 5 y 6 que formulen y ejecuten real y efectivamente acciones de promoción, prevención, vigilancia y control de vectores y zoonosis realizados</t>
  </si>
  <si>
    <t>SIVIGILA</t>
  </si>
  <si>
    <t>11.16</t>
  </si>
  <si>
    <t>11.16.1</t>
  </si>
  <si>
    <t>Usuarios del sistema</t>
  </si>
  <si>
    <t>MSPS - BDUA</t>
  </si>
  <si>
    <t>11.17</t>
  </si>
  <si>
    <t>11.17.1</t>
  </si>
  <si>
    <t>Eventos de rendición de cuentas realizados</t>
  </si>
  <si>
    <t>11.18</t>
  </si>
  <si>
    <t>11.18.1</t>
  </si>
  <si>
    <t>Municipios con procesos de vigilancia epidemiológica de plaguicidas organofosforados y carbamatos realizados.</t>
  </si>
  <si>
    <t>11.19</t>
  </si>
  <si>
    <t>11.19.1</t>
  </si>
  <si>
    <t xml:space="preserve">Modelo de IVC sanitario operando </t>
  </si>
  <si>
    <t>12.15</t>
  </si>
  <si>
    <t>Centros reguladores de urgencias, emergencias y desastres funcionando y dotado.</t>
  </si>
  <si>
    <t>12.15.1</t>
  </si>
  <si>
    <t>Centros reguladores de urgencias, emergencias y desastres dotados y funcionando.</t>
  </si>
  <si>
    <t>96,1
99,9
95,6</t>
  </si>
  <si>
    <t>MSPS 
MSPS
PAI-WEB</t>
  </si>
  <si>
    <t>12.1</t>
  </si>
  <si>
    <t>12.1.1</t>
  </si>
  <si>
    <t>12.2</t>
  </si>
  <si>
    <t>12.2.1</t>
  </si>
  <si>
    <t>12.3</t>
  </si>
  <si>
    <t>12.3.1</t>
  </si>
  <si>
    <t xml:space="preserve">Documentos de planeación en epidemiología y demografía elaborados </t>
  </si>
  <si>
    <t>12.4</t>
  </si>
  <si>
    <t>12.4.1</t>
  </si>
  <si>
    <t>Personas capacitadas</t>
  </si>
  <si>
    <t>12.5</t>
  </si>
  <si>
    <t>12.5.1</t>
  </si>
  <si>
    <t>Campañas de gestión del riesgo en temas de consumo de sustancias psicoactivas implementadas</t>
  </si>
  <si>
    <t>0
99,56
2,06
47,27
52.3
13,3
0
85,9</t>
  </si>
  <si>
    <t>2018
2018
2018
2018
2018
2018
2018
2018</t>
  </si>
  <si>
    <t>DANE - RUAF
DANE - RUAF
DANE - RUAF
DANE - RUAF
SIVIGILA
DANE - RUAF
Minsalud SIVIGILA
Minsalud</t>
  </si>
  <si>
    <t>0
99,57
2
40
52,3
13
0
90</t>
  </si>
  <si>
    <t>12.6</t>
  </si>
  <si>
    <t>12.6.1</t>
  </si>
  <si>
    <t>Campañas de gestión del riesgo en temas de salud sexual y reproductiva implementadas.</t>
  </si>
  <si>
    <t>81,5
10,77
0
11,19
12,51
6,8</t>
  </si>
  <si>
    <t>2018
2018
2018
2018
2018
2013</t>
  </si>
  <si>
    <t>Instituto Nacional de Medicina Legal y Ciencias Forenses.
Observatorio de Drogas de Colombia</t>
  </si>
  <si>
    <t>71,12
9,45
0
10,1
11
6,0</t>
  </si>
  <si>
    <t>12.7</t>
  </si>
  <si>
    <t>12.7.1</t>
  </si>
  <si>
    <t>Campañas de gestión del riesgo en temas de trastornos mentales implementadas</t>
  </si>
  <si>
    <t>8,11
89</t>
  </si>
  <si>
    <t>DANE - RUAF
SIVIGILA</t>
  </si>
  <si>
    <t>6,5
95</t>
  </si>
  <si>
    <t>12.8</t>
  </si>
  <si>
    <t>12.8.1</t>
  </si>
  <si>
    <t>Campañas de gestión del riesgo para abordar condiciones crónicas prevalentes implementadas</t>
  </si>
  <si>
    <t>12.9</t>
  </si>
  <si>
    <t>12.9.1</t>
  </si>
  <si>
    <t>Campañas de gestión del riesgo para abordar situaciones prevalentes de origen laboral implementadas</t>
  </si>
  <si>
    <t>95,6
8,72
1
0</t>
  </si>
  <si>
    <t>2018
2018
2018
2018</t>
  </si>
  <si>
    <t>PAI-WEB
DANE - RUAF
DANE - RUAF
DANE - RUAF</t>
  </si>
  <si>
    <t>95,6
8,6
0
0</t>
  </si>
  <si>
    <t>12.10</t>
  </si>
  <si>
    <t>12.10.1</t>
  </si>
  <si>
    <t>Campañas de gestión del riesgo para enfermedades emergentes, reemergentes y desatendidas implementadas.</t>
  </si>
  <si>
    <t>12.11</t>
  </si>
  <si>
    <t>12.11.1</t>
  </si>
  <si>
    <t>Campañas de gestión del riesgo para enfermedades inmunoprevenibles  implementadas</t>
  </si>
  <si>
    <t>12.12</t>
  </si>
  <si>
    <t>12.12.1</t>
  </si>
  <si>
    <t>Campañas de gestión del riesgo para temas de consumo, aprovechamiento biológico, calidad e inocuidad de los alimentos implementadas</t>
  </si>
  <si>
    <t>12.13</t>
  </si>
  <si>
    <t>12.13.1</t>
  </si>
  <si>
    <t>Personas en capacidad de ser atendidas</t>
  </si>
  <si>
    <t>12.14</t>
  </si>
  <si>
    <t>12.14.1</t>
  </si>
  <si>
    <t>Campañas de promoción de la salud y prevención de riesgos asociados a condiciones no transmisibles implementadas</t>
  </si>
  <si>
    <t>2,06
47,27</t>
  </si>
  <si>
    <t>DANE - RUAF
DANE - RUAF</t>
  </si>
  <si>
    <t>2
40</t>
  </si>
  <si>
    <t>12.16</t>
  </si>
  <si>
    <t>12.16.1</t>
  </si>
  <si>
    <t>Entidades Administradoras de Planes Básicos EAPB con Rutas de obligatorio cumplimiento Implementadas</t>
  </si>
  <si>
    <t>12.17</t>
  </si>
  <si>
    <t>12.17.1</t>
  </si>
  <si>
    <t>Protocolo implementado</t>
  </si>
  <si>
    <t>12.18</t>
  </si>
  <si>
    <t>12.18.1</t>
  </si>
  <si>
    <t xml:space="preserve">Estrategia de entornos saludables en articulación intersectorial y sectorial implementada </t>
  </si>
  <si>
    <t>0
0</t>
  </si>
  <si>
    <t>12.19</t>
  </si>
  <si>
    <t>12.19.1</t>
  </si>
  <si>
    <t>Plan Departamental en Salud Ambiental de adaptación al cambio climático implementado</t>
  </si>
  <si>
    <t>12.20</t>
  </si>
  <si>
    <t>12.20.1</t>
  </si>
  <si>
    <t>12.21</t>
  </si>
  <si>
    <t>12.21.1</t>
  </si>
  <si>
    <t xml:space="preserve">Estrategia de movilidad saludable, segura y sostenible   implementada </t>
  </si>
  <si>
    <t>12.22</t>
  </si>
  <si>
    <t>Adaptar e implementar la Política Pública de Salud Mental para el Departamento del Quindío</t>
  </si>
  <si>
    <t>12.22.1</t>
  </si>
  <si>
    <t xml:space="preserve">Política pública en Salud Mental adaptada e Implementada  </t>
  </si>
  <si>
    <t>Cobertura útil con esquema completo de vacunación para la edad (triple viral a los 5 años)
Porcentaje de nacidos vivos con 4 o mas controles prenatales</t>
  </si>
  <si>
    <t>95,6
93,18</t>
  </si>
  <si>
    <t>PAI-WEB
DANE - RUAF</t>
  </si>
  <si>
    <t>95,6
95</t>
  </si>
  <si>
    <t>13.1</t>
  </si>
  <si>
    <t>Hospitales de primer nivel de atención dotados</t>
  </si>
  <si>
    <t>13.1.1</t>
  </si>
  <si>
    <t>13.2</t>
  </si>
  <si>
    <t>Hospitales de segundo nivel de atención dotados</t>
  </si>
  <si>
    <t>13.2.1</t>
  </si>
  <si>
    <t>Porcentaje de atención institucional del parto.
Porcentaje de atención institucional del parto por personal calificado.</t>
  </si>
  <si>
    <t>99,57
99,68</t>
  </si>
  <si>
    <t>DANE - RUAF
DANE-RUAF</t>
  </si>
  <si>
    <t>13.3</t>
  </si>
  <si>
    <t>Hospitales de tercer nivel de atención dotados</t>
  </si>
  <si>
    <t>13.3.1</t>
  </si>
  <si>
    <t>13.4</t>
  </si>
  <si>
    <t>Servicio de apoyo a la prestación del servicio de transporte de pacientes</t>
  </si>
  <si>
    <t>13.4.1</t>
  </si>
  <si>
    <t>Entidades de la red pública en salud apoyadas en la adquisición de ambulancias</t>
  </si>
  <si>
    <t>13.5</t>
  </si>
  <si>
    <t>Servicio de apoyo con tecnologías para la prestación de los servicios en salud</t>
  </si>
  <si>
    <t>13.5.1</t>
  </si>
  <si>
    <t>Población inimputable atendida</t>
  </si>
  <si>
    <t>Minsalud</t>
  </si>
  <si>
    <t>13.5.2</t>
  </si>
  <si>
    <t>Pacientes atendidos</t>
  </si>
  <si>
    <t>13.6</t>
  </si>
  <si>
    <t>Servicio de asistencia técnica a Instituciones Prestadoras de Servicios de salud</t>
  </si>
  <si>
    <t>13.6.1</t>
  </si>
  <si>
    <t>Instituciones Prestadoras de Servicios de salud asistidas técnicamente</t>
  </si>
  <si>
    <t>13.7</t>
  </si>
  <si>
    <t>13.7.1</t>
  </si>
  <si>
    <t>Personas con capacidad de pago afiliadas</t>
  </si>
  <si>
    <t>13.8</t>
  </si>
  <si>
    <t>Servicio de cofinanciación para la continuidad del régimen subsidiado en salud en 11 municipios del departamento.</t>
  </si>
  <si>
    <t>13.8.1</t>
  </si>
  <si>
    <t>Personas afiliadas</t>
  </si>
  <si>
    <t>13.9</t>
  </si>
  <si>
    <t>13.9.1</t>
  </si>
  <si>
    <t>Porcentaje de recursos transferidos</t>
  </si>
  <si>
    <t>13.10</t>
  </si>
  <si>
    <t>13.10.1</t>
  </si>
  <si>
    <t>Porcentaje de recursos pagados</t>
  </si>
  <si>
    <t>Cobertura del servicio de energía del sector rural</t>
  </si>
  <si>
    <t>Empresa de energía del Quindío EDEQ EPM</t>
  </si>
  <si>
    <t>Minas y energía</t>
  </si>
  <si>
    <t xml:space="preserve">Consolidación productiva del sector de energía eléctrica  </t>
  </si>
  <si>
    <t>14.1</t>
  </si>
  <si>
    <t>Redes domiciliarias de energía eléctrica instaladas</t>
  </si>
  <si>
    <t>14.1.1</t>
  </si>
  <si>
    <t>210204501</t>
  </si>
  <si>
    <t>Viviendas en zonas rurales conectadas a la red del sistema de distribución local de energía eléctrica</t>
  </si>
  <si>
    <t>Mejorar las condiciones d calidad de vida de la población, el acceso incluyente y equitativo a la oferta de servicios del Estado y la ampliación de oportunidades para los quindianos</t>
  </si>
  <si>
    <t>61,96% 
84,55% 
78,22% 
4,40% 
4,06% 
0,84%</t>
  </si>
  <si>
    <t>2018
2018
2018
2018
2018
2018</t>
  </si>
  <si>
    <t>Ministerio de Educación Nacional Ministerio de Educación Nacional Ministerio de Educación Nacional 
DANE / Censo Nacional de Población y Vivienda 2018 
Ministerio de Educación Nacional 
Ministerio de Educación Nacional</t>
  </si>
  <si>
    <t xml:space="preserve">64% 
85% 
80% 
4,20% 
3,50% 
0,50% </t>
  </si>
  <si>
    <t>Educación</t>
  </si>
  <si>
    <t>15.1</t>
  </si>
  <si>
    <t>15.1.1</t>
  </si>
  <si>
    <t>Documentos de planeación para la educación inicial, preescolar, básica y media emitidos</t>
  </si>
  <si>
    <t>15.2</t>
  </si>
  <si>
    <t>15.2.1</t>
  </si>
  <si>
    <t>Entidades y organizaciones asistidas técnicamente</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</si>
  <si>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</si>
  <si>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 xml:space="preserve">12% 
40% 
10% 
21% 
20,68% </t>
  </si>
  <si>
    <t>2017 
2017 
2017 
2017 
2019</t>
  </si>
  <si>
    <t>ICFES 
ICFES 
ICFES 
ICFES 
ICFES</t>
  </si>
  <si>
    <t>10% 
30% 
8% 
18% 
25,86%</t>
  </si>
  <si>
    <t>15.3</t>
  </si>
  <si>
    <t>Servicio de evaluación de la calidad de la educación preescolar, básica o media.</t>
  </si>
  <si>
    <t>15.3.1</t>
  </si>
  <si>
    <t>Estudiantes evaluados con pruebas de calidad educativa</t>
  </si>
  <si>
    <t>15.4</t>
  </si>
  <si>
    <t>Servicio de fortalecimiento a las capacidades de los docentes de educación preescolar, básica y media</t>
  </si>
  <si>
    <t>15.4.1</t>
  </si>
  <si>
    <t>Docentes de educación inicial, preescolar, básica y media beneficiados con estrategias de mejoramiento de sus capacidades</t>
  </si>
  <si>
    <t>15.5</t>
  </si>
  <si>
    <t>15.5.1</t>
  </si>
  <si>
    <t>15.6</t>
  </si>
  <si>
    <t>15.6.1</t>
  </si>
  <si>
    <t>Entidades territoriales con seguimiento y evaluación a la gestión.</t>
  </si>
  <si>
    <t>Cobertura en asistencia técnica a la educación inicial (0 a 4 años)</t>
  </si>
  <si>
    <t>N/D</t>
  </si>
  <si>
    <t>Secretaría de Educación Departamental del Quindío</t>
  </si>
  <si>
    <t>15.7</t>
  </si>
  <si>
    <t>Servicio de información para la gestión de la educación inicial y preescolar en condiciones de calidad</t>
  </si>
  <si>
    <t>15.7.1</t>
  </si>
  <si>
    <t xml:space="preserve">Entidades territoriales que hacen seguimiento a las condiciones de calidad de los prestadores de educación inicial o preescolar a través del Sistema de Información de Primera Infancia -SIPI- </t>
  </si>
  <si>
    <t>61,96% 
84,55% 
78,22% 
4,06%</t>
  </si>
  <si>
    <t>Ministerio de Educación Nacional Ministerio de Educación Nacional  
Ministerio de Educacón Nacional 
Ministerio de Educacón Nacional</t>
  </si>
  <si>
    <t xml:space="preserve">64% 
85% 
80% 
3,50% </t>
  </si>
  <si>
    <t>15.8</t>
  </si>
  <si>
    <t>15.8.1</t>
  </si>
  <si>
    <t>Ambientes de aprendizaje en funcionamiento</t>
  </si>
  <si>
    <t>61,96% 
84,55% 
78,22% 
4,06% 
0,84%</t>
  </si>
  <si>
    <t>2018
2018
2018
2018
2018</t>
  </si>
  <si>
    <t>Ministerio de Educación Nacional Ministerio de Educación Nacional Ministerio de Educación Nacional 
Ministerior de Educación Nacional
Ministerio de Educación Nacional</t>
  </si>
  <si>
    <t xml:space="preserve">64% 
85% 
80% 
3,50% 
0,50% </t>
  </si>
  <si>
    <t>15.9</t>
  </si>
  <si>
    <t>15.9.1</t>
  </si>
  <si>
    <t>Beneficiarios de la alimentación escolar</t>
  </si>
  <si>
    <t>15.10</t>
  </si>
  <si>
    <t>15.10.1</t>
  </si>
  <si>
    <t>Beneficiarios de transporte escolar</t>
  </si>
  <si>
    <t xml:space="preserve">
84,55% 
78,22% 
4,40% 
4,06% 
0,84%</t>
  </si>
  <si>
    <t xml:space="preserve">
2018
2018
2018
2018
2018</t>
  </si>
  <si>
    <t>Ministerio de Educación Nacional Ministerio de Educación Nacional
DANE / Censo Nacional de Población y Vivienda 2018
Ministerio de Educación Nacional 
Ministerio de Educación Nacional</t>
  </si>
  <si>
    <t xml:space="preserve">85% 
80% 
4,20% 
3,50% 
0,50% </t>
  </si>
  <si>
    <t>15.11</t>
  </si>
  <si>
    <t>15.11.1</t>
  </si>
  <si>
    <t>Beneficiarios atendidos con modelos educativos flexibles</t>
  </si>
  <si>
    <t xml:space="preserve">Tasa de Analfabetismo </t>
  </si>
  <si>
    <t xml:space="preserve">
DANE / Censo Nacional de Población y Vivienda 2018 </t>
  </si>
  <si>
    <t>15.12</t>
  </si>
  <si>
    <t>Servicio de alfabetización</t>
  </si>
  <si>
    <t>15.12.1</t>
  </si>
  <si>
    <t xml:space="preserve">Personas beneficiarias con modelos de alfabetización </t>
  </si>
  <si>
    <t>4.06%</t>
  </si>
  <si>
    <t>Ministerio de Educación Nacional</t>
  </si>
  <si>
    <t>15.13</t>
  </si>
  <si>
    <t>15.13.1</t>
  </si>
  <si>
    <t>Personas beneficiarias de estrategias de permanencia</t>
  </si>
  <si>
    <t>ICFES</t>
  </si>
  <si>
    <t>15.14</t>
  </si>
  <si>
    <t>Servicios educativos de promoción del bilingüismo</t>
  </si>
  <si>
    <t>15.14.1</t>
  </si>
  <si>
    <t>Estudiantes beneficiados con estrategias de promoción del bilingüismo</t>
  </si>
  <si>
    <t>15.14.2</t>
  </si>
  <si>
    <t>Instituciones educativas fortalecidas en competencias comunicativas en un segundo idioma</t>
  </si>
  <si>
    <t xml:space="preserve">Tasa de cobertura bruta en educación media 
Años promedio de estudio (población de 15 a 24 años) </t>
  </si>
  <si>
    <t>78,22% 
66,87%</t>
  </si>
  <si>
    <t>2018 
2018</t>
  </si>
  <si>
    <t>Ministerio de Educación Nacional 
DANE / Censo Nacional de Población y Vivienda 2018</t>
  </si>
  <si>
    <t>80% 
70%</t>
  </si>
  <si>
    <t>15.15</t>
  </si>
  <si>
    <t>Servicio de articulación entre la educación media y el sector productivo.</t>
  </si>
  <si>
    <t>15.15.1</t>
  </si>
  <si>
    <t xml:space="preserve">Programas y proyectos de educación pertinente articulados con el sector productivo </t>
  </si>
  <si>
    <t>15.16</t>
  </si>
  <si>
    <t>15.16.1</t>
  </si>
  <si>
    <t>Instituciones educativas oficiales que implementan el nivel preescolar en el marco de la atención integral</t>
  </si>
  <si>
    <t>15.17</t>
  </si>
  <si>
    <t>Servicios de atención psicosocial a estudiantes y docentes</t>
  </si>
  <si>
    <t>15.17.1</t>
  </si>
  <si>
    <t xml:space="preserve">Personas atendidas </t>
  </si>
  <si>
    <t>15.18</t>
  </si>
  <si>
    <t>15.18.1</t>
  </si>
  <si>
    <t>Instituciones educativas asistidas técnicamente en innovación educativa</t>
  </si>
  <si>
    <t>15.19</t>
  </si>
  <si>
    <t>Servicios de información en materia educativa</t>
  </si>
  <si>
    <t>15.19.1</t>
  </si>
  <si>
    <t>Observatorio implementado</t>
  </si>
  <si>
    <t>15.20</t>
  </si>
  <si>
    <t>15.20.1</t>
  </si>
  <si>
    <t>Estudiantes con acceso a contenidos web en el establecimiento educativo</t>
  </si>
  <si>
    <t>15.20.2</t>
  </si>
  <si>
    <t>Establecimientos educativos conectados a internet</t>
  </si>
  <si>
    <t>15.21</t>
  </si>
  <si>
    <t>Servicio de fomento para la prevención de riesgos sociales en entornos escolares</t>
  </si>
  <si>
    <t>15.21.1</t>
  </si>
  <si>
    <t>Entidades territoriales con estrategias para la prevención de riesgos sociales en los entornos escolares implementadas</t>
  </si>
  <si>
    <t>84,55% 78,22%</t>
  </si>
  <si>
    <t xml:space="preserve">Ministerio de Educación Nacional Ministerio de Educación Nacional </t>
  </si>
  <si>
    <t xml:space="preserve">85% 
80% </t>
  </si>
  <si>
    <t>15.22</t>
  </si>
  <si>
    <t>15.22.1</t>
  </si>
  <si>
    <t>Entidades Territoriales certificadas con asistencia técnica para el fortalecimiento de la estrategia educativa del sistema de responsabilidad penal para adolescentes</t>
  </si>
  <si>
    <t>15.23</t>
  </si>
  <si>
    <t>15.23.1</t>
  </si>
  <si>
    <t>Docentes beneficiados con estrategias de promoción del bilingüismo</t>
  </si>
  <si>
    <t>84,55% 
78,22%</t>
  </si>
  <si>
    <t>15.24</t>
  </si>
  <si>
    <t>15.24.1</t>
  </si>
  <si>
    <t>Proyectos apoyados</t>
  </si>
  <si>
    <t>15.25</t>
  </si>
  <si>
    <t>Estudios de preinversión</t>
  </si>
  <si>
    <t>15.25.1</t>
  </si>
  <si>
    <t>Estudios o diseños realizados</t>
  </si>
  <si>
    <t>Ministerio de Educación Nacional/SNIES</t>
  </si>
  <si>
    <t>15.26</t>
  </si>
  <si>
    <t>Servicio de orientación vocacional</t>
  </si>
  <si>
    <t>15.26.1</t>
  </si>
  <si>
    <t>Estudiantes vinculados a procesos de orientación vocacional</t>
  </si>
  <si>
    <t>15.27</t>
  </si>
  <si>
    <t>Servicio de apoyo para el fortalecimiento de escuelas de padres</t>
  </si>
  <si>
    <t>15.27.1</t>
  </si>
  <si>
    <t>Escuelas de padres apoyadas</t>
  </si>
  <si>
    <t>15.28</t>
  </si>
  <si>
    <t>15.28.1</t>
  </si>
  <si>
    <t>Establecimientos educativos con acciones de gestión del riesgo implementadas</t>
  </si>
  <si>
    <t xml:space="preserve">Ministerio de Educación Nacional Ministerio de Educación Nacional  
Ministerio de Educacón Nacional 
Ministerio de Educacón Nacional
</t>
  </si>
  <si>
    <t>64% 
85% 
80% 
3,50% 
100%</t>
  </si>
  <si>
    <t>15.29</t>
  </si>
  <si>
    <t>Infraestructura educativa dotada</t>
  </si>
  <si>
    <t>15.29.1</t>
  </si>
  <si>
    <t>Sedes dotadas</t>
  </si>
  <si>
    <t>15.31</t>
  </si>
  <si>
    <t>Documento para la planeación estratégica en TI</t>
  </si>
  <si>
    <t>15.31.1</t>
  </si>
  <si>
    <t>Planes de Mejoramiento de los sistemas de información de las secretarías de educación implementados</t>
  </si>
  <si>
    <t>Ministerio de Educación Nacional Ministerio de Educación Nacional Ministerio de Educación Nacional 
Ministerior de Educación Nacional</t>
  </si>
  <si>
    <t>15.32</t>
  </si>
  <si>
    <t>15.32.1</t>
  </si>
  <si>
    <t xml:space="preserve">61,96% 
84,55% 
78,22% </t>
  </si>
  <si>
    <t xml:space="preserve">Ministerio de Educación Nacional Ministerio de Educación Nacional Ministerio de Educación Nacional </t>
  </si>
  <si>
    <t xml:space="preserve">64% 
85% 
80% </t>
  </si>
  <si>
    <t>15.30</t>
  </si>
  <si>
    <t>15.30.1</t>
  </si>
  <si>
    <t>Establecimientos educativos en operación</t>
  </si>
  <si>
    <t xml:space="preserve">orientada a los procesos de inversión en los sectores sociales tendientes a mejorar las condiciones de calidad de vida de la población, el acceso incluyente y equitativo a la oferta de servicios del Estado y la ampliación de oportunidades para las personas. </t>
  </si>
  <si>
    <t>57%
5,52
15,2</t>
  </si>
  <si>
    <t>2018
2018
2019</t>
  </si>
  <si>
    <t>Portal de datos abiertos.gov
Consejo Privado de Competitividad. Universidad del Rosario.
Observatorio económico del departamento</t>
  </si>
  <si>
    <t>Tecnologías de la información y las comunicaciones</t>
  </si>
  <si>
    <t>16.2</t>
  </si>
  <si>
    <t>Servicio de acceso Zonas Wifi</t>
  </si>
  <si>
    <t>16.2.1</t>
  </si>
  <si>
    <t>Zonas Wifi en áreas rurales instaladas</t>
  </si>
  <si>
    <t>16.4</t>
  </si>
  <si>
    <t>Servicio de acceso y uso de Tecnologías de la Información y las Comunicaciones</t>
  </si>
  <si>
    <t>16.4.1</t>
  </si>
  <si>
    <t>Centros de acceso comunitario en zonas urbanas funcionando</t>
  </si>
  <si>
    <t>16.4.2</t>
  </si>
  <si>
    <t>Soluciones de conectividad en instituciones públicas instaladas</t>
  </si>
  <si>
    <t>41,87%
5,52
15,2</t>
  </si>
  <si>
    <t>Ministerio de Tecnologias de la Inofrmacion y de las Comunicaciones 
Consejo Privado de Competitividad. Universidad del Rosario.
Observatorio económico del departamento</t>
  </si>
  <si>
    <t>16.5</t>
  </si>
  <si>
    <t>16.5.1</t>
  </si>
  <si>
    <t>Personas capacitadas en tecnologías de la información y las comunicaciones</t>
  </si>
  <si>
    <t>16.3</t>
  </si>
  <si>
    <t>Servicio de asistencia técnica para proyectos en Tecnologías de la Información y las Comunicaciones</t>
  </si>
  <si>
    <t>16.3.1</t>
  </si>
  <si>
    <t>Municipios asistidos en diseño, implementación, ejecución y/ o liquidación  de proyectos</t>
  </si>
  <si>
    <t>16.1</t>
  </si>
  <si>
    <t>16.1.1</t>
  </si>
  <si>
    <t>Documentos de planeación elaborados</t>
  </si>
  <si>
    <t>16.6</t>
  </si>
  <si>
    <t>Servicio de educación para el trabajo en temas de uso pedagógico de tecnologías de la información y las comunicaciones.</t>
  </si>
  <si>
    <t>16.6.1</t>
  </si>
  <si>
    <t>Docentes formados en uso pedagógico de tecnologías de la información y las comunicaciones.</t>
  </si>
  <si>
    <t>16.7</t>
  </si>
  <si>
    <t>Servicio de telecomunicaciones para el envío de alertas tempranas a la población.</t>
  </si>
  <si>
    <t>16.7.1</t>
  </si>
  <si>
    <t xml:space="preserve">Disponibilidad del servicio  de telecomunicaciones para el envío de alertas tempranas a la población. </t>
  </si>
  <si>
    <t>Fortalecer las capacidades institucionales de la administración departamental, para generar condiciones de gobernanza territorial, participación, administración eficiente y transparente, planificación y seguimiento de la gestión institucional, y gobierno abierto.</t>
  </si>
  <si>
    <t>17.5</t>
  </si>
  <si>
    <t>Servicio de asistencia técnica a empresas de la industria de Tecnologías de la Información para mejorar sus capacidades de comercialización e innovación</t>
  </si>
  <si>
    <t>17.5.1</t>
  </si>
  <si>
    <t>Empresas beneficiadas con actividades de fortalecimiento  de la industria TI</t>
  </si>
  <si>
    <t>17.8</t>
  </si>
  <si>
    <t>Servicio de promoción de la industria de Tecnologías de la Información</t>
  </si>
  <si>
    <t>17.8.1</t>
  </si>
  <si>
    <t xml:space="preserve">Eventos para  promoción  de productos y Servicio de la industria TI realizados </t>
  </si>
  <si>
    <t>17.4</t>
  </si>
  <si>
    <t>Servicio de asistencia técnica a emprendedores y empresas</t>
  </si>
  <si>
    <t>17.4.1</t>
  </si>
  <si>
    <t>Emprendedores y empresas asistidas técnicamente</t>
  </si>
  <si>
    <t>17.7</t>
  </si>
  <si>
    <t>Servicio de Investigación, Desarrollo e Innovación para la industria de las Tecnologías de la Información</t>
  </si>
  <si>
    <t>17.7.1</t>
  </si>
  <si>
    <t>Modelos para el desarrollo de actividades I+D+i en la industria TIC nacional desarrollados</t>
  </si>
  <si>
    <t xml:space="preserve">Tasa de crecimiento de puntos de acceso a internet gratis </t>
  </si>
  <si>
    <t>Portal de datos abiertos.gov</t>
  </si>
  <si>
    <t>17.9</t>
  </si>
  <si>
    <t>Servicio de educación informal en Teletrabajo</t>
  </si>
  <si>
    <t>17.9.1</t>
  </si>
  <si>
    <t xml:space="preserve">Personas y/o entidades (públicas y privadas) de la comunidad capacitadas en teletrabajo </t>
  </si>
  <si>
    <t>17.11</t>
  </si>
  <si>
    <t>Servicio de educación informal para aumentar la calidad y cantidad de talento humano para la industria TI</t>
  </si>
  <si>
    <t>17.11.1</t>
  </si>
  <si>
    <t>Personas capacitadas en programas informales de Tecnologías de la Información</t>
  </si>
  <si>
    <t>Ministerio de Tecnologías de la Información y de las Comunicaciones</t>
  </si>
  <si>
    <t xml:space="preserve">Fortalecimiento Institucional </t>
  </si>
  <si>
    <t>17.1</t>
  </si>
  <si>
    <t>17.1.1</t>
  </si>
  <si>
    <t>Productos digitales desarrollados</t>
  </si>
  <si>
    <t xml:space="preserve">
72,91%</t>
  </si>
  <si>
    <t>17.2</t>
  </si>
  <si>
    <t>Documentos de evaluación</t>
  </si>
  <si>
    <t>17.2.1</t>
  </si>
  <si>
    <t>Documentos de evaluación de programas enfocados en generar competencias TIC</t>
  </si>
  <si>
    <t>17.3</t>
  </si>
  <si>
    <t>Documentos metodológicos</t>
  </si>
  <si>
    <t>17.3.1</t>
  </si>
  <si>
    <t>Documento metodológico del modelo de acompañamiento para la implementación de la Estrategia de Gobierno digital elaborado</t>
  </si>
  <si>
    <t>17.6</t>
  </si>
  <si>
    <t>Servicio de educación informal para la implementación de la Estrategia de Gobierno digital</t>
  </si>
  <si>
    <t>17.6.1</t>
  </si>
  <si>
    <t>Personas capacitadas para la implementación de la Estrategia de Gobierno digital</t>
  </si>
  <si>
    <t>17.10</t>
  </si>
  <si>
    <t>17.10.1</t>
  </si>
  <si>
    <t>Personas capacitadas para en Gestión TI y en Seguridad y Privacidad de la Información</t>
  </si>
  <si>
    <t>17.12</t>
  </si>
  <si>
    <t>17.12.1</t>
  </si>
  <si>
    <t>Garantizar la movilidad y conectividad vehicular de las diferentes vias del Departamento del Quindio</t>
  </si>
  <si>
    <t>ÍNDICE DEPARTAMENTAL
DE COMPETITIVIDAD  - Consejo Privado de Competitividad</t>
  </si>
  <si>
    <t>Transporte</t>
  </si>
  <si>
    <t>18.1</t>
  </si>
  <si>
    <t>18.1.1</t>
  </si>
  <si>
    <t>Infraestructura en puentes construida, mejorada, ampliada, mantenida y/o reforzada</t>
  </si>
  <si>
    <t>18.2</t>
  </si>
  <si>
    <t>18.2.1</t>
  </si>
  <si>
    <t xml:space="preserve">Infraestructura  vial    construída, mejorada, ampliada,  mantenida, y/o  reforzada </t>
  </si>
  <si>
    <t>garantizar la movilidad y conectividad vehicular de las diferentes vias del Departamento del Quindio</t>
  </si>
  <si>
    <t>18.3</t>
  </si>
  <si>
    <t>Estudios y diseños de infraestructura vial.</t>
  </si>
  <si>
    <t>18.3.1</t>
  </si>
  <si>
    <t>Estudios y diseños de infraestructura vial elaborado.</t>
  </si>
  <si>
    <t>Garantizar la sostenibilidad ambiental y protección de las condiciones biofísicas del territorio quindiano, así como las dinámicas de la planificación territorial, y la dotación de factores de infraestructura vial, de vivienda, de servicios públicos, y de equipamientos, entre otros</t>
  </si>
  <si>
    <t>Agencia Nacional de Seguridad Vial</t>
  </si>
  <si>
    <t>19.1</t>
  </si>
  <si>
    <t>19.1.1</t>
  </si>
  <si>
    <t xml:space="preserve">Estrategia de movilidad saludable, segura y sostenible  formulada e implementada </t>
  </si>
  <si>
    <t>19.2</t>
  </si>
  <si>
    <t>19.2.1</t>
  </si>
  <si>
    <t>Programa de formación cultural  de la seguridad en la vía formulado e implementado.</t>
  </si>
  <si>
    <t>19.3</t>
  </si>
  <si>
    <t>19.3.1</t>
  </si>
  <si>
    <t>Programa de control y atención del tránsito y el transporte formulado e implementado</t>
  </si>
  <si>
    <t>19.4</t>
  </si>
  <si>
    <t>19.4.1</t>
  </si>
  <si>
    <t>Programa de Señalización y demarcación en los municipios y vías de jurisdicción del IDTQ diseñado e Implementado</t>
  </si>
  <si>
    <t xml:space="preserve">Garantizar la sostenibilidad ambiental y protección de las condiciones biofísicas del territorio quindiano, así como las dinámicas de la planificación territorial, y la dotación de factores de infraestructura vial, de vivienda, de servicios públicos, y de equipamientos, entre otros.  </t>
  </si>
  <si>
    <t>100%
25</t>
  </si>
  <si>
    <t>2019
2018</t>
  </si>
  <si>
    <t>Unidad Departamental en Gestión del Riesgo de Desastres. 
IDEAM</t>
  </si>
  <si>
    <t>100%
28</t>
  </si>
  <si>
    <t>Ambiente y desarrollo sostenible</t>
  </si>
  <si>
    <t xml:space="preserve">Prevenció y atención de desastres </t>
  </si>
  <si>
    <t>23.1</t>
  </si>
  <si>
    <t>23.1.1</t>
  </si>
  <si>
    <t>Documentos de estudios técnicos para el conocimiento y reducción del riesgo de desastres elaborados</t>
  </si>
  <si>
    <t>23.5</t>
  </si>
  <si>
    <t>23.5.1</t>
  </si>
  <si>
    <t xml:space="preserve">Obras de infraestructura para mitigación y atención a desastres realizadas </t>
  </si>
  <si>
    <t>ND</t>
  </si>
  <si>
    <t>Secretaría de Familia/ Oficina de Juventud.</t>
  </si>
  <si>
    <t>Cultura</t>
  </si>
  <si>
    <t>cultura</t>
  </si>
  <si>
    <t>25.1</t>
  </si>
  <si>
    <t>25.1.1</t>
  </si>
  <si>
    <t>Capacitaciones de educación informal realizadas</t>
  </si>
  <si>
    <t>Mejorar las condiciones de calidad de vida de la población, el acceso incluyente y equitativo a la oferta de servicios del Estado y la ampliación de oportunidades para los quindianos.</t>
  </si>
  <si>
    <t>0,44%
6,8%</t>
  </si>
  <si>
    <t>2019
2013</t>
  </si>
  <si>
    <t>Secretaría de Cultura-La Llave del Saber
Plan Biocultura</t>
  </si>
  <si>
    <t>3%
6,0%</t>
  </si>
  <si>
    <t>25.6</t>
  </si>
  <si>
    <t>25.6.1</t>
  </si>
  <si>
    <t>25.2</t>
  </si>
  <si>
    <t>Servicio de educación formal al sector artístico y cultural</t>
  </si>
  <si>
    <t>25.2.1</t>
  </si>
  <si>
    <t>Cupos de educación formal ofertados</t>
  </si>
  <si>
    <t>37%
6,8%</t>
  </si>
  <si>
    <t>Secretaría de Cultura Plan Biocultura</t>
  </si>
  <si>
    <t>47,0%
6,0%</t>
  </si>
  <si>
    <t>25.5</t>
  </si>
  <si>
    <t>25.5.1</t>
  </si>
  <si>
    <t>330108500</t>
  </si>
  <si>
    <t>Usuarios atendidos</t>
  </si>
  <si>
    <t>25.9</t>
  </si>
  <si>
    <t>25.9.1</t>
  </si>
  <si>
    <t>330110000</t>
  </si>
  <si>
    <t>Publicaciones realizadas</t>
  </si>
  <si>
    <t>9%
6,8%</t>
  </si>
  <si>
    <t>15%
6,0%</t>
  </si>
  <si>
    <t>25.4</t>
  </si>
  <si>
    <t>25.4.1</t>
  </si>
  <si>
    <t>Producciones artísticas en circulación</t>
  </si>
  <si>
    <t>Tasa de participación en procesos y actividades artísticas y culturales.
Tasa de consumo de sustancias sicoactivas por 100.000 habitantes en el departamento del Quindío.</t>
  </si>
  <si>
    <t>2019
2013
2019</t>
  </si>
  <si>
    <t>25.3</t>
  </si>
  <si>
    <t>25.3.1</t>
  </si>
  <si>
    <t>330106800</t>
  </si>
  <si>
    <t>Infraestructura cultural intervenida</t>
  </si>
  <si>
    <t>25.7</t>
  </si>
  <si>
    <t>25.7.1</t>
  </si>
  <si>
    <t>330109500</t>
  </si>
  <si>
    <t>Personas asistidas técnicamente</t>
  </si>
  <si>
    <t>Secretaría de Cultura 
Plan Biocultura</t>
  </si>
  <si>
    <t>25.8</t>
  </si>
  <si>
    <t>25.8.1</t>
  </si>
  <si>
    <t>330109900</t>
  </si>
  <si>
    <t>Sistema de información del sector artístico y cultural en operación</t>
  </si>
  <si>
    <t>97,0%
6,8%</t>
  </si>
  <si>
    <t>100%
6,0%</t>
  </si>
  <si>
    <t>26.1</t>
  </si>
  <si>
    <t>26.1.1</t>
  </si>
  <si>
    <t>330204200</t>
  </si>
  <si>
    <t xml:space="preserve">Asistencias técnicas realizadas a entidades territoriales </t>
  </si>
  <si>
    <t>26.2</t>
  </si>
  <si>
    <t>26.2.1</t>
  </si>
  <si>
    <t>330207000</t>
  </si>
  <si>
    <t>16,5
15,2</t>
  </si>
  <si>
    <t>2018
2019</t>
  </si>
  <si>
    <t>DANE - Cuentas departamentales
Observatorio econímico departamento</t>
  </si>
  <si>
    <t xml:space="preserve">18,1
13,5
</t>
  </si>
  <si>
    <t>Comercio, Industria y Turismo</t>
  </si>
  <si>
    <t>27.3</t>
  </si>
  <si>
    <t>3502017</t>
  </si>
  <si>
    <t>27.3.1</t>
  </si>
  <si>
    <t>350201701</t>
  </si>
  <si>
    <t xml:space="preserve">Necesidades empresariales atendidas a partir de emprendimientos </t>
  </si>
  <si>
    <t>Índice Departamental de Competitividad
Tasa de sempleo</t>
  </si>
  <si>
    <t>5,52
15,2</t>
  </si>
  <si>
    <t>2019
2019</t>
  </si>
  <si>
    <t>Consejo Privado de Competitividad &amp; Universidad del Rosario.
Observatorio económico del departamento</t>
  </si>
  <si>
    <t>27.1</t>
  </si>
  <si>
    <t>3502006</t>
  </si>
  <si>
    <t>27.1.1</t>
  </si>
  <si>
    <t>350200600</t>
  </si>
  <si>
    <t xml:space="preserve">Planes de trabajo concertados con las CRC para su consolidación </t>
  </si>
  <si>
    <t>27.2</t>
  </si>
  <si>
    <t>3502007</t>
  </si>
  <si>
    <t>27.2.1</t>
  </si>
  <si>
    <t>350200700</t>
  </si>
  <si>
    <t>Clústeres asistidos en la implementación de los planes de acción</t>
  </si>
  <si>
    <t>27.4</t>
  </si>
  <si>
    <t>3502022</t>
  </si>
  <si>
    <t>27.4.1</t>
  </si>
  <si>
    <t>350202200</t>
  </si>
  <si>
    <t>Empresas asistidas técnicamente</t>
  </si>
  <si>
    <t>5,62
15,2</t>
  </si>
  <si>
    <t>Centro de pensamiento turístico-Colombia (Cotelco-Unicafam)
Observatorio económico del departamento</t>
  </si>
  <si>
    <t>27.5</t>
  </si>
  <si>
    <t>3502039</t>
  </si>
  <si>
    <t>27.5.1</t>
  </si>
  <si>
    <t>350203900</t>
  </si>
  <si>
    <t>27.5.2</t>
  </si>
  <si>
    <t>350203910</t>
  </si>
  <si>
    <t>Proyectos de infraestructura turística apoyados</t>
  </si>
  <si>
    <t>27.6</t>
  </si>
  <si>
    <t>3502046</t>
  </si>
  <si>
    <t>27.6.1</t>
  </si>
  <si>
    <t>Campañas realizadas</t>
  </si>
  <si>
    <t>27.7</t>
  </si>
  <si>
    <t>3502047</t>
  </si>
  <si>
    <t>27.7.1</t>
  </si>
  <si>
    <t>350204700</t>
  </si>
  <si>
    <t>27.8</t>
  </si>
  <si>
    <t>27.8.1</t>
  </si>
  <si>
    <t>Índice Departamental de Competitividad.
Tasa de desempleo.</t>
  </si>
  <si>
    <t xml:space="preserve">Consejo Privado de Competitividad &amp; Universidad del Rosario </t>
  </si>
  <si>
    <t>Trabajo</t>
  </si>
  <si>
    <t>28.1</t>
  </si>
  <si>
    <t>3602018</t>
  </si>
  <si>
    <t>28.1.1</t>
  </si>
  <si>
    <t>360201800</t>
  </si>
  <si>
    <t>Planes de negocio financiados</t>
  </si>
  <si>
    <t>28.2</t>
  </si>
  <si>
    <t>3602029</t>
  </si>
  <si>
    <t>Servicio de asistencia técnica para la generación y formalización del empleo</t>
  </si>
  <si>
    <t>28.2.1</t>
  </si>
  <si>
    <t>360202904</t>
  </si>
  <si>
    <t>Talleres de oferta institucional realizados</t>
  </si>
  <si>
    <t>28.3</t>
  </si>
  <si>
    <t>28.3.1</t>
  </si>
  <si>
    <t>360203000</t>
  </si>
  <si>
    <t>Reportes realizados</t>
  </si>
  <si>
    <t>Consejo Privado de Competitividad &amp; Universidad del Rosario 
Observatorio económico del departamento</t>
  </si>
  <si>
    <t>28.4</t>
  </si>
  <si>
    <t>3602032</t>
  </si>
  <si>
    <t>Servicio de asesoría técnica para el emprendimiento</t>
  </si>
  <si>
    <t>28.4.1</t>
  </si>
  <si>
    <t>360203201</t>
  </si>
  <si>
    <t>Emprendimientos fortalecidos</t>
  </si>
  <si>
    <t>0,6</t>
  </si>
  <si>
    <t>Sistema de Información Integrado para el Registro y Erradicación del Trabajo Infantil y sus Peores Formas, Ministerio del Trabajo- SIRITI</t>
  </si>
  <si>
    <t>Atención a Grupos Vulnerables Promoción Social</t>
  </si>
  <si>
    <t>29.1</t>
  </si>
  <si>
    <t>29.1.1</t>
  </si>
  <si>
    <t>360400600</t>
  </si>
  <si>
    <t>Ciencia, Tecnolgía e Innovación</t>
  </si>
  <si>
    <t>32.1</t>
  </si>
  <si>
    <t>Servicio para el fortalecimiento de capacidades institucionales para el fomento de vocación científica</t>
  </si>
  <si>
    <t>32.1.1</t>
  </si>
  <si>
    <t>Instituciones educativas que participan en programas que fomentan la cultura de la Ciencia, la Tecnología y la Innovación fortalecidas</t>
  </si>
  <si>
    <t>15.10%</t>
  </si>
  <si>
    <t>Censo DANE, para el año 2018</t>
  </si>
  <si>
    <t>33.7</t>
  </si>
  <si>
    <t>4001031</t>
  </si>
  <si>
    <t>Servicio de apoyo financiero para adquisición de vivienda</t>
  </si>
  <si>
    <t>33.7.1</t>
  </si>
  <si>
    <t>400103103</t>
  </si>
  <si>
    <t>Equipamientos construidos</t>
  </si>
  <si>
    <t xml:space="preserve">.Cobertura de acueducto .
.Cobertura  de alcantarillado </t>
  </si>
  <si>
    <t>100%.
94%</t>
  </si>
  <si>
    <t>SECRETARIA DE AGUAS E INFREAESTRUCTURA</t>
  </si>
  <si>
    <t>Vivienda</t>
  </si>
  <si>
    <t>Agua Potable y Saneamiento Básico</t>
  </si>
  <si>
    <t>34.1</t>
  </si>
  <si>
    <t>34.1.1</t>
  </si>
  <si>
    <t>Plantas de tratamiento de aguas residuales  construidas</t>
  </si>
  <si>
    <t>34.2</t>
  </si>
  <si>
    <t>34.2.1</t>
  </si>
  <si>
    <t>Proyectos de acueducto y alcantarillado en área urbana financiados</t>
  </si>
  <si>
    <t>34.3</t>
  </si>
  <si>
    <t>4003026</t>
  </si>
  <si>
    <t>Servicios de apoyo financiero para la ejecución de proyectos de acueductos y de manejo de aguas residuales</t>
  </si>
  <si>
    <t>34.3.1</t>
  </si>
  <si>
    <t>Proyectos de acueducto y de manejo de aguas residuales en área rural financiados</t>
  </si>
  <si>
    <t>34.4</t>
  </si>
  <si>
    <t>34.4.1</t>
  </si>
  <si>
    <t>Eventos de educación informal en agua y saneamiento básico realizados</t>
  </si>
  <si>
    <t>34.5</t>
  </si>
  <si>
    <t>34.5.1</t>
  </si>
  <si>
    <t xml:space="preserve">Estudios o diseños realizados </t>
  </si>
  <si>
    <t>Unidad para la Atención y Reparación Integral a las Víctimas - Corte a 31 de Diciembre de 2019</t>
  </si>
  <si>
    <t>35.1</t>
  </si>
  <si>
    <t>35.1.1</t>
  </si>
  <si>
    <t>Iniciativas de memoria histórica asistidas técnicamente</t>
  </si>
  <si>
    <t>Unidad para la Atención y Reparación Integral a las Víctimas - Corte a 31 de Diciembre de 2019 - Oficina de Derechos Humanos, Secretaría de Interior</t>
  </si>
  <si>
    <t>35.2</t>
  </si>
  <si>
    <t>35.2.1</t>
  </si>
  <si>
    <t>Solicitudes tramitadas</t>
  </si>
  <si>
    <t>35.3</t>
  </si>
  <si>
    <t>35.3.1</t>
  </si>
  <si>
    <t>Personas víctimas con ayuda humanitaria</t>
  </si>
  <si>
    <t>35.4</t>
  </si>
  <si>
    <t>4101038</t>
  </si>
  <si>
    <t>35.4.1</t>
  </si>
  <si>
    <t>Eventos de participación realizados</t>
  </si>
  <si>
    <t xml:space="preserve">Unidad para la Atención y Reparación Integral a las Víctimas </t>
  </si>
  <si>
    <t>35.5</t>
  </si>
  <si>
    <t>4101073</t>
  </si>
  <si>
    <t>35.5.1</t>
  </si>
  <si>
    <t>Hogares con asistencia técnica para la generación de ingresos</t>
  </si>
  <si>
    <t>85,04
61,80
97,96
535,38
0,72
14,13
81,5</t>
  </si>
  <si>
    <t>2018
2018
2018
2018
2018
2018
2018</t>
  </si>
  <si>
    <t>Instituto Nacional de Medicina Legal y Ciencias Forense.
Instituto Nacional de Medicina Legal y Ciencias Forense.
Sistema único de Información de la Niñez del Sistema Nacional de Bienestar Familiar (SUIN).
Instituto Nacional de Medicina Legal y Ciencias Forense.
Instituto Nacional de Medicina Legal y Ciencias Forense.</t>
  </si>
  <si>
    <t>80.00
61,4
97, 67
535, 08
0,48
12,00
71,12</t>
  </si>
  <si>
    <t>36.1</t>
  </si>
  <si>
    <t>36.1.1</t>
  </si>
  <si>
    <t>410202200</t>
  </si>
  <si>
    <t xml:space="preserve">Eventos de divulgación realizados </t>
  </si>
  <si>
    <t>85,04
81,5</t>
  </si>
  <si>
    <t>Instituto Nacional de Medicina Legal y Ciencias Forense
Instituto Nacional de Medicina Legal y Ciencias Forense</t>
  </si>
  <si>
    <t>80.00
71,12</t>
  </si>
  <si>
    <t>36.2</t>
  </si>
  <si>
    <t>36.2.1</t>
  </si>
  <si>
    <t>Capacitación en activación de las Rutas Integrales de Atención en Violencia Intrafamiliar y de Género, a trabajadores de Supermercados y Tenderos de los Municipios realizadas</t>
  </si>
  <si>
    <t xml:space="preserve"> Secretaría de Familia </t>
  </si>
  <si>
    <t>36.3</t>
  </si>
  <si>
    <t xml:space="preserve">Implementar y realizar seguimiento a las Rutas Integrales de Atención </t>
  </si>
  <si>
    <t>36.3.1</t>
  </si>
  <si>
    <t xml:space="preserve">Numero de rutas integrales de atención  a la  primera infancia implementadas y con seguimiento </t>
  </si>
  <si>
    <t xml:space="preserve">Secretaría de Familia </t>
  </si>
  <si>
    <t>36.4</t>
  </si>
  <si>
    <t>36.4.1</t>
  </si>
  <si>
    <t>Modelo de atención integral de entornos protectores implementado</t>
  </si>
  <si>
    <t>36.5</t>
  </si>
  <si>
    <t>36.5.1</t>
  </si>
  <si>
    <t xml:space="preserve">Atención integral a niños y niñas en primera infancia en espacios socialmente no convencionales implementados </t>
  </si>
  <si>
    <t>ICBF regional Quindío-Sistema de Responsabilidad Penal para Adolescentes</t>
  </si>
  <si>
    <t>36.6</t>
  </si>
  <si>
    <t>36.6.1</t>
  </si>
  <si>
    <t>Niños, niñas, adolescentes y jóvenes atendidos en los servicios de restablecimiento en la administración de justicia</t>
  </si>
  <si>
    <t>61,80
97,96
535,38
0,72
11,19
0,6
0.21
6,8</t>
  </si>
  <si>
    <t>Instituto Nacional de Medicina Legal y Ciencias Forense
Instituto Nacional de Medicina Legal y Ciencias Forense
Instituto Nacional de Medicina Legal y Ciencias Forense
Sistema único de Información de la Niñez del Sistema Nacional de Bienestar Familiar (SUIN).
FORENSIS- MEDICINA LEGAL
Sistema de Información Integrado para el Registro y Erradicación del Trabajo Infantil y sus Peores Formas, Ministerio del Trabajo- SIRITI
Secretaría de Salud Departamental</t>
  </si>
  <si>
    <t>61,4
97, 67
535, 08
0,48
10,1
0,4
0,19
6,0</t>
  </si>
  <si>
    <t>36.7</t>
  </si>
  <si>
    <t>36.7.1</t>
  </si>
  <si>
    <t xml:space="preserve">Política Pública de Primera Infancia, Infancia y Adolescencia, revisada, ajustada e implementada. </t>
  </si>
  <si>
    <t>85,04
14,13
81,5
10,77
0,6
0.21
100%</t>
  </si>
  <si>
    <t>Instituto Nacional de Medicina Legal y Ciencias Forense
Instituto Nacional de Medicina Legal y Ciencias Forense
Instituto Nacional de Medicina Legal y Ciencias Forense
FORENSIS- MEDICINA LEGAL
Sistema de Información Integrado para el Registro y Erradicación del Trabajo Infantil y sus Peores Formas, Ministerio del Trabajo- SIRITI
Secretaría de Salud Departamental
Secretaría de Familia- Dirección de Adulto Mayor y Discapacidad</t>
  </si>
  <si>
    <t>80,00
12,00
71,12
9,45
0,4
0.19
100%</t>
  </si>
  <si>
    <t>36.8</t>
  </si>
  <si>
    <t xml:space="preserve">Implementar la  Política Pública para la Protección, el Fortalecimiento y el Desarrollo Integral de la Familia Quindiana </t>
  </si>
  <si>
    <t>36.8.1</t>
  </si>
  <si>
    <t>Política Pública de Familia  implementada</t>
  </si>
  <si>
    <t xml:space="preserve">10,77
14,13
81,5
85,04
6,8
No Disponible
ND
</t>
  </si>
  <si>
    <t>FORENSIS- MEDICINA LEGAL
Instituto Nacional de Medicina Legal y Ciencias Forense
Instituto Nacional de Medicina Legal y Ciencias Forense
Instituto Nacional de Medicina Legal y Ciencias Forense
Observatorio de Drogas de Colombia
ICBF regional Quindío-Sistema de Responsabilidad Penal para Adolescentes
Secretaría de Familia/ Oficina de Juventud.</t>
  </si>
  <si>
    <t>9,45
12,00
71,12
80,00
6,0
100%
100%</t>
  </si>
  <si>
    <t>36.9</t>
  </si>
  <si>
    <t xml:space="preserve">Implementar  la Política Pública de Juventud </t>
  </si>
  <si>
    <t>36.9.1</t>
  </si>
  <si>
    <t>Política Pública de Juventud implementada</t>
  </si>
  <si>
    <t>37.1</t>
  </si>
  <si>
    <t>37.1.1</t>
  </si>
  <si>
    <t>Comunidades con acompañamiento familiar.</t>
  </si>
  <si>
    <t>37.4</t>
  </si>
  <si>
    <t>37.4.1</t>
  </si>
  <si>
    <t>Unidades productivas colectivas con asistencia técnica</t>
  </si>
  <si>
    <t>Secretaría de Familia- Dirección de Adulto Mayor y Discapacidad</t>
  </si>
  <si>
    <t>37.3</t>
  </si>
  <si>
    <t>37.3.1</t>
  </si>
  <si>
    <t>Unidades productivas colectivas fortalecidas</t>
  </si>
  <si>
    <t xml:space="preserve">Secretaria de Familia - dirección de poblaciones </t>
  </si>
  <si>
    <t>37.2</t>
  </si>
  <si>
    <t>37.2.1</t>
  </si>
  <si>
    <t>Secretaría de Familia-Dirección de Poblaciones</t>
  </si>
  <si>
    <t>37.5</t>
  </si>
  <si>
    <t>37.5.1</t>
  </si>
  <si>
    <t xml:space="preserve">Planes de vida de los cabildos indígenas  construidos  e implementados </t>
  </si>
  <si>
    <t>37.6</t>
  </si>
  <si>
    <t>37.6.1</t>
  </si>
  <si>
    <t xml:space="preserve">Planes de vida de los resguardos indígenas  construidos  e implementados </t>
  </si>
  <si>
    <t>Secretaria de Familia- Dirección de poblaciones</t>
  </si>
  <si>
    <t>37.7</t>
  </si>
  <si>
    <t>37.7.1</t>
  </si>
  <si>
    <t xml:space="preserve">Política Pública para la comunidad negra, afrocolombiana, raizal y palenquera residente en el departamento del Quindío formulada e implementada </t>
  </si>
  <si>
    <t>Agencia para la normalización y la Reincorporación - Corte al 31 de Diciembre de 2019</t>
  </si>
  <si>
    <t>37.8</t>
  </si>
  <si>
    <t>37.8.1</t>
  </si>
  <si>
    <t>Población excombatiente beneficiada</t>
  </si>
  <si>
    <t>Cobertura  de municipios del Departamento del Quindío  con el   Programas  de Rehabilitación Basada en la Comunidad  RBC</t>
  </si>
  <si>
    <t>38.3</t>
  </si>
  <si>
    <t>38.3.2</t>
  </si>
  <si>
    <t xml:space="preserve">Estrategia de rehabilitación basada en la comunidad implementada en los municipios  </t>
  </si>
  <si>
    <t>Cobertura de municipios atendidos  con el Banco de ayudas técnicas NO POS tipo Estándar, para las personas con discapacidad .</t>
  </si>
  <si>
    <t>38.3.1</t>
  </si>
  <si>
    <t xml:space="preserve">Personas atendidas con servicios integrales de atención </t>
  </si>
  <si>
    <t>38.5</t>
  </si>
  <si>
    <t xml:space="preserve">Transferencia estampilla para el bienestar del adulto mayor </t>
  </si>
  <si>
    <t>38.5.1</t>
  </si>
  <si>
    <t>Municipios con recursos transferidos con la estampilla Departamental para el bienestar del adulto mayor</t>
  </si>
  <si>
    <t>38.1</t>
  </si>
  <si>
    <t>38.1.1</t>
  </si>
  <si>
    <t xml:space="preserve">Adultos mayores atendidos con servicios integrales </t>
  </si>
  <si>
    <t>10,77
85,04
0</t>
  </si>
  <si>
    <t>2018
2018
nd</t>
  </si>
  <si>
    <t>FORENSIS- MEDICINA LEGAL
Instituto Nacional de Medicina Legal y Ciencias Forense
Secretaría de Familia- Dirección de Adulto Mayor y Discapacidad</t>
  </si>
  <si>
    <t>9,45
80,00
100%</t>
  </si>
  <si>
    <t>38.6</t>
  </si>
  <si>
    <t>38.6.1</t>
  </si>
  <si>
    <t>10,77
85,04
6,8
81,5</t>
  </si>
  <si>
    <t>2018
2018
2013
2018</t>
  </si>
  <si>
    <t>FORENSIS- MEDICINA LEGAL
Instituto Nacional de Medicina Legal y Ciencias Forense
Observatorio de Drogas de Colombia
Instituto Nacional de Medicina Legal y Ciencias Forense</t>
  </si>
  <si>
    <t>9,45
80,00
6,0
71,12</t>
  </si>
  <si>
    <t>38.7</t>
  </si>
  <si>
    <t>38.7.1</t>
  </si>
  <si>
    <t xml:space="preserve"> 85,04
81,5
0,21
19,60%
39,39%</t>
  </si>
  <si>
    <t>2018
2018
2018
2019
2018</t>
  </si>
  <si>
    <t>Instituto Nacional de Medicina Legal y Ciencias Forense
Instituto Nacional de Medicina Legal y Ciencias Forense
Secretaría de Salud Departamental
Registraduría Nacional del Estado Civil
Secretaria de Familia Gobernación del Quindío, Oficina dela mujer y la equidad.</t>
  </si>
  <si>
    <t>80,00
71,12
0.19%
21
50%</t>
  </si>
  <si>
    <t>38.8</t>
  </si>
  <si>
    <t>38.8.1</t>
  </si>
  <si>
    <t>10,77
85,04
100%
100%</t>
  </si>
  <si>
    <t>FORENSIS- MEDICINA LEGAL
Instituto Nacional de Medicina Legal y Ciencias Forense
Secretaría de Familia- Dirección de Adulto Mayor y Discapacidad
Secretaría de Familia- Dirección de Adulto Mayor y Discapacidad</t>
  </si>
  <si>
    <t>9,45
80,00
100%
100%</t>
  </si>
  <si>
    <t>38.9</t>
  </si>
  <si>
    <t xml:space="preserve">Formular e implementar la Política Pública de Adulto Mayor </t>
  </si>
  <si>
    <t>38.9.1</t>
  </si>
  <si>
    <t xml:space="preserve">Política Pública de Adulto Mayor  formulada e implementada </t>
  </si>
  <si>
    <t>38.2</t>
  </si>
  <si>
    <t>38.2.1</t>
  </si>
  <si>
    <t xml:space="preserve">Servicio de articulación habitante de calle implementado en los municipios </t>
  </si>
  <si>
    <t>38.4</t>
  </si>
  <si>
    <t>38.4.1</t>
  </si>
  <si>
    <t>Centros de atención integral para personas con Discapacidad construidos y dotados</t>
  </si>
  <si>
    <t>Indeportes Quindio</t>
  </si>
  <si>
    <t>Deporte y Recreación</t>
  </si>
  <si>
    <t>39.2</t>
  </si>
  <si>
    <t>4301037</t>
  </si>
  <si>
    <t>39.2.2</t>
  </si>
  <si>
    <t>430103704</t>
  </si>
  <si>
    <t>Municipios implementando  programas de recreación, actividad física y deporte social comunitario</t>
  </si>
  <si>
    <t>39.3</t>
  </si>
  <si>
    <t>39.3.1</t>
  </si>
  <si>
    <t>39.2.1</t>
  </si>
  <si>
    <t>Municipios vinculados al programa Supérate-Intercolegiados</t>
  </si>
  <si>
    <t>39.1</t>
  </si>
  <si>
    <t>39.1.1</t>
  </si>
  <si>
    <t>Municipios con Escuelas Deportivas</t>
  </si>
  <si>
    <t>100%
100%
1,19%</t>
  </si>
  <si>
    <t>100%
100%
100%</t>
  </si>
  <si>
    <t>39.4</t>
  </si>
  <si>
    <t>39.4.1</t>
  </si>
  <si>
    <t>Indeportes Quindio
Estadística Juegos Nacionales</t>
  </si>
  <si>
    <t>40.2</t>
  </si>
  <si>
    <t>40.2.1</t>
  </si>
  <si>
    <t xml:space="preserve">Organismos deportivos asistidos </t>
  </si>
  <si>
    <t>40.2.2</t>
  </si>
  <si>
    <t>Juegos Deportivos Realizados</t>
  </si>
  <si>
    <t>40.1</t>
  </si>
  <si>
    <t>40.1.1</t>
  </si>
  <si>
    <t xml:space="preserve">Tasa de participación femenina </t>
  </si>
  <si>
    <t>Registraduría Nacional del Estado Civil</t>
  </si>
  <si>
    <t>Gobierno Territorial</t>
  </si>
  <si>
    <t>41.2</t>
  </si>
  <si>
    <t>41.2.2</t>
  </si>
  <si>
    <t>Casa de la Mujer Empoderada implementada</t>
  </si>
  <si>
    <t>Tasa de violencia de Género</t>
  </si>
  <si>
    <t>Instituto Nacional de Medicina Legal y Ciencias Forense</t>
  </si>
  <si>
    <t>41.2.3</t>
  </si>
  <si>
    <t>Casa Refugio de la Mujer implementada</t>
  </si>
  <si>
    <t xml:space="preserve">DANE </t>
  </si>
  <si>
    <t>41.2.1</t>
  </si>
  <si>
    <t>Medidas implementadas en cumplimiento de las obligaciones internacionales en materia de Derechos Humanos y Derecho Internacional Humanitario</t>
  </si>
  <si>
    <t>41.1</t>
  </si>
  <si>
    <t>41.1.1</t>
  </si>
  <si>
    <t>41.3</t>
  </si>
  <si>
    <t>41.3.1</t>
  </si>
  <si>
    <t>Organismos de seguridad fortalecidos</t>
  </si>
  <si>
    <t>Registraduria Nacional del Estado Civil</t>
  </si>
  <si>
    <t>42.1</t>
  </si>
  <si>
    <t>Eventos de Rendición Pública de Cuentas que divulgan la gestión administrativa.</t>
  </si>
  <si>
    <t>42.1.1</t>
  </si>
  <si>
    <t xml:space="preserve">Eventos de Rendición Públicas de Cuentas realizados. </t>
  </si>
  <si>
    <t>42.2</t>
  </si>
  <si>
    <t>42.2.1</t>
  </si>
  <si>
    <t xml:space="preserve">Consejo Territorial de Planeación Departamental fortalecido.   </t>
  </si>
  <si>
    <t>42.3</t>
  </si>
  <si>
    <t>42.3.1</t>
  </si>
  <si>
    <t xml:space="preserve">Plan de Acción del Sistema Departamental de Servicio a la Ciudadanía SDSC implementado. </t>
  </si>
  <si>
    <t>42.4</t>
  </si>
  <si>
    <t>42.4.1</t>
  </si>
  <si>
    <t>Encuentros  ciudadanos realizados.</t>
  </si>
  <si>
    <t xml:space="preserve">Fortalecer las capacidades institucionales de la administración departamental, para generar condiciones de gobernanza territorial, participación, administración eficiente y transparente, planificación y seguimiento de la gestión institucional, y gobierno abierto. 
</t>
  </si>
  <si>
    <t>42.5</t>
  </si>
  <si>
    <t>42.5.1</t>
  </si>
  <si>
    <t>Municipos con organismos de acción comunal fortalecidos.</t>
  </si>
  <si>
    <t>42.6</t>
  </si>
  <si>
    <t>42.6.1</t>
  </si>
  <si>
    <t>Una Política Pública formulada.</t>
  </si>
  <si>
    <t xml:space="preserve">Fortalecer las capacidades institucionales de la administración departamental, para generar condiciones de gobernanza territorial, participación, administración eficiente y transparente, planificación y seguimiento de la gestión institucional, y gobierno abierto. </t>
  </si>
  <si>
    <t>Unidad Departamental en Gestión del Riesgo de Desastres</t>
  </si>
  <si>
    <t>43.1</t>
  </si>
  <si>
    <t>43.1.1</t>
  </si>
  <si>
    <t>43.2</t>
  </si>
  <si>
    <t>43.2.1</t>
  </si>
  <si>
    <t>Instancias territoriales asistidas</t>
  </si>
  <si>
    <t>43.3</t>
  </si>
  <si>
    <t>43.3.1</t>
  </si>
  <si>
    <t>Centro de reserva  para la atención a emergencias y desastres dotado</t>
  </si>
  <si>
    <t>Consejo privado de competitividad- Universidad del Rosario</t>
  </si>
  <si>
    <t>13.11</t>
  </si>
  <si>
    <t>13.11.1</t>
  </si>
  <si>
    <t>Infraestructura hospitalaria con procesos constructivos, mejorados, ampliados, mantenidos, y/o reforzados realizados</t>
  </si>
  <si>
    <t>Garantizar la sostenibilidad ambiental y protección de las condiciones biofísicas del territorio quindiano, así como las dinámicas de la planificación territorial, y la dotación de factores de infraestructura vial, de vivienda, de servicios públicos, y de equipamientos, entre otros.</t>
  </si>
  <si>
    <t>IDEAM
http://bart.ideam.gov.co/indiecosistemas/ind/ReportesSMBYC_CB.html</t>
  </si>
  <si>
    <t>Ambiental</t>
  </si>
  <si>
    <t>20.1</t>
  </si>
  <si>
    <t>3201008</t>
  </si>
  <si>
    <t>20.1.1</t>
  </si>
  <si>
    <t>320100805</t>
  </si>
  <si>
    <t>Campaña de monitoreo de calidad del aire realizadas</t>
  </si>
  <si>
    <t>20.2</t>
  </si>
  <si>
    <t>3201013</t>
  </si>
  <si>
    <t>20.2.1</t>
  </si>
  <si>
    <t>320101300</t>
  </si>
  <si>
    <t>21.1</t>
  </si>
  <si>
    <t>3202005</t>
  </si>
  <si>
    <t>Servicio de restauración de ecosistemas</t>
  </si>
  <si>
    <t>21.1.1</t>
  </si>
  <si>
    <t>320200500</t>
  </si>
  <si>
    <t>Áreas en proceso de restauración</t>
  </si>
  <si>
    <t>21.2</t>
  </si>
  <si>
    <t>Servicio apoyo financiero para la implementación de esquemas de pago por Servicio ambientales</t>
  </si>
  <si>
    <t>21.2.1</t>
  </si>
  <si>
    <t>320201700</t>
  </si>
  <si>
    <t xml:space="preserve">Esquemas de Pago por Servicio ambientales implementados </t>
  </si>
  <si>
    <t>21.4</t>
  </si>
  <si>
    <t>3202037</t>
  </si>
  <si>
    <t>21.4.1</t>
  </si>
  <si>
    <t>320203704</t>
  </si>
  <si>
    <t>Bosque ripario recuperado</t>
  </si>
  <si>
    <t>21.5</t>
  </si>
  <si>
    <t>Estrategia departamental para la protección y bienestar de los animales domésticos y silvestres del departamento</t>
  </si>
  <si>
    <t>21.5.1</t>
  </si>
  <si>
    <t>Estrategia  para la protección y bienestar de los animales domésticos y silvestres adoptada</t>
  </si>
  <si>
    <t>21.6</t>
  </si>
  <si>
    <t>Realizar  campaña  de sensibilización y apropiación del patrimonio ambiental en el departamento</t>
  </si>
  <si>
    <t>21.6.1</t>
  </si>
  <si>
    <t>Campaña  de sensibilización y apropiación del patrimonio ambiental realizada</t>
  </si>
  <si>
    <t>21.7</t>
  </si>
  <si>
    <t>Adquisición, mantenimiento y administración de áreas de importancia estratégica para la conservación y regulación del recurso hídrico</t>
  </si>
  <si>
    <t>21.7.1</t>
  </si>
  <si>
    <t xml:space="preserve">Numero de Hectáreas intervenidas </t>
  </si>
  <si>
    <t>IDEAM</t>
  </si>
  <si>
    <t>21.3</t>
  </si>
  <si>
    <t>21.3.1</t>
  </si>
  <si>
    <t>22.1</t>
  </si>
  <si>
    <t>3204012</t>
  </si>
  <si>
    <t>22.1.1</t>
  </si>
  <si>
    <t>320401200</t>
  </si>
  <si>
    <t xml:space="preserve">Emprendimientos apoyados </t>
  </si>
  <si>
    <t>22.2</t>
  </si>
  <si>
    <t>3204039</t>
  </si>
  <si>
    <t>Estaciones meteorológicas construidas</t>
  </si>
  <si>
    <t>22.2.1</t>
  </si>
  <si>
    <t>320403900</t>
  </si>
  <si>
    <t xml:space="preserve">Estaciones meteorológicas construidas </t>
  </si>
  <si>
    <t>23.2</t>
  </si>
  <si>
    <t>3205009</t>
  </si>
  <si>
    <t>Barreras rompe vientos recuperadas</t>
  </si>
  <si>
    <t>23.2.1</t>
  </si>
  <si>
    <t>320500900</t>
  </si>
  <si>
    <t>Barreras rompe vientos</t>
  </si>
  <si>
    <t>23.3</t>
  </si>
  <si>
    <t>23.3.1</t>
  </si>
  <si>
    <t>320501000</t>
  </si>
  <si>
    <t>Obras para estabilización de taludes realizadas</t>
  </si>
  <si>
    <t>23.4</t>
  </si>
  <si>
    <t>Obras para el control de erosión</t>
  </si>
  <si>
    <t>23.4.1</t>
  </si>
  <si>
    <t>320501400</t>
  </si>
  <si>
    <t xml:space="preserve">Área reforestada </t>
  </si>
  <si>
    <t>24.1</t>
  </si>
  <si>
    <t>3206005</t>
  </si>
  <si>
    <t>Servicio de divulgación de la información en gestión del cambio climático para un desarrollo bajo en carbono y resiliente al clima</t>
  </si>
  <si>
    <t>24.1.1</t>
  </si>
  <si>
    <t>320600500</t>
  </si>
  <si>
    <t xml:space="preserve">Campañas de información en gestión de cambio climático realizadas </t>
  </si>
  <si>
    <t>24.2</t>
  </si>
  <si>
    <t>3206014</t>
  </si>
  <si>
    <t>24.2.1</t>
  </si>
  <si>
    <t>320601400</t>
  </si>
  <si>
    <t>Plántulas producidas</t>
  </si>
  <si>
    <t>24.3</t>
  </si>
  <si>
    <t>3206015</t>
  </si>
  <si>
    <t>Estufas ecoeficientes</t>
  </si>
  <si>
    <t>24.3.1</t>
  </si>
  <si>
    <t>320601500</t>
  </si>
  <si>
    <t>Estufas ecoeficientes instaladas y en operación</t>
  </si>
  <si>
    <t xml:space="preserve">Fortalecer la productividad y competitividad en el Departamento, apoyando los sectores productivos consolidados y promisorios, y la dinamización del Sistema Regional de competitividad, sumado a las inversiones de Ciencia, Tecnología e Innovación, y la proyección regional, nacional e internacional del Departamento del Quindío.  
</t>
  </si>
  <si>
    <t>Fuente: Ilustración 2https://www.camaraarmenia.org.co/files/TIC2018.pdf</t>
  </si>
  <si>
    <t>31.1</t>
  </si>
  <si>
    <t>3903005</t>
  </si>
  <si>
    <t>31.1.1</t>
  </si>
  <si>
    <t>390300501</t>
  </si>
  <si>
    <t>Nuevas tecnologías adoptadas</t>
  </si>
  <si>
    <t xml:space="preserve">Fortalecer la productividad y competitividad en el Departamento, apoyando los sectores productivos consolidados y promisorios, y la dinamización del Sistema Regional de competitividad, sumado a las inversiones de Ciencia, Tecnología e Innovación, y la proyección regional, nacional e internacional del Departamento del Quindío. 
</t>
  </si>
  <si>
    <t>31.1.2</t>
  </si>
  <si>
    <t>390300507</t>
  </si>
  <si>
    <t>Start up generadas</t>
  </si>
  <si>
    <t xml:space="preserve">Fortalecer la productividad y competitividad en el Departamento, apoyando los sectores productivos consolidados y promisorios, y la dinamización del Sistema Regional de competitividad, sumado a las inversiones de Ciencia, Tecnología e Innovación, y la proyección regional, nacional e internacional del Departamento del Quindío.  </t>
  </si>
  <si>
    <t>31.1.3</t>
  </si>
  <si>
    <t>390300511</t>
  </si>
  <si>
    <t>Conocimiento tecnológico adquirido</t>
  </si>
  <si>
    <t>https://www.datos.gov.co/d/vruy-hj2m/visualization
https://colombiatic.mintic.gov.co/679/w3-propertyvalue-36673.html</t>
  </si>
  <si>
    <t>3904</t>
  </si>
  <si>
    <t>32.2</t>
  </si>
  <si>
    <t>Servicios de comunicación con enfoque en Ciencia Tecnología y Sociedad</t>
  </si>
  <si>
    <t>32.2.1</t>
  </si>
  <si>
    <t>Juguetes, juegos o videojuegos para la comunicación de la ciencia, tecnología e innovación producidos</t>
  </si>
  <si>
    <t>4001</t>
  </si>
  <si>
    <t>33.1</t>
  </si>
  <si>
    <t>4001001</t>
  </si>
  <si>
    <t>Servicio de asistencia técnica y jurídica en saneamiento y titulación de predios</t>
  </si>
  <si>
    <t>33.1.1</t>
  </si>
  <si>
    <t>400100100</t>
  </si>
  <si>
    <t>Entidades territoriales asistidas técnica y jurídicamente</t>
  </si>
  <si>
    <t>5.10%</t>
  </si>
  <si>
    <t>33.2</t>
  </si>
  <si>
    <t>4001014</t>
  </si>
  <si>
    <t>Viviendas de Interés Social urbanas construidas</t>
  </si>
  <si>
    <t>33.2.1</t>
  </si>
  <si>
    <t>400101400</t>
  </si>
  <si>
    <t>33.3</t>
  </si>
  <si>
    <t>4001015</t>
  </si>
  <si>
    <t>Viviendas de Interés Social urbanas mejoradas</t>
  </si>
  <si>
    <t>33.3.1</t>
  </si>
  <si>
    <t>400101500</t>
  </si>
  <si>
    <t>33.4</t>
  </si>
  <si>
    <t>4001017</t>
  </si>
  <si>
    <t>Viviendas de Interés Prioritario urbanas construidas</t>
  </si>
  <si>
    <t>33.4.1</t>
  </si>
  <si>
    <t>400101700</t>
  </si>
  <si>
    <t>33.5</t>
  </si>
  <si>
    <t>4001018</t>
  </si>
  <si>
    <t>Viviendas de Interés Prioritario urbanas mejoradas</t>
  </si>
  <si>
    <t>33.5.1</t>
  </si>
  <si>
    <t>400101800</t>
  </si>
  <si>
    <t>33.6</t>
  </si>
  <si>
    <t>4001030</t>
  </si>
  <si>
    <t>33.6.1</t>
  </si>
  <si>
    <t>400103000</t>
  </si>
  <si>
    <t>44.1</t>
  </si>
  <si>
    <t>44.1.1</t>
  </si>
  <si>
    <t>Estrategias o programas de  fomento para  acceso y  permanencia a la educación superior o terciaria implementados</t>
  </si>
  <si>
    <t>Departamento Nacional de Planeación DNP</t>
  </si>
  <si>
    <t>45.1</t>
  </si>
  <si>
    <t>45.1.1</t>
  </si>
  <si>
    <t>Número de Dimensiones y Políticas   de MIPG implementadas.</t>
  </si>
  <si>
    <t>45.3</t>
  </si>
  <si>
    <t>Banco de Programas y Proyectos del Departamento  con Procesos de fortalecimiento.</t>
  </si>
  <si>
    <t>45.3.1</t>
  </si>
  <si>
    <t>Banco de Programas y Proyectos del Departamento fortalecido</t>
  </si>
  <si>
    <t>45.4</t>
  </si>
  <si>
    <t>Observatorio económico del Departamento, con procesos de fortalecimiento</t>
  </si>
  <si>
    <t>45.4.1</t>
  </si>
  <si>
    <t>Observatorio económico del Departamento del Quindío actualizado y dotado.</t>
  </si>
  <si>
    <t>45.5</t>
  </si>
  <si>
    <t>45.5.1</t>
  </si>
  <si>
    <t xml:space="preserve">Instrumentos de planificación de ordenamiento y gestión territorial departamental implementados. </t>
  </si>
  <si>
    <t>45.6</t>
  </si>
  <si>
    <t>45.6.1</t>
  </si>
  <si>
    <t>Proceso de modernización administrativa implementada</t>
  </si>
  <si>
    <t>45.7</t>
  </si>
  <si>
    <t>Desarrollo e implementación de la Estrategia de Comunicaciones para la Administración Departamental</t>
  </si>
  <si>
    <t>45.7.1</t>
  </si>
  <si>
    <t>Estrategia de comunicaciones desarrollada e implementada</t>
  </si>
  <si>
    <t>45.8</t>
  </si>
  <si>
    <t>45.8.1</t>
  </si>
  <si>
    <t>45.9</t>
  </si>
  <si>
    <t>45.9.1</t>
  </si>
  <si>
    <t>Estrategias  de actualización, depuración, seguimiento y evaluación de las bases de datos  del Pasivo Pensional  de la Administración Departamental</t>
  </si>
  <si>
    <t>45.10</t>
  </si>
  <si>
    <t>Infraestructura institucional o de edificios públicos de atención de servicios ciudadanos con procesos constructivos, mejorados, ampliados, mantenidos y/o reforzados</t>
  </si>
  <si>
    <t>45.10.1</t>
  </si>
  <si>
    <t>Infraestructura Institucional o edificios públicos construida mejorada, ampliada, mantenida, y/o reforzada</t>
  </si>
  <si>
    <t>45.12</t>
  </si>
  <si>
    <t>Entes territoriales con servicio de asistencia  técnica del Modelo Integrado de Planeación y de Gestión MIPG</t>
  </si>
  <si>
    <t>45.12.1</t>
  </si>
  <si>
    <t>Entes Territoriales con procesos de asistencia técnica realizadas.</t>
  </si>
  <si>
    <t>45.13</t>
  </si>
  <si>
    <t>45.13.1</t>
  </si>
  <si>
    <t>45.14</t>
  </si>
  <si>
    <t>45.14.1</t>
  </si>
  <si>
    <t>45.15</t>
  </si>
  <si>
    <t>45.15.1</t>
  </si>
  <si>
    <t>45.16</t>
  </si>
  <si>
    <t>45.16.1</t>
  </si>
  <si>
    <t>45.17</t>
  </si>
  <si>
    <t>45.17.1</t>
  </si>
  <si>
    <t>Entes territoriales con procesos de asistencia técnica realizadas.</t>
  </si>
  <si>
    <t>Índice de Desempeño Fiscal Administración Departamental</t>
  </si>
  <si>
    <t>45.2</t>
  </si>
  <si>
    <t>45.2.1</t>
  </si>
  <si>
    <t>Estrategia  de fortalecimiento  del Índice de Desempeño  Fiscal implementadas.</t>
  </si>
  <si>
    <t>45.11</t>
  </si>
  <si>
    <t>45.11.1</t>
  </si>
  <si>
    <t>Programa para el cumplimiento de las políticas y prácticas contables implementado</t>
  </si>
  <si>
    <t>Mantener la infraestructura físicade los bienes de uso público de propiedad de los  municipios</t>
  </si>
  <si>
    <t>42.7</t>
  </si>
  <si>
    <t>42.7.1</t>
  </si>
  <si>
    <t>42.8</t>
  </si>
  <si>
    <t>4502001</t>
  </si>
  <si>
    <t>42.8.2</t>
  </si>
  <si>
    <t>Iniciativas para la promoción de la participación femenina en escenarios sociales y políticos implementada.</t>
  </si>
  <si>
    <t>Investigación con calidad e impacto</t>
  </si>
  <si>
    <t>30.1</t>
  </si>
  <si>
    <t>Infraestructura para la investigación adecuada</t>
  </si>
  <si>
    <t>30.1.1</t>
  </si>
  <si>
    <t>30.2</t>
  </si>
  <si>
    <t>Infraestructura para la investigación dotada</t>
  </si>
  <si>
    <t>30.2.1</t>
  </si>
  <si>
    <t>25.10</t>
  </si>
  <si>
    <t>Formulación e implementación del Plan de Cultura</t>
  </si>
  <si>
    <t>25.10.1</t>
  </si>
  <si>
    <t>Plan Decenal de cultura formulado e implementado</t>
  </si>
  <si>
    <t>34.6</t>
  </si>
  <si>
    <t xml:space="preserve">Adoptar e implementar la Política Publica de Producción Consumo Sostenible y Gestión Integral de Aseo  </t>
  </si>
  <si>
    <t>34.6.1</t>
  </si>
  <si>
    <t>Política Pública de Producción Consumo Sostenible y Gestión Integral de Aseo  adoptada e implementada.</t>
  </si>
  <si>
    <t>42.9</t>
  </si>
  <si>
    <t>42.9.1</t>
  </si>
  <si>
    <t>Política de Libertad Religiosa Implementado</t>
  </si>
  <si>
    <t>42.8.1</t>
  </si>
  <si>
    <t>Iniciativas para la promoción de la participación ciudadana implementada.</t>
  </si>
  <si>
    <t>Octubre 1 de 2016</t>
  </si>
  <si>
    <t>Meta Cuatrenio</t>
  </si>
  <si>
    <t>Formulación e implementación del Plan Departamental en Salud Ambiental de adaptación al cambio climático.</t>
  </si>
  <si>
    <t xml:space="preserve"> </t>
  </si>
  <si>
    <t>Infraestructura hospitalaria con procesos constructivos, mejorados, ampliados, mantenidos, y/o reforzados</t>
  </si>
  <si>
    <t>Formular e implementar la política publica para la comunidad negra, afrocolombiana, raizal y palenquera residente en el departamento del Quindío</t>
  </si>
  <si>
    <t xml:space="preserve">Índice de competitividad  en el sector de infraestructura vial </t>
  </si>
  <si>
    <t>Formular e implementar un programa de formación en normas de tránsito y fomento de cultura  de la seguridad en la vía.</t>
  </si>
  <si>
    <t>Diseñar e implementar un programa de señalización y demarcación en los municipios y vías de jurisdicción del IDTQ.</t>
  </si>
  <si>
    <t>Servicio de vigilancia de la calidad del aire</t>
  </si>
  <si>
    <t>9
12</t>
  </si>
  <si>
    <t xml:space="preserve">Proceso de modernización administrativa, incluido el estudio de la viabilidad de creación de la Oficina de la Felicidad. </t>
  </si>
  <si>
    <t>i</t>
  </si>
  <si>
    <t xml:space="preserve">Implementación del Modelo Operativo de Inspección, Vigilancia y Control IVC sanitario en los municipios de competencia departamental. </t>
  </si>
  <si>
    <t>Cobertura de municipios del departamento con procesos de implementación de proyectos productivos para las personas con discapacidad</t>
  </si>
  <si>
    <t>Cobertura de Instituciones Educativas con Planes Escolares de Gestión del Riesgo de Desastres-PEGERD</t>
  </si>
  <si>
    <t>Secretaria de Educación Deptal - Unidad Departamental en Gestión del Riesgo de Desastres</t>
  </si>
  <si>
    <t xml:space="preserve">Unidad Departamental en Gestión del Riesgo de Desastres.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</si>
  <si>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</si>
  <si>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</si>
  <si>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Cobertura de municipios que participan en programas de recreación, actividad física y deporte social y comunitario en el Departamento del Quindío.
Tasa de consumo de sustencias psicoactivas X100.000 habitantes en el Departamento del Quindío</t>
  </si>
  <si>
    <t>100%
6.8</t>
  </si>
  <si>
    <t>Indeportes Quindio
Obserbatorio de Dorgas de Colombia</t>
  </si>
  <si>
    <t>100%
6</t>
  </si>
  <si>
    <t>Tasa de lesionados por siniestros viales por cada 100 habitantes.
Tasa de fallecidos por siniestros viales por cada 100 habitantes.</t>
  </si>
  <si>
    <t>132.8 
17.5</t>
  </si>
  <si>
    <t>120
13.65</t>
  </si>
  <si>
    <t>PLAN DE DESARROLLO</t>
  </si>
  <si>
    <t>Nombre Estratégica</t>
  </si>
  <si>
    <t>Objetivo Priorizado</t>
  </si>
  <si>
    <t>Indicador de Bienestar</t>
  </si>
  <si>
    <t>Línea Base</t>
  </si>
  <si>
    <t>Año Base</t>
  </si>
  <si>
    <t>No. Programa
Interno</t>
  </si>
  <si>
    <t>Programa</t>
  </si>
  <si>
    <t xml:space="preserve">No. Producto Interno </t>
  </si>
  <si>
    <t>Código del Producto KPT</t>
  </si>
  <si>
    <t>Código del Programa KPT</t>
  </si>
  <si>
    <t xml:space="preserve">No. Indicador Producto Interno </t>
  </si>
  <si>
    <t>Código indicador Producto KPT</t>
  </si>
  <si>
    <t>Tipo de Meta
I/M/R</t>
  </si>
  <si>
    <t>Total Inversión Cuatrenio</t>
  </si>
  <si>
    <t xml:space="preserve">I </t>
  </si>
  <si>
    <t>Valor Total 2020</t>
  </si>
  <si>
    <t>Matriz Plurianual</t>
  </si>
  <si>
    <t>Servicio de asistencia técnica para la articulación de los operadores de los servicios de justicia</t>
  </si>
  <si>
    <t>Personas privadas de la libertad (PPL) que reciben servicio de resocialización</t>
  </si>
  <si>
    <t>Cobertura  de municipios del departamento del Quindio  atendidos con estudios y/o construciónde obras   para mitigación y atención a desastres realizadas.
Ecosistemas protegidos y/o en procesos de restauración en el Departamento</t>
  </si>
  <si>
    <t>Cobertura  de municipios del departamento del Quindio  atendidos con estudios y/o construción de obras   para mitigación y atención a desastres realizadas.</t>
  </si>
  <si>
    <t>DNP</t>
  </si>
  <si>
    <t>Documentos de lineamientos técnicos para mejorar la calidad ambiental de las áreas urbanas elaborados</t>
  </si>
  <si>
    <t>SGP Alimentación Escolar</t>
  </si>
  <si>
    <t>Índice Departamental de Competitividad Turìstica
Tasa de desempleo</t>
  </si>
  <si>
    <t xml:space="preserve">Cobertura de acueducto .
Cobertura  de alcantarillado </t>
  </si>
  <si>
    <t xml:space="preserve">Cobertura  de alcantarillado </t>
  </si>
  <si>
    <t xml:space="preserve">Cobertura en la  implementación del  modelo de entornos protectores y atención integral de   la primera infancia </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</si>
  <si>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</si>
  <si>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Cobertura  de  centros vida y centros de bienestar del adulto mayor (Legalmente constituidos)  apoyados con los recursos  de la  Estampilla Pro Adulto Mayor .</t>
  </si>
  <si>
    <t>Realizar la vigilancia epidemiológica de plaguicidas en el marco del programa VEO (vigilancia epidemiológica de organofosforados y carba matos) en los municipios de competencia departamental.</t>
  </si>
  <si>
    <t xml:space="preserve"> Plan de Fortalecimiento de Capacidades en Salud Ambiental Formulado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</si>
  <si>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</si>
  <si>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.Tasa de participación en procesos y actividades artísticas y culturales.
.Tasa de consumo de sustancias psicoactivas por 100.000 habitantes en el departamento del Quindío.</t>
  </si>
  <si>
    <t>.Cobertura en formación artística y cultural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</si>
  <si>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</si>
  <si>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</si>
  <si>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Infraestructura   vial  con procesos  de construcción, mejoramiento, ampliación, mantenimiento y/o  reforzamiento.</t>
  </si>
  <si>
    <t>Cobertura de ligas apoyadas en el departamento del Quindío.
Porcentaje de medallería del departamento del Quindío en los Juegos Nacionales.</t>
  </si>
  <si>
    <t>100%
1.19</t>
  </si>
  <si>
    <t>100%
2</t>
  </si>
  <si>
    <t>Política pública formulada e implementada</t>
  </si>
  <si>
    <t>Código KPT CCP</t>
  </si>
  <si>
    <t>Código indicador Producto KPT CCP</t>
  </si>
  <si>
    <t>Fortalecimiento a la gestión y dirección de la  administración pública Territorial. "Quindío con una administración al servicio de la ciudadanía"</t>
  </si>
  <si>
    <t>Fortalecimiento del buen gobierno para el respeto y garantía de los derechos humanos. "Quindío integrado y participativo"</t>
  </si>
  <si>
    <t>1202019</t>
  </si>
  <si>
    <t>120201900</t>
  </si>
  <si>
    <t>Infraestructura de las Instituciones de Seguridad del Estado con procesos constructivos, mejorados, ampliados, mantenidos, y/o reforzados</t>
  </si>
  <si>
    <t>Aseguramiento y Prestación integral de servicios de salud. "Tú y yo con servicios de salud"</t>
  </si>
  <si>
    <t>Salud y Protección Social</t>
  </si>
  <si>
    <t>Aseguramiento y prestación integral de servicios de salud. "Tú y yo con servicios de salud"</t>
  </si>
  <si>
    <t>Fomento a la recreación, la actividad física y el deporte para desarrollar entornos de convivencia y paz. "Tú y yo en la recreación y el deporte"</t>
  </si>
  <si>
    <t xml:space="preserve">Infraestructura  deportiva y/o recreativa con procesos   constructivos , mejorados, ampliados, mantenidos, y/o  reforzados </t>
  </si>
  <si>
    <t xml:space="preserve">Infraestructura deportiva y/o recreativa construída mejorada, ampliada, mantenida, y/o  reforzada </t>
  </si>
  <si>
    <t>Servicio de fortalecimiento a las capacidades de los docentes y agentes educativos en educación inicial o preescolar de acuerdo a los referentes nacionales</t>
  </si>
  <si>
    <t>Servicio de apoyo a proyectos pedagógicos productivos</t>
  </si>
  <si>
    <t xml:space="preserve">
Tasa de cobertura bruta en educación básica
Tasa de cobertura en educación media
</t>
  </si>
  <si>
    <t xml:space="preserve">84,55% 
78,22% </t>
  </si>
  <si>
    <t xml:space="preserve">Política de Transparencia, Acceso a la Información Pública y Lucha Contra la Corrupción  articulada   con el "Pacto por la Integridad , Transparencia y Legalidad" del Gobierno Nacional desarrollada.                                                                                   </t>
  </si>
  <si>
    <t>Facilitar el acceso y uso de las Tecnologías de la Información y las Comunicaciones (TIC) en todo el territorio nacional. "Tú y yo somos ciudadanos TIC"</t>
  </si>
  <si>
    <t>Desarrollo integral de niñas, niños, adolescentes y sus familias. "Tú y yo niños, niñas y adolescentes con desarrollo integral"</t>
  </si>
  <si>
    <t>Atención integral de población en situación permanente de desprotección social y/o familiar. "Tú y yo con atención integral"</t>
  </si>
  <si>
    <t>Gestión del riesgo de desastres y emergencias. "Tú y yo preparados en gestión del riesgo"</t>
  </si>
  <si>
    <t>Inclusión Social</t>
  </si>
  <si>
    <t>Servicio de atención a emergencias y desastres
/Servicio de fortalecimiento a las salas de crisis territorial</t>
  </si>
  <si>
    <t>3202043</t>
  </si>
  <si>
    <t>Docentes y agentes educativos beneficiarios de servicio de fortalecimiento a sus capacidades de acuerdo a los referentes nacionales</t>
  </si>
  <si>
    <t>Calidad y fomento de la educación superior. "Tú y yo preparados para la educación superior"</t>
  </si>
  <si>
    <t>450202400</t>
  </si>
  <si>
    <t>Documento de Política Pública de Primera Infancia, Infancia y Adolescencia, revisado y ajustado</t>
  </si>
  <si>
    <t>Revisar y ajustar   la Política Pública de Primera Infancia, Infancia y Adolescencia</t>
  </si>
  <si>
    <t>Implementar  la Política Pública de Primera Infancia, Infancia y Adolescencia</t>
  </si>
  <si>
    <t xml:space="preserve">Mecanismos de articulación implementados para la gestión de oferta social </t>
  </si>
  <si>
    <t>Implementar  la Política Pública de Diversidad Sexual e Identidad de Género</t>
  </si>
  <si>
    <t>Política pública de diversidad sexual e Identidad de Género implementada.</t>
  </si>
  <si>
    <t xml:space="preserve">Implementar la política pública de equidad de género para la mujer </t>
  </si>
  <si>
    <t>Política pública de la mujer y equidad de género implementada</t>
  </si>
  <si>
    <t>Documento de Política pública de la mujer y equidad de género revisada y ajustada</t>
  </si>
  <si>
    <t>Revisar, ajustar la Política Pública de  Discapacidad</t>
  </si>
  <si>
    <t>Documento de Política Pública de  Discapacidad revisado y ajustado</t>
  </si>
  <si>
    <t>1905030</t>
  </si>
  <si>
    <t>190503000</t>
  </si>
  <si>
    <t>Servicio de apoyo para la transferencia de conocimiento y tecnologías</t>
  </si>
  <si>
    <t>4301006</t>
  </si>
  <si>
    <t>430100600</t>
  </si>
  <si>
    <t>4302004</t>
  </si>
  <si>
    <t>430200401</t>
  </si>
  <si>
    <t>9/
10</t>
  </si>
  <si>
    <t>Transporte/
Ambiente</t>
  </si>
  <si>
    <t xml:space="preserve">Transporte/
Prevención y atención de desastres </t>
  </si>
  <si>
    <t>230203900</t>
  </si>
  <si>
    <t xml:space="preserve">Diseñar e implementar un modelo de atención integral en entornos protectores para la primera infancia </t>
  </si>
  <si>
    <t>16.8</t>
  </si>
  <si>
    <t>Servicio de apoyo en tecnologías de la información y las comunicaciones para la educación básica, primaria y secundaria</t>
  </si>
  <si>
    <t>16.8.1</t>
  </si>
  <si>
    <t>Relación de estudiantes por terminal de cómputo en sedes educativas oficiales</t>
  </si>
  <si>
    <t>R</t>
  </si>
  <si>
    <t>Inclusión social y reconciliación</t>
  </si>
  <si>
    <t>Vivienda, ciudad y territorio</t>
  </si>
  <si>
    <t>Instancias territoriales de coordinación institucional asistidas y apoyadas</t>
  </si>
  <si>
    <t>Recursos Propios
Ingresos Corrientes de Libre Destinación - ICLD</t>
  </si>
  <si>
    <t xml:space="preserve">6,02
13,5
</t>
  </si>
  <si>
    <t>6,02
13,5</t>
  </si>
  <si>
    <t>99,57
99.68</t>
  </si>
  <si>
    <t>Índice Departamental de Competitividad
Tasa de desempleo</t>
  </si>
  <si>
    <t>Crecimiento económico del sector agropecuario (PIB)
Tasa de dessempleo</t>
  </si>
  <si>
    <t>72,91%
6,02
13,5</t>
  </si>
  <si>
    <t>80,3%
6,02
13,5</t>
  </si>
  <si>
    <t xml:space="preserve">6,12
13,5
</t>
  </si>
  <si>
    <t>Mortalidad por enfermedad diarreica aguda (EDA) menores 5 años (porcentaje de muertes anual)
Prevalencia de niños menores de 5 años con desnutrición aguda
Indice de riesgo de la calidad de agua para consumo humano IRCA</t>
  </si>
  <si>
    <t>Vía secundaria construida</t>
  </si>
  <si>
    <t>Vía secundaria mejorada</t>
  </si>
  <si>
    <t>Mejoramiento de vías con soluciones tradicionales</t>
  </si>
  <si>
    <t>Indicador del Producto</t>
  </si>
  <si>
    <t>PLAN INDICATIVO
PLAN  DE DESARROLLO 2020-2023 "TÚ Y YO SOMOS QUINDÍO"
IV TRIMESTRE 2020</t>
  </si>
  <si>
    <t>F-PLA-04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</si>
</sst>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0.00;[Red]\-&quot;$&quot;#,##0.00"/>
    <numFmt numFmtId="167" formatCode="_-&quot;$&quot;* #,##0_-;\-&quot;$&quot;* #,##0_-;_-&quot;$&quot;* &quot;-&quot;_-;_-@_-"/>
    <numFmt numFmtId="168" formatCode="_-&quot;$&quot;* #,##0.00_-;\-&quot;$&quot;* #,##0.00_-;_-&quot;$&quot;* &quot;-&quot;??_-;_-@_-"/>
    <numFmt numFmtId="169" formatCode="_([$$-240A]\ * #,##0.00_);_([$$-240A]\ * \(#,##0.00\);_([$$-240A]\ * &quot;-&quot;??_);_(@_)"/>
    <numFmt numFmtId="170" formatCode="00"/>
    <numFmt numFmtId="171" formatCode="_-* #,##0.00_-;\-* #,##0.00_-;_-* &quot;-&quot;_-;_-@_-"/>
    <numFmt numFmtId="172" formatCode="0.0%"/>
    <numFmt numFmtId="173" formatCode="0.0"/>
    <numFmt numFmtId="174" formatCode="_(&quot;$&quot;\ * #,##0.000000_);_(&quot;$&quot;\ * \(#,##0.000000\);_(&quot;$&quot;\ * &quot;-&quot;??_);_(@_)"/>
    <numFmt numFmtId="175" formatCode="_(&quot;$&quot;\ * #,##0.0000000000_);_(&quot;$&quot;\ * \(#,##0.0000000000\);_(&quot;$&quot;\ * &quot;-&quot;??_);_(@_)"/>
    <numFmt numFmtId="176" formatCode="_-&quot;$&quot;* #,##0.00_-;\-&quot;$&quot;* #,##0.00_-;_-&quot;$&quot;* &quot;-&quot;_-;_-@_-"/>
    <numFmt numFmtId="177" formatCode="_-* #,##0.00\ _€_-;\-* #,##0.00\ _€_-;_-* &quot;-&quot;??\ _€_-;_-@_-"/>
    <numFmt numFmtId="178" formatCode="_ [$€-2]\ * #,##0.00_ ;_ [$€-2]\ * \-#,##0.00_ ;_ [$€-2]\ * &quot;-&quot;??_ "/>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2"/>
      <name val="Arial"/>
      <family val="2"/>
    </font>
    <font>
      <sz val="11"/>
      <color indexed="8"/>
      <name val="Calibri"/>
      <family val="2"/>
    </font>
    <font>
      <b/>
      <sz val="12"/>
      <color theme="0"/>
      <name val="Arial"/>
      <family val="2"/>
    </font>
    <font>
      <b/>
      <sz val="11"/>
      <color rgb="FF6F6F6E"/>
      <name val="Calibri"/>
      <family val="2"/>
      <scheme val="minor"/>
    </font>
    <font>
      <sz val="10"/>
      <name val="Arial"/>
      <family val="2"/>
    </font>
    <font>
      <b/>
      <sz val="9"/>
      <color indexed="81"/>
      <name val="Tahoma"/>
      <family val="2"/>
    </font>
    <font>
      <sz val="9"/>
      <color indexed="81"/>
      <name val="Tahoma"/>
      <family val="2"/>
    </font>
    <font>
      <u/>
      <sz val="11"/>
      <color theme="10"/>
      <name val="Calibri"/>
      <family val="2"/>
      <scheme val="minor"/>
    </font>
    <font>
      <sz val="11"/>
      <color rgb="FF000000"/>
      <name val="Calibri"/>
      <family val="2"/>
    </font>
    <font>
      <b/>
      <sz val="11"/>
      <color theme="1"/>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2"/>
      <name val="Arial"/>
      <family val="2"/>
    </font>
    <font>
      <sz val="12"/>
      <color theme="1"/>
      <name val="Arial"/>
      <family val="2"/>
    </font>
    <font>
      <sz val="10"/>
      <color theme="1"/>
      <name val="Arial"/>
      <family val="2"/>
    </font>
    <font>
      <sz val="12"/>
      <color theme="0"/>
      <name val="Arial"/>
      <family val="2"/>
    </font>
  </fonts>
  <fills count="43">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ECECEC"/>
        <bgColor indexed="64"/>
      </patternFill>
    </fill>
    <fill>
      <patternFill patternType="solid">
        <fgColor rgb="FF522B57"/>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9" tint="0.39997558519241921"/>
        <bgColor indexed="64"/>
      </patternFill>
    </fill>
    <fill>
      <patternFill patternType="solid">
        <fgColor theme="8" tint="-0.499984740745262"/>
        <bgColor indexed="64"/>
      </patternFill>
    </fill>
  </fills>
  <borders count="30">
    <border>
      <left/>
      <right/>
      <top/>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rgb="FF522B57"/>
      </left>
      <right style="thin">
        <color rgb="FF522B57"/>
      </right>
      <top style="thin">
        <color rgb="FF522B57"/>
      </top>
      <bottom style="thin">
        <color rgb="FF522B57"/>
      </bottom>
      <diagonal/>
    </border>
    <border>
      <left style="medium">
        <color rgb="FFECECEC"/>
      </left>
      <right style="medium">
        <color rgb="FFECECEC"/>
      </right>
      <top style="medium">
        <color rgb="FFECECEC"/>
      </top>
      <bottom style="medium">
        <color rgb="FFECECEC"/>
      </bottom>
      <diagonal/>
    </border>
    <border>
      <left/>
      <right/>
      <top style="thin">
        <color theme="4" tint="0.39997558519241921"/>
      </top>
      <bottom/>
      <diagonal/>
    </border>
    <border>
      <left style="thin">
        <color theme="0" tint="-4.9989318521683403E-2"/>
      </left>
      <right style="thin">
        <color theme="0" tint="-4.9989318521683403E-2"/>
      </right>
      <top/>
      <bottom style="thin">
        <color theme="0" tint="-4.9989318521683403E-2"/>
      </bottom>
      <diagonal/>
    </border>
    <border>
      <left style="thin">
        <color theme="1"/>
      </left>
      <right style="thin">
        <color theme="1"/>
      </right>
      <top style="thin">
        <color theme="1"/>
      </top>
      <bottom/>
      <diagonal/>
    </border>
    <border>
      <left style="thin">
        <color theme="0" tint="-4.9989318521683403E-2"/>
      </left>
      <right style="thin">
        <color theme="0" tint="-4.9989318521683403E-2"/>
      </right>
      <top/>
      <bottom/>
      <diagonal/>
    </border>
    <border>
      <left style="thin">
        <color indexed="64"/>
      </left>
      <right style="thin">
        <color indexed="64"/>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7">
    <xf numFmtId="169" fontId="0" fillId="0" borderId="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9" fontId="6" fillId="6" borderId="15">
      <alignment horizontal="center" vertical="center" wrapText="1"/>
    </xf>
    <xf numFmtId="169" fontId="7"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2" fillId="7" borderId="16">
      <alignment horizontal="center" vertical="center" wrapText="1"/>
    </xf>
    <xf numFmtId="164" fontId="1" fillId="0" borderId="0" applyFont="0" applyFill="0" applyBorder="0" applyAlignment="0" applyProtection="0"/>
    <xf numFmtId="0" fontId="6" fillId="6" borderId="15">
      <alignment horizontal="center" vertical="center" wrapText="1"/>
    </xf>
    <xf numFmtId="0" fontId="7" fillId="0" borderId="0"/>
    <xf numFmtId="0" fontId="10" fillId="0" borderId="0" applyNumberFormat="0" applyFill="0" applyBorder="0" applyAlignment="0" applyProtection="0"/>
    <xf numFmtId="0" fontId="11" fillId="0" borderId="0"/>
    <xf numFmtId="169" fontId="1" fillId="0" borderId="0"/>
    <xf numFmtId="0" fontId="14" fillId="0" borderId="0" applyNumberFormat="0" applyFill="0" applyBorder="0" applyAlignment="0" applyProtection="0"/>
    <xf numFmtId="0" fontId="15" fillId="0" borderId="22" applyNumberFormat="0" applyFill="0" applyAlignment="0" applyProtection="0"/>
    <xf numFmtId="0" fontId="16" fillId="0" borderId="23" applyNumberFormat="0" applyFill="0" applyAlignment="0" applyProtection="0"/>
    <xf numFmtId="0" fontId="17" fillId="0" borderId="24"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5" applyNumberFormat="0" applyAlignment="0" applyProtection="0"/>
    <xf numFmtId="0" fontId="21" fillId="14" borderId="26" applyNumberFormat="0" applyAlignment="0" applyProtection="0"/>
    <xf numFmtId="0" fontId="22" fillId="14" borderId="25" applyNumberFormat="0" applyAlignment="0" applyProtection="0"/>
    <xf numFmtId="0" fontId="23" fillId="0" borderId="27" applyNumberFormat="0" applyFill="0" applyAlignment="0" applyProtection="0"/>
    <xf numFmtId="0" fontId="24" fillId="0" borderId="0" applyNumberFormat="0" applyFill="0" applyBorder="0" applyAlignment="0" applyProtection="0"/>
    <xf numFmtId="0" fontId="1" fillId="15" borderId="28" applyNumberFormat="0" applyFont="0" applyAlignment="0" applyProtection="0"/>
    <xf numFmtId="0" fontId="25" fillId="0" borderId="0" applyNumberFormat="0" applyFill="0" applyBorder="0" applyAlignment="0" applyProtection="0"/>
    <xf numFmtId="0" fontId="12" fillId="0" borderId="29" applyNumberFormat="0" applyFill="0" applyAlignment="0" applyProtection="0"/>
    <xf numFmtId="0" fontId="1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4"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0" borderId="0"/>
    <xf numFmtId="168" fontId="1" fillId="0" borderId="0" applyFont="0" applyFill="0" applyBorder="0" applyAlignment="0" applyProtection="0"/>
    <xf numFmtId="0" fontId="7" fillId="0" borderId="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177" fontId="1" fillId="0" borderId="0" applyFont="0" applyFill="0" applyBorder="0" applyAlignment="0" applyProtection="0"/>
    <xf numFmtId="167" fontId="7" fillId="0" borderId="0" applyFont="0" applyFill="0" applyBorder="0" applyAlignment="0" applyProtection="0"/>
    <xf numFmtId="178"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9" fontId="7"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0" fontId="1" fillId="0" borderId="0"/>
    <xf numFmtId="43" fontId="4" fillId="0" borderId="0" applyFont="0" applyFill="0" applyBorder="0" applyAlignment="0" applyProtection="0"/>
    <xf numFmtId="0" fontId="28" fillId="0" borderId="0"/>
    <xf numFmtId="42" fontId="1" fillId="0" borderId="0" applyFont="0" applyFill="0" applyBorder="0" applyAlignment="0" applyProtection="0"/>
    <xf numFmtId="0" fontId="1" fillId="0" borderId="0"/>
  </cellStyleXfs>
  <cellXfs count="232">
    <xf numFmtId="169" fontId="0" fillId="0" borderId="0" xfId="0"/>
    <xf numFmtId="165" fontId="3" fillId="0" borderId="3" xfId="6" applyFont="1" applyFill="1" applyBorder="1" applyAlignment="1">
      <alignment horizontal="justify" vertical="center"/>
    </xf>
    <xf numFmtId="0" fontId="3" fillId="0" borderId="3" xfId="0" applyNumberFormat="1" applyFont="1" applyFill="1" applyBorder="1" applyAlignment="1">
      <alignment horizontal="justify" vertical="center" wrapText="1"/>
    </xf>
    <xf numFmtId="165" fontId="3" fillId="0" borderId="6" xfId="7" applyFont="1" applyFill="1" applyBorder="1" applyAlignment="1">
      <alignment vertical="center"/>
    </xf>
    <xf numFmtId="165" fontId="26" fillId="0" borderId="0" xfId="19" applyNumberFormat="1" applyFont="1" applyFill="1" applyBorder="1" applyAlignment="1">
      <alignment horizontal="left" vertical="center"/>
    </xf>
    <xf numFmtId="165" fontId="3" fillId="0" borderId="6" xfId="6" applyFont="1" applyFill="1" applyBorder="1" applyAlignment="1">
      <alignment horizontal="justify" vertical="center"/>
    </xf>
    <xf numFmtId="0" fontId="3" fillId="0" borderId="3" xfId="12" applyFont="1" applyFill="1" applyBorder="1" applyAlignment="1">
      <alignment horizontal="center" vertical="center" wrapText="1"/>
    </xf>
    <xf numFmtId="1" fontId="3" fillId="0" borderId="3" xfId="12" applyNumberFormat="1" applyFont="1" applyFill="1" applyBorder="1" applyAlignment="1">
      <alignment horizontal="center" vertical="center" wrapText="1"/>
    </xf>
    <xf numFmtId="0" fontId="3" fillId="0" borderId="9" xfId="12" applyFont="1" applyFill="1" applyBorder="1" applyAlignment="1">
      <alignment horizontal="center" vertical="center" wrapText="1"/>
    </xf>
    <xf numFmtId="0" fontId="3" fillId="0" borderId="14" xfId="12" applyFont="1" applyFill="1" applyBorder="1" applyAlignment="1">
      <alignment horizontal="center" vertical="center" wrapText="1"/>
    </xf>
    <xf numFmtId="169" fontId="3" fillId="0" borderId="3" xfId="0" applyFont="1" applyBorder="1" applyAlignment="1">
      <alignment horizontal="justify" vertical="center" wrapText="1"/>
    </xf>
    <xf numFmtId="165" fontId="3" fillId="0" borderId="0" xfId="19" applyNumberFormat="1" applyFont="1" applyFill="1" applyBorder="1" applyAlignment="1">
      <alignment horizontal="left" vertical="center"/>
    </xf>
    <xf numFmtId="165" fontId="26" fillId="0" borderId="0" xfId="0" applyNumberFormat="1" applyFont="1" applyFill="1" applyBorder="1" applyAlignment="1">
      <alignment horizontal="left" vertical="center"/>
    </xf>
    <xf numFmtId="49" fontId="3" fillId="0" borderId="3" xfId="0" applyNumberFormat="1" applyFont="1" applyFill="1" applyBorder="1" applyAlignment="1">
      <alignment horizontal="center" vertical="center"/>
    </xf>
    <xf numFmtId="0" fontId="3" fillId="0" borderId="3" xfId="15" applyNumberFormat="1" applyFont="1" applyFill="1" applyBorder="1" applyAlignment="1">
      <alignment horizontal="center" vertical="center" wrapText="1"/>
    </xf>
    <xf numFmtId="0" fontId="3" fillId="0" borderId="3" xfId="12" applyNumberFormat="1" applyFont="1" applyFill="1" applyBorder="1" applyAlignment="1">
      <alignment horizontal="center" vertical="center" wrapText="1"/>
    </xf>
    <xf numFmtId="0" fontId="3" fillId="0" borderId="3" xfId="12" applyFont="1" applyFill="1" applyBorder="1" applyAlignment="1">
      <alignment horizontal="left" vertical="center" wrapText="1"/>
    </xf>
    <xf numFmtId="0" fontId="3" fillId="0" borderId="3" xfId="12" applyFont="1" applyFill="1" applyBorder="1" applyAlignment="1">
      <alignment horizontal="justify" vertical="center" wrapText="1"/>
    </xf>
    <xf numFmtId="1" fontId="3" fillId="0" borderId="3" xfId="12" applyNumberFormat="1" applyFont="1" applyFill="1" applyBorder="1" applyAlignment="1">
      <alignment horizontal="justify" vertical="center" wrapText="1"/>
    </xf>
    <xf numFmtId="0" fontId="26" fillId="0" borderId="0" xfId="12" applyFont="1" applyAlignment="1">
      <alignment vertical="center"/>
    </xf>
    <xf numFmtId="0" fontId="5" fillId="3" borderId="17" xfId="12" applyFont="1" applyFill="1" applyBorder="1" applyAlignment="1">
      <alignment horizontal="center" vertical="center"/>
    </xf>
    <xf numFmtId="0" fontId="26" fillId="0" borderId="11" xfId="12" applyFont="1" applyFill="1" applyBorder="1" applyAlignment="1">
      <alignment horizontal="justify" vertical="center"/>
    </xf>
    <xf numFmtId="0" fontId="26" fillId="0" borderId="17" xfId="12" applyFont="1" applyFill="1" applyBorder="1" applyAlignment="1">
      <alignment horizontal="justify" vertical="center"/>
    </xf>
    <xf numFmtId="0" fontId="5" fillId="0" borderId="3" xfId="12" applyFont="1" applyFill="1" applyBorder="1" applyAlignment="1">
      <alignment horizontal="center" vertical="center" wrapText="1"/>
    </xf>
    <xf numFmtId="0" fontId="5" fillId="9" borderId="3" xfId="12" applyFont="1" applyFill="1" applyBorder="1" applyAlignment="1">
      <alignment horizontal="center" vertical="center" wrapText="1"/>
    </xf>
    <xf numFmtId="0" fontId="5" fillId="9" borderId="8" xfId="12" applyNumberFormat="1" applyFont="1" applyFill="1" applyBorder="1" applyAlignment="1">
      <alignment horizontal="left" vertical="center"/>
    </xf>
    <xf numFmtId="0" fontId="5" fillId="9" borderId="6" xfId="12" applyFont="1" applyFill="1" applyBorder="1" applyAlignment="1">
      <alignment horizontal="center" vertical="center" wrapText="1"/>
    </xf>
    <xf numFmtId="0" fontId="5" fillId="9" borderId="8" xfId="12" applyFont="1" applyFill="1" applyBorder="1" applyAlignment="1">
      <alignment horizontal="center" vertical="center" wrapText="1"/>
    </xf>
    <xf numFmtId="0" fontId="5" fillId="9" borderId="8" xfId="12" applyFont="1" applyFill="1" applyBorder="1" applyAlignment="1">
      <alignment horizontal="left" vertical="center" wrapText="1"/>
    </xf>
    <xf numFmtId="0" fontId="5" fillId="9" borderId="2" xfId="12" applyFont="1" applyFill="1" applyBorder="1" applyAlignment="1">
      <alignment horizontal="center" vertical="center" wrapText="1"/>
    </xf>
    <xf numFmtId="0" fontId="5" fillId="9" borderId="8" xfId="13" applyNumberFormat="1" applyFont="1" applyFill="1" applyBorder="1" applyAlignment="1">
      <alignment horizontal="center" vertical="center" wrapText="1"/>
    </xf>
    <xf numFmtId="0" fontId="5" fillId="9" borderId="7" xfId="12" applyFont="1" applyFill="1" applyBorder="1" applyAlignment="1">
      <alignment horizontal="center" vertical="center" wrapText="1"/>
    </xf>
    <xf numFmtId="164" fontId="5" fillId="9" borderId="3" xfId="13" applyNumberFormat="1" applyFont="1" applyFill="1" applyBorder="1" applyAlignment="1">
      <alignment horizontal="center" vertical="center" wrapText="1"/>
    </xf>
    <xf numFmtId="0" fontId="5" fillId="3" borderId="17" xfId="12" applyFont="1" applyFill="1" applyBorder="1" applyAlignment="1">
      <alignment horizontal="center"/>
    </xf>
    <xf numFmtId="0" fontId="26" fillId="0" borderId="3" xfId="12" applyFont="1" applyFill="1" applyBorder="1" applyAlignment="1">
      <alignment horizontal="center" vertical="center" wrapText="1"/>
    </xf>
    <xf numFmtId="0" fontId="26" fillId="0" borderId="9" xfId="12" applyFont="1" applyFill="1" applyBorder="1" applyAlignment="1">
      <alignment horizontal="center" vertical="center" wrapText="1"/>
    </xf>
    <xf numFmtId="0" fontId="26" fillId="0" borderId="2" xfId="12" applyNumberFormat="1" applyFont="1" applyFill="1" applyBorder="1" applyAlignment="1">
      <alignment horizontal="left" vertical="center"/>
    </xf>
    <xf numFmtId="0" fontId="26" fillId="0" borderId="3" xfId="12" applyFont="1" applyFill="1" applyBorder="1" applyAlignment="1">
      <alignment horizontal="left" vertical="center" wrapText="1"/>
    </xf>
    <xf numFmtId="0" fontId="26" fillId="0" borderId="6" xfId="12" applyFont="1" applyFill="1" applyBorder="1" applyAlignment="1">
      <alignment horizontal="center" vertical="center" wrapText="1"/>
    </xf>
    <xf numFmtId="0" fontId="26" fillId="5" borderId="19" xfId="12" applyFont="1" applyFill="1" applyBorder="1" applyAlignment="1">
      <alignment horizontal="center" vertical="center" wrapText="1"/>
    </xf>
    <xf numFmtId="0" fontId="26" fillId="5" borderId="19" xfId="12" applyNumberFormat="1" applyFont="1" applyFill="1" applyBorder="1" applyAlignment="1">
      <alignment horizontal="left" vertical="center"/>
    </xf>
    <xf numFmtId="0" fontId="26" fillId="5" borderId="7" xfId="12" applyFont="1" applyFill="1" applyBorder="1" applyAlignment="1">
      <alignment horizontal="center" vertical="center" wrapText="1"/>
    </xf>
    <xf numFmtId="0" fontId="26" fillId="5" borderId="6" xfId="13" applyNumberFormat="1" applyFont="1" applyFill="1" applyBorder="1" applyAlignment="1">
      <alignment horizontal="center" vertical="center" wrapText="1"/>
    </xf>
    <xf numFmtId="0" fontId="26" fillId="5" borderId="8" xfId="13" applyNumberFormat="1" applyFont="1" applyFill="1" applyBorder="1" applyAlignment="1">
      <alignment horizontal="center" vertical="center" wrapText="1"/>
    </xf>
    <xf numFmtId="0" fontId="26" fillId="5" borderId="8" xfId="12" applyFont="1" applyFill="1" applyBorder="1" applyAlignment="1">
      <alignment horizontal="center" vertical="center" wrapText="1"/>
    </xf>
    <xf numFmtId="164" fontId="26" fillId="5" borderId="3" xfId="13" applyNumberFormat="1" applyFont="1" applyFill="1" applyBorder="1" applyAlignment="1">
      <alignment horizontal="center" vertical="center" wrapText="1"/>
    </xf>
    <xf numFmtId="164" fontId="26" fillId="5" borderId="6" xfId="13" applyNumberFormat="1" applyFont="1" applyFill="1" applyBorder="1" applyAlignment="1">
      <alignment horizontal="center" vertical="center" wrapText="1"/>
    </xf>
    <xf numFmtId="0" fontId="26" fillId="3" borderId="17" xfId="12" applyFont="1" applyFill="1" applyBorder="1" applyAlignment="1">
      <alignment horizontal="center"/>
    </xf>
    <xf numFmtId="0" fontId="3" fillId="0" borderId="7" xfId="12" applyFont="1" applyFill="1" applyBorder="1" applyAlignment="1">
      <alignment horizontal="justify" vertical="center" wrapText="1"/>
    </xf>
    <xf numFmtId="0" fontId="3" fillId="0" borderId="7" xfId="12" applyFont="1" applyFill="1" applyBorder="1" applyAlignment="1">
      <alignment horizontal="center" vertical="center" wrapText="1"/>
    </xf>
    <xf numFmtId="164" fontId="3" fillId="0" borderId="3" xfId="14" applyNumberFormat="1" applyFont="1" applyFill="1" applyBorder="1" applyAlignment="1">
      <alignment vertical="center" wrapText="1"/>
    </xf>
    <xf numFmtId="164" fontId="3" fillId="0" borderId="3" xfId="14" applyNumberFormat="1" applyFont="1" applyFill="1" applyBorder="1" applyAlignment="1">
      <alignment horizontal="center" vertical="center" wrapText="1"/>
    </xf>
    <xf numFmtId="164" fontId="3" fillId="0" borderId="3" xfId="14" applyNumberFormat="1" applyFont="1" applyFill="1" applyBorder="1" applyAlignment="1">
      <alignment horizontal="center" vertical="center"/>
    </xf>
    <xf numFmtId="164" fontId="3" fillId="0" borderId="6" xfId="14" applyNumberFormat="1" applyFont="1" applyFill="1" applyBorder="1" applyAlignment="1">
      <alignment horizontal="center" vertical="center"/>
    </xf>
    <xf numFmtId="164" fontId="26" fillId="0" borderId="3" xfId="12" applyNumberFormat="1" applyFont="1" applyFill="1" applyBorder="1" applyAlignment="1">
      <alignment horizontal="center" vertical="center"/>
    </xf>
    <xf numFmtId="0" fontId="3" fillId="0" borderId="17" xfId="12" applyFont="1" applyFill="1" applyBorder="1"/>
    <xf numFmtId="0" fontId="3" fillId="0" borderId="3" xfId="15" applyNumberFormat="1" applyFont="1" applyFill="1" applyBorder="1" applyAlignment="1">
      <alignment horizontal="justify" vertical="center" wrapText="1"/>
    </xf>
    <xf numFmtId="0" fontId="3" fillId="0" borderId="7" xfId="15" applyNumberFormat="1" applyFont="1" applyFill="1" applyBorder="1" applyAlignment="1">
      <alignment horizontal="justify" vertical="center" wrapText="1"/>
    </xf>
    <xf numFmtId="0" fontId="26" fillId="5" borderId="3" xfId="12" applyFont="1" applyFill="1" applyBorder="1" applyAlignment="1">
      <alignment horizontal="center" vertical="center" wrapText="1"/>
    </xf>
    <xf numFmtId="0" fontId="26" fillId="5" borderId="3" xfId="12" applyNumberFormat="1" applyFont="1" applyFill="1" applyBorder="1" applyAlignment="1">
      <alignment horizontal="left" vertical="center"/>
    </xf>
    <xf numFmtId="0" fontId="26" fillId="5" borderId="3" xfId="13" applyNumberFormat="1" applyFont="1" applyFill="1" applyBorder="1" applyAlignment="1">
      <alignment horizontal="center" vertical="center" wrapText="1"/>
    </xf>
    <xf numFmtId="43" fontId="26" fillId="5" borderId="3" xfId="1" applyFont="1" applyFill="1" applyBorder="1" applyAlignment="1">
      <alignment horizontal="center" vertical="center" wrapText="1"/>
    </xf>
    <xf numFmtId="43" fontId="26" fillId="5" borderId="6" xfId="1" applyFont="1" applyFill="1" applyBorder="1" applyAlignment="1">
      <alignment horizontal="center" vertical="center" wrapText="1"/>
    </xf>
    <xf numFmtId="173" fontId="3" fillId="0" borderId="3" xfId="15" applyNumberFormat="1" applyFont="1" applyFill="1" applyBorder="1" applyAlignment="1">
      <alignment horizontal="center" vertical="center" wrapText="1"/>
    </xf>
    <xf numFmtId="174" fontId="3" fillId="0" borderId="3" xfId="14" applyNumberFormat="1" applyFont="1" applyFill="1" applyBorder="1" applyAlignment="1">
      <alignment horizontal="center" vertical="center"/>
    </xf>
    <xf numFmtId="1" fontId="3" fillId="0" borderId="3" xfId="12" applyNumberFormat="1" applyFont="1" applyFill="1" applyBorder="1" applyAlignment="1">
      <alignment horizontal="center" vertical="center"/>
    </xf>
    <xf numFmtId="175" fontId="3" fillId="0" borderId="3" xfId="14" applyNumberFormat="1" applyFont="1" applyFill="1" applyBorder="1" applyAlignment="1">
      <alignment horizontal="center" vertical="center"/>
    </xf>
    <xf numFmtId="169" fontId="3" fillId="0" borderId="3" xfId="0" applyFont="1" applyFill="1" applyBorder="1" applyAlignment="1">
      <alignment horizontal="justify" vertical="center" wrapText="1"/>
    </xf>
    <xf numFmtId="39" fontId="3" fillId="0" borderId="3" xfId="12" applyNumberFormat="1" applyFont="1" applyFill="1" applyBorder="1" applyAlignment="1">
      <alignment horizontal="left" vertical="center" wrapText="1"/>
    </xf>
    <xf numFmtId="2" fontId="3" fillId="0" borderId="3" xfId="12" applyNumberFormat="1" applyFont="1" applyFill="1" applyBorder="1" applyAlignment="1">
      <alignment horizontal="left" vertical="center" wrapText="1"/>
    </xf>
    <xf numFmtId="2" fontId="3" fillId="0" borderId="3" xfId="12" applyNumberFormat="1" applyFont="1" applyFill="1" applyBorder="1" applyAlignment="1">
      <alignment horizontal="justify" vertical="center" wrapText="1"/>
    </xf>
    <xf numFmtId="2" fontId="3" fillId="0" borderId="3" xfId="12" applyNumberFormat="1" applyFont="1" applyFill="1" applyBorder="1" applyAlignment="1">
      <alignment horizontal="left" vertical="center"/>
    </xf>
    <xf numFmtId="39" fontId="3" fillId="0" borderId="3" xfId="12" applyNumberFormat="1" applyFont="1" applyFill="1" applyBorder="1" applyAlignment="1">
      <alignment horizontal="justify" vertical="center" wrapText="1"/>
    </xf>
    <xf numFmtId="0" fontId="3" fillId="0" borderId="3" xfId="12" applyFont="1" applyFill="1" applyBorder="1" applyAlignment="1">
      <alignment horizontal="left" vertical="center"/>
    </xf>
    <xf numFmtId="2" fontId="3" fillId="0" borderId="3" xfId="15" applyNumberFormat="1" applyFont="1" applyFill="1" applyBorder="1" applyAlignment="1">
      <alignment horizontal="center" vertical="center" wrapText="1"/>
    </xf>
    <xf numFmtId="0" fontId="3" fillId="0" borderId="10" xfId="12" applyFont="1" applyFill="1" applyBorder="1" applyAlignment="1">
      <alignment horizontal="justify" vertical="center" wrapText="1"/>
    </xf>
    <xf numFmtId="0" fontId="3" fillId="0" borderId="10" xfId="12" applyFont="1" applyFill="1" applyBorder="1" applyAlignment="1">
      <alignment horizontal="center" vertical="center" wrapText="1"/>
    </xf>
    <xf numFmtId="0" fontId="3" fillId="0" borderId="17" xfId="12" applyFont="1" applyFill="1" applyBorder="1" applyAlignment="1">
      <alignment vertical="center"/>
    </xf>
    <xf numFmtId="173" fontId="3" fillId="0" borderId="3" xfId="12" applyNumberFormat="1" applyFont="1" applyFill="1" applyBorder="1" applyAlignment="1">
      <alignment horizontal="center" vertical="center" wrapText="1"/>
    </xf>
    <xf numFmtId="2" fontId="3" fillId="0" borderId="3" xfId="12" applyNumberFormat="1" applyFont="1" applyFill="1" applyBorder="1" applyAlignment="1">
      <alignment horizontal="center" vertical="center" wrapText="1"/>
    </xf>
    <xf numFmtId="39" fontId="3" fillId="0" borderId="3" xfId="12" applyNumberFormat="1" applyFont="1" applyFill="1" applyBorder="1" applyAlignment="1">
      <alignment horizontal="left" vertical="center"/>
    </xf>
    <xf numFmtId="0" fontId="3" fillId="0" borderId="3" xfId="15" applyNumberFormat="1" applyFont="1" applyFill="1" applyBorder="1" applyAlignment="1">
      <alignment horizontal="left" vertical="center" wrapText="1"/>
    </xf>
    <xf numFmtId="9" fontId="3" fillId="0" borderId="3" xfId="12" applyNumberFormat="1" applyFont="1" applyFill="1" applyBorder="1" applyAlignment="1">
      <alignment horizontal="left" vertical="center" wrapText="1"/>
    </xf>
    <xf numFmtId="0" fontId="3" fillId="0" borderId="3" xfId="12" applyFont="1" applyFill="1" applyBorder="1" applyAlignment="1">
      <alignment horizontal="center" vertical="center"/>
    </xf>
    <xf numFmtId="0" fontId="3" fillId="0" borderId="3" xfId="1" applyNumberFormat="1" applyFont="1" applyFill="1" applyBorder="1" applyAlignment="1">
      <alignment horizontal="center" vertical="center" wrapText="1"/>
    </xf>
    <xf numFmtId="0" fontId="3" fillId="0" borderId="7" xfId="12" applyFont="1" applyFill="1" applyBorder="1" applyAlignment="1">
      <alignment horizontal="justify" vertical="center"/>
    </xf>
    <xf numFmtId="9" fontId="3" fillId="0" borderId="3" xfId="12" applyNumberFormat="1" applyFont="1" applyFill="1" applyBorder="1" applyAlignment="1">
      <alignment horizontal="left" vertical="center"/>
    </xf>
    <xf numFmtId="1" fontId="3" fillId="0" borderId="3" xfId="1" applyNumberFormat="1" applyFont="1" applyFill="1" applyBorder="1" applyAlignment="1">
      <alignment horizontal="center" vertical="center" wrapText="1"/>
    </xf>
    <xf numFmtId="10" fontId="3" fillId="0" borderId="3" xfId="12" applyNumberFormat="1" applyFont="1" applyFill="1" applyBorder="1" applyAlignment="1">
      <alignment horizontal="left" vertical="center" wrapText="1"/>
    </xf>
    <xf numFmtId="0" fontId="26" fillId="0" borderId="3" xfId="12" applyFont="1" applyFill="1" applyBorder="1" applyAlignment="1">
      <alignment horizontal="justify" vertical="center" wrapText="1"/>
    </xf>
    <xf numFmtId="172" fontId="3" fillId="0" borderId="3" xfId="12" applyNumberFormat="1" applyFont="1" applyFill="1" applyBorder="1" applyAlignment="1">
      <alignment horizontal="left" vertical="center" wrapText="1"/>
    </xf>
    <xf numFmtId="0" fontId="3" fillId="0" borderId="3" xfId="1" applyNumberFormat="1" applyFont="1" applyFill="1" applyBorder="1" applyAlignment="1">
      <alignment horizontal="justify" vertical="center" wrapText="1"/>
    </xf>
    <xf numFmtId="0" fontId="3" fillId="0" borderId="3" xfId="17" applyFont="1" applyFill="1" applyBorder="1" applyAlignment="1">
      <alignment horizontal="justify" vertical="center" wrapText="1"/>
    </xf>
    <xf numFmtId="0" fontId="3" fillId="0" borderId="3" xfId="12" applyFont="1" applyFill="1" applyBorder="1"/>
    <xf numFmtId="0" fontId="27" fillId="0" borderId="3" xfId="12" applyFont="1" applyFill="1" applyBorder="1" applyAlignment="1">
      <alignment horizontal="center" vertical="center" wrapText="1"/>
    </xf>
    <xf numFmtId="0" fontId="27" fillId="0" borderId="3" xfId="12" applyFont="1" applyFill="1" applyBorder="1" applyAlignment="1">
      <alignment horizontal="justify" vertical="center" wrapText="1"/>
    </xf>
    <xf numFmtId="0" fontId="27" fillId="0" borderId="3" xfId="12" applyNumberFormat="1" applyFont="1" applyFill="1" applyBorder="1" applyAlignment="1">
      <alignment horizontal="center" vertical="center" wrapText="1"/>
    </xf>
    <xf numFmtId="164" fontId="27" fillId="0" borderId="3" xfId="14" applyNumberFormat="1" applyFont="1" applyFill="1" applyBorder="1" applyAlignment="1">
      <alignment horizontal="center" vertical="center"/>
    </xf>
    <xf numFmtId="164" fontId="27" fillId="0" borderId="6" xfId="14" applyNumberFormat="1" applyFont="1" applyFill="1" applyBorder="1" applyAlignment="1">
      <alignment horizontal="center" vertical="center"/>
    </xf>
    <xf numFmtId="43" fontId="3" fillId="0" borderId="3" xfId="1" applyFont="1" applyFill="1" applyBorder="1" applyAlignment="1">
      <alignment horizontal="center" vertical="center"/>
    </xf>
    <xf numFmtId="43" fontId="3" fillId="0" borderId="17" xfId="1" applyFont="1" applyFill="1" applyBorder="1"/>
    <xf numFmtId="9" fontId="3" fillId="0" borderId="3" xfId="12" applyNumberFormat="1" applyFont="1" applyFill="1" applyBorder="1" applyAlignment="1">
      <alignment horizontal="center" vertical="center" wrapText="1"/>
    </xf>
    <xf numFmtId="10" fontId="3" fillId="0" borderId="3" xfId="4" applyNumberFormat="1" applyFont="1" applyFill="1" applyBorder="1" applyAlignment="1">
      <alignment horizontal="left" vertical="center" wrapText="1"/>
    </xf>
    <xf numFmtId="9" fontId="3" fillId="0" borderId="3" xfId="4" applyNumberFormat="1" applyFont="1" applyFill="1" applyBorder="1" applyAlignment="1">
      <alignment horizontal="left" vertical="center" wrapText="1"/>
    </xf>
    <xf numFmtId="2" fontId="3" fillId="0" borderId="3" xfId="1" applyNumberFormat="1" applyFont="1" applyFill="1" applyBorder="1" applyAlignment="1">
      <alignment horizontal="center" vertical="center" wrapText="1"/>
    </xf>
    <xf numFmtId="0" fontId="3" fillId="0" borderId="3" xfId="12" applyFont="1" applyFill="1" applyBorder="1" applyAlignment="1">
      <alignment vertical="center" wrapText="1"/>
    </xf>
    <xf numFmtId="0" fontId="3" fillId="0" borderId="7" xfId="12" applyFont="1" applyFill="1" applyBorder="1" applyAlignment="1">
      <alignment vertical="center" wrapText="1"/>
    </xf>
    <xf numFmtId="43" fontId="3" fillId="0" borderId="3" xfId="1" applyNumberFormat="1" applyFont="1" applyFill="1" applyBorder="1" applyAlignment="1">
      <alignment vertical="center"/>
    </xf>
    <xf numFmtId="0" fontId="3" fillId="0" borderId="3" xfId="12" applyFont="1" applyFill="1" applyBorder="1" applyAlignment="1">
      <alignment vertical="center"/>
    </xf>
    <xf numFmtId="164" fontId="3" fillId="0" borderId="3" xfId="12" applyNumberFormat="1" applyFont="1" applyFill="1" applyBorder="1" applyAlignment="1">
      <alignment vertical="center"/>
    </xf>
    <xf numFmtId="164" fontId="3" fillId="0" borderId="6" xfId="12" applyNumberFormat="1" applyFont="1" applyFill="1" applyBorder="1" applyAlignment="1">
      <alignment vertical="center"/>
    </xf>
    <xf numFmtId="1" fontId="26" fillId="5" borderId="3" xfId="12" applyNumberFormat="1" applyFont="1" applyFill="1" applyBorder="1" applyAlignment="1">
      <alignment horizontal="center" vertical="center" wrapText="1"/>
    </xf>
    <xf numFmtId="0" fontId="3" fillId="0" borderId="3" xfId="4" applyNumberFormat="1" applyFont="1" applyFill="1" applyBorder="1" applyAlignment="1">
      <alignment horizontal="left" vertical="center" wrapText="1"/>
    </xf>
    <xf numFmtId="0" fontId="3" fillId="0" borderId="7" xfId="15" applyNumberFormat="1" applyFont="1" applyFill="1" applyBorder="1" applyAlignment="1">
      <alignment horizontal="center" vertical="center" wrapText="1"/>
    </xf>
    <xf numFmtId="0" fontId="3" fillId="0" borderId="3" xfId="12" applyFont="1" applyFill="1" applyBorder="1" applyAlignment="1">
      <alignment horizontal="justify" vertical="center"/>
    </xf>
    <xf numFmtId="9" fontId="3" fillId="0" borderId="3" xfId="15" applyNumberFormat="1" applyFont="1" applyFill="1" applyBorder="1" applyAlignment="1">
      <alignment horizontal="left" vertical="center" wrapText="1"/>
    </xf>
    <xf numFmtId="49" fontId="3" fillId="0" borderId="7" xfId="12" applyNumberFormat="1" applyFont="1" applyFill="1" applyBorder="1" applyAlignment="1">
      <alignment horizontal="justify" vertical="center" wrapText="1"/>
    </xf>
    <xf numFmtId="0" fontId="5" fillId="9" borderId="3" xfId="12" applyNumberFormat="1" applyFont="1" applyFill="1" applyBorder="1" applyAlignment="1">
      <alignment horizontal="left" vertical="center"/>
    </xf>
    <xf numFmtId="0" fontId="5" fillId="9" borderId="3" xfId="12" applyFont="1" applyFill="1" applyBorder="1" applyAlignment="1">
      <alignment horizontal="left" vertical="center" wrapText="1"/>
    </xf>
    <xf numFmtId="0" fontId="5" fillId="9" borderId="3" xfId="13" applyNumberFormat="1" applyFont="1" applyFill="1" applyBorder="1" applyAlignment="1">
      <alignment horizontal="center" vertical="center" wrapText="1"/>
    </xf>
    <xf numFmtId="0" fontId="5" fillId="0" borderId="17" xfId="12" applyFont="1" applyFill="1" applyBorder="1" applyAlignment="1">
      <alignment horizontal="center"/>
    </xf>
    <xf numFmtId="0" fontId="26" fillId="0" borderId="3" xfId="12" applyNumberFormat="1" applyFont="1" applyFill="1" applyBorder="1" applyAlignment="1">
      <alignment horizontal="left" vertical="center"/>
    </xf>
    <xf numFmtId="172" fontId="3" fillId="0" borderId="3" xfId="4" applyNumberFormat="1" applyFont="1" applyFill="1" applyBorder="1" applyAlignment="1">
      <alignment horizontal="left" vertical="center" wrapText="1"/>
    </xf>
    <xf numFmtId="0" fontId="3" fillId="0" borderId="3" xfId="2" applyNumberFormat="1" applyFont="1" applyFill="1" applyBorder="1" applyAlignment="1">
      <alignment horizontal="center" vertical="center" wrapText="1"/>
    </xf>
    <xf numFmtId="172" fontId="3" fillId="0" borderId="3" xfId="12" applyNumberFormat="1" applyFont="1" applyFill="1" applyBorder="1" applyAlignment="1">
      <alignment horizontal="center" vertical="center" wrapText="1"/>
    </xf>
    <xf numFmtId="2" fontId="3" fillId="0" borderId="3" xfId="16" applyNumberFormat="1" applyFont="1" applyFill="1" applyBorder="1" applyAlignment="1" applyProtection="1">
      <alignment horizontal="center" vertical="center" wrapText="1"/>
      <protection locked="0"/>
    </xf>
    <xf numFmtId="0" fontId="3" fillId="0" borderId="12" xfId="12" applyFont="1" applyFill="1" applyBorder="1" applyAlignment="1">
      <alignment horizontal="justify" vertical="center" wrapText="1"/>
    </xf>
    <xf numFmtId="164" fontId="3" fillId="0" borderId="14" xfId="14" applyNumberFormat="1" applyFont="1" applyFill="1" applyBorder="1" applyAlignment="1">
      <alignment horizontal="center" vertical="center" wrapText="1"/>
    </xf>
    <xf numFmtId="164" fontId="3" fillId="0" borderId="14" xfId="14" applyNumberFormat="1" applyFont="1" applyFill="1" applyBorder="1" applyAlignment="1">
      <alignment horizontal="center" vertical="center"/>
    </xf>
    <xf numFmtId="164" fontId="3" fillId="0" borderId="4" xfId="14" applyNumberFormat="1" applyFont="1" applyFill="1" applyBorder="1" applyAlignment="1">
      <alignment horizontal="center" vertical="center"/>
    </xf>
    <xf numFmtId="172" fontId="3" fillId="0" borderId="3" xfId="12" applyNumberFormat="1" applyFont="1" applyFill="1" applyBorder="1" applyAlignment="1">
      <alignment horizontal="left" vertical="center"/>
    </xf>
    <xf numFmtId="16" fontId="3" fillId="0" borderId="3" xfId="12" applyNumberFormat="1" applyFont="1" applyFill="1" applyBorder="1" applyAlignment="1">
      <alignment horizontal="center" vertical="center"/>
    </xf>
    <xf numFmtId="9" fontId="26" fillId="0" borderId="3" xfId="15" applyNumberFormat="1" applyFont="1" applyFill="1" applyBorder="1" applyAlignment="1">
      <alignment horizontal="left" vertical="center" wrapText="1"/>
    </xf>
    <xf numFmtId="16" fontId="3" fillId="0" borderId="3" xfId="12" applyNumberFormat="1" applyFont="1" applyFill="1" applyBorder="1" applyAlignment="1">
      <alignment horizontal="center" vertical="center" wrapText="1"/>
    </xf>
    <xf numFmtId="43" fontId="3" fillId="0" borderId="3" xfId="1" applyNumberFormat="1" applyFont="1" applyFill="1" applyBorder="1"/>
    <xf numFmtId="164" fontId="3" fillId="0" borderId="3" xfId="12" applyNumberFormat="1" applyFont="1" applyFill="1" applyBorder="1"/>
    <xf numFmtId="164" fontId="3" fillId="0" borderId="6" xfId="12" applyNumberFormat="1" applyFont="1" applyFill="1" applyBorder="1"/>
    <xf numFmtId="49" fontId="3" fillId="0" borderId="7" xfId="18" applyNumberFormat="1" applyFont="1" applyFill="1" applyBorder="1" applyAlignment="1">
      <alignment horizontal="justify" vertical="center" wrapText="1"/>
    </xf>
    <xf numFmtId="49" fontId="3" fillId="0" borderId="3" xfId="18" applyNumberFormat="1" applyFont="1" applyFill="1" applyBorder="1" applyAlignment="1">
      <alignment horizontal="center" vertical="center" wrapText="1"/>
    </xf>
    <xf numFmtId="10" fontId="3" fillId="0" borderId="3" xfId="12" applyNumberFormat="1" applyFont="1" applyFill="1" applyBorder="1" applyAlignment="1">
      <alignment horizontal="left" vertical="center"/>
    </xf>
    <xf numFmtId="164" fontId="3" fillId="0" borderId="3" xfId="14" applyNumberFormat="1" applyFont="1" applyFill="1" applyBorder="1" applyAlignment="1">
      <alignment vertical="center"/>
    </xf>
    <xf numFmtId="0" fontId="3" fillId="0" borderId="6" xfId="12" applyFont="1" applyFill="1" applyBorder="1" applyAlignment="1">
      <alignment vertical="center"/>
    </xf>
    <xf numFmtId="0" fontId="3" fillId="0" borderId="3" xfId="2" applyNumberFormat="1" applyFont="1" applyFill="1" applyBorder="1" applyAlignment="1">
      <alignment horizontal="center" vertical="center"/>
    </xf>
    <xf numFmtId="164" fontId="3" fillId="0" borderId="6" xfId="14" applyNumberFormat="1" applyFont="1" applyFill="1" applyBorder="1" applyAlignment="1">
      <alignment vertical="center"/>
    </xf>
    <xf numFmtId="49" fontId="3" fillId="0" borderId="3" xfId="15" applyNumberFormat="1" applyFont="1" applyFill="1" applyBorder="1" applyAlignment="1">
      <alignment horizontal="justify" vertical="center" wrapText="1"/>
    </xf>
    <xf numFmtId="1" fontId="3" fillId="0" borderId="3" xfId="14" applyNumberFormat="1" applyFont="1" applyFill="1" applyBorder="1" applyAlignment="1">
      <alignment horizontal="center" vertical="center"/>
    </xf>
    <xf numFmtId="0" fontId="3" fillId="0" borderId="6" xfId="12" applyFont="1" applyFill="1" applyBorder="1"/>
    <xf numFmtId="0" fontId="3" fillId="0" borderId="17" xfId="12" applyFont="1" applyFill="1" applyBorder="1" applyAlignment="1">
      <alignment horizontal="center" vertical="center" wrapText="1"/>
    </xf>
    <xf numFmtId="2" fontId="3" fillId="0" borderId="3" xfId="12" applyNumberFormat="1" applyFont="1" applyFill="1" applyBorder="1" applyAlignment="1">
      <alignment horizontal="center" vertical="center"/>
    </xf>
    <xf numFmtId="168" fontId="3" fillId="0" borderId="17" xfId="12" applyNumberFormat="1" applyFont="1" applyFill="1" applyBorder="1"/>
    <xf numFmtId="171" fontId="3" fillId="0" borderId="0" xfId="2" applyNumberFormat="1" applyFont="1" applyBorder="1"/>
    <xf numFmtId="0" fontId="3" fillId="0" borderId="0" xfId="12" applyFont="1" applyBorder="1"/>
    <xf numFmtId="0" fontId="3" fillId="0" borderId="0" xfId="12" applyFont="1" applyBorder="1" applyAlignment="1">
      <alignment horizontal="center"/>
    </xf>
    <xf numFmtId="0" fontId="3" fillId="0" borderId="0" xfId="12" applyFont="1" applyBorder="1" applyAlignment="1">
      <alignment horizontal="left"/>
    </xf>
    <xf numFmtId="171" fontId="3" fillId="0" borderId="0" xfId="2" applyNumberFormat="1" applyFont="1" applyFill="1" applyBorder="1" applyAlignment="1">
      <alignment vertical="center" wrapText="1"/>
    </xf>
    <xf numFmtId="43" fontId="3" fillId="0" borderId="0" xfId="1" applyFont="1" applyBorder="1"/>
    <xf numFmtId="164" fontId="3" fillId="0" borderId="0" xfId="12" applyNumberFormat="1" applyFont="1" applyBorder="1"/>
    <xf numFmtId="165" fontId="3" fillId="0" borderId="0" xfId="12" applyNumberFormat="1" applyFont="1" applyBorder="1"/>
    <xf numFmtId="41" fontId="3" fillId="0" borderId="0" xfId="2" applyFont="1" applyBorder="1"/>
    <xf numFmtId="171" fontId="3" fillId="0" borderId="0" xfId="2" applyNumberFormat="1" applyFont="1" applyBorder="1" applyAlignment="1">
      <alignment vertical="center"/>
    </xf>
    <xf numFmtId="168" fontId="3" fillId="0" borderId="0" xfId="12" applyNumberFormat="1" applyFont="1" applyBorder="1" applyAlignment="1">
      <alignment vertical="center"/>
    </xf>
    <xf numFmtId="0" fontId="3" fillId="0" borderId="0" xfId="12" applyFont="1" applyFill="1" applyBorder="1"/>
    <xf numFmtId="168" fontId="3" fillId="0" borderId="0" xfId="12" applyNumberFormat="1" applyFont="1" applyBorder="1"/>
    <xf numFmtId="166" fontId="3" fillId="0" borderId="0" xfId="12" applyNumberFormat="1" applyFont="1" applyFill="1" applyBorder="1"/>
    <xf numFmtId="168" fontId="3" fillId="0" borderId="0" xfId="12" applyNumberFormat="1" applyFont="1" applyFill="1" applyBorder="1"/>
    <xf numFmtId="43" fontId="3" fillId="0" borderId="0" xfId="12" applyNumberFormat="1" applyFont="1" applyBorder="1"/>
    <xf numFmtId="171" fontId="3" fillId="0" borderId="0" xfId="2" applyNumberFormat="1" applyFont="1" applyFill="1" applyBorder="1" applyAlignment="1">
      <alignment vertical="center"/>
    </xf>
    <xf numFmtId="0" fontId="3" fillId="0" borderId="0" xfId="12" applyFont="1" applyFill="1" applyBorder="1" applyAlignment="1">
      <alignment vertical="center"/>
    </xf>
    <xf numFmtId="2" fontId="3" fillId="0" borderId="0" xfId="12" applyNumberFormat="1" applyFont="1" applyBorder="1" applyAlignment="1">
      <alignment horizontal="justify" vertical="center"/>
    </xf>
    <xf numFmtId="176" fontId="3" fillId="0" borderId="0" xfId="3" applyNumberFormat="1" applyFont="1" applyFill="1" applyBorder="1" applyAlignment="1">
      <alignment horizontal="left" vertical="center"/>
    </xf>
    <xf numFmtId="0" fontId="3" fillId="0" borderId="0" xfId="12" applyFont="1" applyFill="1" applyBorder="1" applyAlignment="1">
      <alignment horizontal="center" vertical="center" wrapText="1"/>
    </xf>
    <xf numFmtId="0" fontId="3" fillId="0" borderId="0" xfId="12" applyFont="1" applyFill="1" applyBorder="1" applyAlignment="1">
      <alignment horizontal="center" vertical="center"/>
    </xf>
    <xf numFmtId="0" fontId="26" fillId="3" borderId="3" xfId="12" applyFont="1" applyFill="1" applyBorder="1" applyAlignment="1">
      <alignment vertical="center"/>
    </xf>
    <xf numFmtId="169" fontId="3" fillId="0" borderId="0" xfId="0" applyFont="1"/>
    <xf numFmtId="170" fontId="26" fillId="3" borderId="3" xfId="12" applyNumberFormat="1" applyFont="1" applyFill="1" applyBorder="1" applyAlignment="1">
      <alignment horizontal="left" vertical="center"/>
    </xf>
    <xf numFmtId="0" fontId="26" fillId="0" borderId="3" xfId="12" applyFont="1" applyBorder="1" applyAlignment="1">
      <alignment vertical="center"/>
    </xf>
    <xf numFmtId="0" fontId="5" fillId="4" borderId="3" xfId="12" applyFont="1" applyFill="1" applyBorder="1" applyAlignment="1">
      <alignment horizontal="center" vertical="center" wrapText="1"/>
    </xf>
    <xf numFmtId="0" fontId="5" fillId="4" borderId="3" xfId="13" applyNumberFormat="1" applyFont="1" applyFill="1" applyBorder="1" applyAlignment="1">
      <alignment horizontal="center" vertical="center" wrapText="1"/>
    </xf>
    <xf numFmtId="0" fontId="5" fillId="40" borderId="3" xfId="13" applyNumberFormat="1" applyFont="1" applyFill="1" applyBorder="1" applyAlignment="1">
      <alignment horizontal="center" vertical="center" wrapText="1"/>
    </xf>
    <xf numFmtId="0" fontId="5" fillId="10" borderId="3" xfId="13" applyNumberFormat="1" applyFont="1" applyFill="1" applyBorder="1" applyAlignment="1">
      <alignment horizontal="center" vertical="center" wrapText="1"/>
    </xf>
    <xf numFmtId="0" fontId="5" fillId="4" borderId="14" xfId="13" applyNumberFormat="1" applyFont="1" applyFill="1" applyBorder="1" applyAlignment="1">
      <alignment horizontal="center" vertical="center" wrapText="1"/>
    </xf>
    <xf numFmtId="0" fontId="5" fillId="4" borderId="4" xfId="13" applyNumberFormat="1" applyFont="1" applyFill="1" applyBorder="1" applyAlignment="1">
      <alignment horizontal="center" vertical="center" wrapText="1"/>
    </xf>
    <xf numFmtId="169" fontId="29" fillId="0" borderId="0" xfId="0" applyFont="1"/>
    <xf numFmtId="0" fontId="26" fillId="0" borderId="8" xfId="12" applyFont="1" applyFill="1" applyBorder="1" applyAlignment="1">
      <alignment horizontal="justify" vertical="center" wrapText="1"/>
    </xf>
    <xf numFmtId="0" fontId="26" fillId="0" borderId="9" xfId="12" applyFont="1" applyFill="1" applyBorder="1" applyAlignment="1">
      <alignment horizontal="justify" vertical="center" wrapText="1"/>
    </xf>
    <xf numFmtId="0" fontId="26" fillId="0" borderId="3" xfId="13" applyNumberFormat="1" applyFont="1" applyFill="1" applyBorder="1" applyAlignment="1">
      <alignment horizontal="justify" vertical="center" wrapText="1"/>
    </xf>
    <xf numFmtId="0" fontId="26" fillId="41" borderId="3" xfId="13" applyNumberFormat="1" applyFont="1" applyFill="1" applyBorder="1" applyAlignment="1">
      <alignment horizontal="center" vertical="center" wrapText="1"/>
    </xf>
    <xf numFmtId="0" fontId="26" fillId="0" borderId="14" xfId="13" applyNumberFormat="1" applyFont="1" applyFill="1" applyBorder="1" applyAlignment="1">
      <alignment horizontal="justify" vertical="center" wrapText="1"/>
    </xf>
    <xf numFmtId="0" fontId="26" fillId="0" borderId="4" xfId="13" applyNumberFormat="1" applyFont="1" applyFill="1" applyBorder="1" applyAlignment="1">
      <alignment horizontal="justify" vertical="center" wrapText="1"/>
    </xf>
    <xf numFmtId="169" fontId="3" fillId="0" borderId="0" xfId="0" applyFont="1" applyFill="1" applyAlignment="1">
      <alignment horizontal="justify"/>
    </xf>
    <xf numFmtId="169" fontId="3" fillId="0" borderId="0" xfId="0" applyFont="1" applyFill="1"/>
    <xf numFmtId="164" fontId="5" fillId="4" borderId="0" xfId="12" applyNumberFormat="1" applyFont="1" applyFill="1" applyBorder="1" applyAlignment="1">
      <alignment vertical="center"/>
    </xf>
    <xf numFmtId="164" fontId="5" fillId="4" borderId="14" xfId="12" applyNumberFormat="1" applyFont="1" applyFill="1" applyBorder="1" applyAlignment="1">
      <alignment vertical="center"/>
    </xf>
    <xf numFmtId="0" fontId="5" fillId="0" borderId="0" xfId="12" applyFont="1" applyFill="1" applyBorder="1"/>
    <xf numFmtId="41" fontId="3" fillId="0" borderId="0" xfId="2" applyFont="1" applyFill="1" applyBorder="1"/>
    <xf numFmtId="0" fontId="3" fillId="0" borderId="0" xfId="12" applyFont="1" applyBorder="1" applyAlignment="1">
      <alignment vertical="center"/>
    </xf>
    <xf numFmtId="165" fontId="3" fillId="0" borderId="0" xfId="7" applyNumberFormat="1" applyFont="1" applyFill="1" applyBorder="1" applyAlignment="1">
      <alignment horizontal="left" vertical="center"/>
    </xf>
    <xf numFmtId="168" fontId="3" fillId="0" borderId="0" xfId="12" applyNumberFormat="1" applyFont="1" applyFill="1" applyBorder="1" applyAlignment="1">
      <alignment vertical="center"/>
    </xf>
    <xf numFmtId="176" fontId="3" fillId="0" borderId="0" xfId="3" applyNumberFormat="1" applyFont="1" applyBorder="1" applyAlignment="1">
      <alignment horizontal="center" vertical="center"/>
    </xf>
    <xf numFmtId="0" fontId="3" fillId="0" borderId="0" xfId="12" applyFont="1" applyFill="1" applyBorder="1" applyAlignment="1">
      <alignment horizontal="center"/>
    </xf>
    <xf numFmtId="0" fontId="3" fillId="0" borderId="0" xfId="12" applyFont="1"/>
    <xf numFmtId="0" fontId="3" fillId="0" borderId="0" xfId="12" applyFont="1" applyAlignment="1">
      <alignment horizontal="center"/>
    </xf>
    <xf numFmtId="0" fontId="3" fillId="0" borderId="0" xfId="12" applyFont="1" applyAlignment="1">
      <alignment horizontal="left"/>
    </xf>
    <xf numFmtId="0" fontId="3" fillId="0" borderId="20" xfId="12" applyFont="1" applyBorder="1"/>
    <xf numFmtId="0" fontId="3" fillId="0" borderId="0" xfId="12" applyFont="1" applyAlignment="1">
      <alignment vertical="center"/>
    </xf>
    <xf numFmtId="0" fontId="3" fillId="0" borderId="18" xfId="12" applyFont="1" applyBorder="1"/>
    <xf numFmtId="0" fontId="29" fillId="0" borderId="3" xfId="12" applyFont="1" applyFill="1" applyBorder="1" applyAlignment="1">
      <alignment horizontal="center" vertical="center" wrapText="1"/>
    </xf>
    <xf numFmtId="0" fontId="29" fillId="0" borderId="3" xfId="12" applyFont="1" applyFill="1" applyBorder="1" applyAlignment="1">
      <alignment horizontal="justify" vertical="center" wrapText="1"/>
    </xf>
    <xf numFmtId="1" fontId="29" fillId="0" borderId="3" xfId="15" applyNumberFormat="1" applyFont="1" applyFill="1" applyBorder="1" applyAlignment="1">
      <alignment horizontal="center" vertical="center" wrapText="1"/>
    </xf>
    <xf numFmtId="0" fontId="29" fillId="0" borderId="3" xfId="15" applyNumberFormat="1" applyFont="1" applyFill="1" applyBorder="1" applyAlignment="1">
      <alignment horizontal="center" vertical="center" wrapText="1"/>
    </xf>
    <xf numFmtId="0" fontId="29" fillId="0" borderId="3" xfId="12" applyFont="1" applyFill="1" applyBorder="1" applyAlignment="1">
      <alignment horizontal="center" vertical="center"/>
    </xf>
    <xf numFmtId="1" fontId="29" fillId="0" borderId="3" xfId="1" applyNumberFormat="1" applyFont="1" applyFill="1" applyBorder="1" applyAlignment="1">
      <alignment horizontal="center" vertical="center" wrapText="1"/>
    </xf>
    <xf numFmtId="0" fontId="29" fillId="0" borderId="3" xfId="15" applyNumberFormat="1" applyFont="1" applyFill="1" applyBorder="1" applyAlignment="1">
      <alignment horizontal="justify" vertical="center" wrapText="1"/>
    </xf>
    <xf numFmtId="0" fontId="29" fillId="0" borderId="3" xfId="12" applyFont="1" applyFill="1" applyBorder="1" applyAlignment="1">
      <alignment horizontal="justify" vertical="center"/>
    </xf>
    <xf numFmtId="0" fontId="29" fillId="0" borderId="3" xfId="12" applyFont="1" applyFill="1" applyBorder="1" applyAlignment="1">
      <alignment vertical="center" wrapText="1"/>
    </xf>
    <xf numFmtId="0" fontId="5" fillId="0" borderId="3" xfId="15" applyNumberFormat="1" applyFont="1" applyFill="1" applyBorder="1" applyAlignment="1">
      <alignment horizontal="justify" vertical="center" wrapText="1"/>
    </xf>
    <xf numFmtId="0" fontId="5" fillId="0" borderId="3" xfId="12" applyFont="1" applyFill="1" applyBorder="1" applyAlignment="1">
      <alignment horizontal="justify" vertical="center" wrapText="1"/>
    </xf>
    <xf numFmtId="0" fontId="5" fillId="0" borderId="3" xfId="12" applyNumberFormat="1" applyFont="1" applyFill="1" applyBorder="1" applyAlignment="1">
      <alignment horizontal="left" vertical="center"/>
    </xf>
    <xf numFmtId="0" fontId="5" fillId="0" borderId="3" xfId="12" applyNumberFormat="1" applyFont="1" applyFill="1" applyBorder="1" applyAlignment="1">
      <alignment horizontal="justify" vertical="center"/>
    </xf>
    <xf numFmtId="0" fontId="5" fillId="4" borderId="3" xfId="12" applyFont="1" applyFill="1" applyBorder="1" applyAlignment="1">
      <alignment horizontal="left" vertical="center" wrapText="1"/>
    </xf>
    <xf numFmtId="0" fontId="5" fillId="4" borderId="6" xfId="12" applyFont="1" applyFill="1" applyBorder="1" applyAlignment="1">
      <alignment horizontal="center" vertical="center" wrapText="1"/>
    </xf>
    <xf numFmtId="0" fontId="5" fillId="10" borderId="6" xfId="13" applyNumberFormat="1" applyFont="1" applyFill="1" applyBorder="1" applyAlignment="1">
      <alignment horizontal="center" vertical="center" wrapText="1"/>
    </xf>
    <xf numFmtId="0" fontId="5" fillId="42" borderId="2" xfId="12" applyFont="1" applyFill="1" applyBorder="1" applyAlignment="1">
      <alignment horizontal="right"/>
    </xf>
    <xf numFmtId="0" fontId="26" fillId="0" borderId="0" xfId="12" applyFont="1" applyAlignment="1">
      <alignment horizontal="center" vertical="center" wrapText="1"/>
    </xf>
    <xf numFmtId="0" fontId="26" fillId="0" borderId="13" xfId="12" applyFont="1" applyBorder="1" applyAlignment="1">
      <alignment horizontal="center" vertical="center" wrapText="1"/>
    </xf>
    <xf numFmtId="0" fontId="5" fillId="8" borderId="5" xfId="12" applyFont="1" applyFill="1" applyBorder="1" applyAlignment="1">
      <alignment horizontal="center" vertical="center"/>
    </xf>
    <xf numFmtId="0" fontId="26" fillId="9" borderId="9" xfId="12" applyFont="1" applyFill="1" applyBorder="1" applyAlignment="1">
      <alignment horizontal="center" vertical="center"/>
    </xf>
    <xf numFmtId="0" fontId="26" fillId="9" borderId="21" xfId="12" applyFont="1" applyFill="1" applyBorder="1" applyAlignment="1">
      <alignment horizontal="center" vertical="center"/>
    </xf>
    <xf numFmtId="0" fontId="5" fillId="4" borderId="5" xfId="12" applyFont="1" applyFill="1" applyBorder="1" applyAlignment="1">
      <alignment horizontal="center" vertical="center"/>
    </xf>
    <xf numFmtId="0" fontId="5" fillId="10" borderId="5" xfId="12" applyFont="1" applyFill="1" applyBorder="1" applyAlignment="1">
      <alignment horizontal="center" vertical="center"/>
    </xf>
    <xf numFmtId="0" fontId="5" fillId="4" borderId="0" xfId="12" applyFont="1" applyFill="1" applyBorder="1" applyAlignment="1">
      <alignment horizontal="center" vertical="center"/>
    </xf>
    <xf numFmtId="0" fontId="5" fillId="4" borderId="13" xfId="12" applyFont="1" applyFill="1" applyBorder="1" applyAlignment="1">
      <alignment horizontal="center" vertical="center"/>
    </xf>
  </cellXfs>
  <cellStyles count="147">
    <cellStyle name="20% - Énfasis1" xfId="36" builtinId="30" customBuiltin="1"/>
    <cellStyle name="20% - Énfasis2" xfId="40" builtinId="34" customBuiltin="1"/>
    <cellStyle name="20% - Énfasis3" xfId="44" builtinId="38" customBuiltin="1"/>
    <cellStyle name="20% - Énfasis4" xfId="48" builtinId="42" customBuiltin="1"/>
    <cellStyle name="20% - Énfasis5" xfId="52" builtinId="46" customBuiltin="1"/>
    <cellStyle name="20% - Énfasis6" xfId="56" builtinId="50" customBuiltin="1"/>
    <cellStyle name="40% - Énfasis1" xfId="37" builtinId="31" customBuiltin="1"/>
    <cellStyle name="40% - Énfasis2" xfId="41" builtinId="35" customBuiltin="1"/>
    <cellStyle name="40% - Énfasis3" xfId="45" builtinId="39" customBuiltin="1"/>
    <cellStyle name="40% - Énfasis4" xfId="49" builtinId="43" customBuiltin="1"/>
    <cellStyle name="40% - Énfasis5" xfId="53" builtinId="47" customBuiltin="1"/>
    <cellStyle name="40% - Énfasis6" xfId="57" builtinId="51" customBuiltin="1"/>
    <cellStyle name="60% - Énfasis1" xfId="38" builtinId="32" customBuiltin="1"/>
    <cellStyle name="60% - Énfasis2" xfId="42" builtinId="36" customBuiltin="1"/>
    <cellStyle name="60% - Énfasis3" xfId="46" builtinId="40" customBuiltin="1"/>
    <cellStyle name="60% - Énfasis4" xfId="50" builtinId="44" customBuiltin="1"/>
    <cellStyle name="60% - Énfasis5" xfId="54" builtinId="48" customBuiltin="1"/>
    <cellStyle name="60% - Énfasis6" xfId="58" builtinId="52" customBuiltin="1"/>
    <cellStyle name="Cálculo" xfId="29" builtinId="22" customBuiltin="1"/>
    <cellStyle name="Celda de comprobación" xfId="5" builtinId="23" customBuiltin="1"/>
    <cellStyle name="Celda vinculada" xfId="30" builtinId="24" customBuiltin="1"/>
    <cellStyle name="Encabezado 1" xfId="21" builtinId="16" customBuiltin="1"/>
    <cellStyle name="Encabezado 4" xfId="24" builtinId="19" customBuiltin="1"/>
    <cellStyle name="Énfasis1" xfId="35" builtinId="29" customBuiltin="1"/>
    <cellStyle name="Énfasis2" xfId="39" builtinId="33" customBuiltin="1"/>
    <cellStyle name="Énfasis3" xfId="43" builtinId="37" customBuiltin="1"/>
    <cellStyle name="Énfasis4" xfId="47" builtinId="41" customBuiltin="1"/>
    <cellStyle name="Énfasis5" xfId="51" builtinId="45" customBuiltin="1"/>
    <cellStyle name="Énfasis6" xfId="55" builtinId="49" customBuiltin="1"/>
    <cellStyle name="Entrada" xfId="27" builtinId="20" customBuiltin="1"/>
    <cellStyle name="Excel Built-in Normal 2" xfId="96" xr:uid="{00000000-0005-0000-0000-00001E000000}"/>
    <cellStyle name="Hipervínculo" xfId="17" builtinId="8"/>
    <cellStyle name="Incorrecto" xfId="25" builtinId="27" customBuiltin="1"/>
    <cellStyle name="KPT04" xfId="8" xr:uid="{00000000-0005-0000-0000-000021000000}"/>
    <cellStyle name="KPT04 2" xfId="15" xr:uid="{00000000-0005-0000-0000-000022000000}"/>
    <cellStyle name="KPT04_Main" xfId="13" xr:uid="{00000000-0005-0000-0000-000023000000}"/>
    <cellStyle name="Millares" xfId="1" builtinId="3"/>
    <cellStyle name="Millares [0]" xfId="2" builtinId="6"/>
    <cellStyle name="Millares [0] 2" xfId="74" xr:uid="{00000000-0005-0000-0000-000026000000}"/>
    <cellStyle name="Millares [0] 2 2" xfId="137" xr:uid="{00000000-0005-0000-0000-000027000000}"/>
    <cellStyle name="Millares [0] 3" xfId="100" xr:uid="{00000000-0005-0000-0000-000028000000}"/>
    <cellStyle name="Millares [0] 4" xfId="141" xr:uid="{00000000-0005-0000-0000-000029000000}"/>
    <cellStyle name="Millares 2" xfId="6" xr:uid="{00000000-0005-0000-0000-00002A000000}"/>
    <cellStyle name="Millares 2 2" xfId="7" xr:uid="{00000000-0005-0000-0000-00002B000000}"/>
    <cellStyle name="Millares 2 2 2" xfId="11" xr:uid="{00000000-0005-0000-0000-00002C000000}"/>
    <cellStyle name="Millares 2 2 2 2" xfId="71" xr:uid="{00000000-0005-0000-0000-00002D000000}"/>
    <cellStyle name="Millares 2 2 2 2 2" xfId="136" xr:uid="{00000000-0005-0000-0000-00002E000000}"/>
    <cellStyle name="Millares 2 4" xfId="80" xr:uid="{00000000-0005-0000-0000-00002F000000}"/>
    <cellStyle name="Millares 2 4 2" xfId="143" xr:uid="{00000000-0005-0000-0000-000030000000}"/>
    <cellStyle name="Millares 3" xfId="92" xr:uid="{00000000-0005-0000-0000-000031000000}"/>
    <cellStyle name="Millares 3 2" xfId="101" xr:uid="{00000000-0005-0000-0000-000032000000}"/>
    <cellStyle name="Millares 3 3" xfId="98" xr:uid="{00000000-0005-0000-0000-000033000000}"/>
    <cellStyle name="Millares 4" xfId="97" xr:uid="{00000000-0005-0000-0000-000034000000}"/>
    <cellStyle name="Millares 6" xfId="99" xr:uid="{00000000-0005-0000-0000-000035000000}"/>
    <cellStyle name="Moneda [0]" xfId="3" builtinId="7"/>
    <cellStyle name="Moneda [0] 2" xfId="78" xr:uid="{00000000-0005-0000-0000-000037000000}"/>
    <cellStyle name="Moneda [0] 2 2" xfId="102" xr:uid="{00000000-0005-0000-0000-000038000000}"/>
    <cellStyle name="Moneda [0] 2 2 2" xfId="145" xr:uid="{00000000-0005-0000-0000-000039000000}"/>
    <cellStyle name="Moneda [0] 2 3" xfId="140" xr:uid="{00000000-0005-0000-0000-00003A000000}"/>
    <cellStyle name="Moneda 10" xfId="116" xr:uid="{00000000-0005-0000-0000-00003B000000}"/>
    <cellStyle name="Moneda 11" xfId="121" xr:uid="{00000000-0005-0000-0000-00003C000000}"/>
    <cellStyle name="Moneda 12" xfId="122" xr:uid="{00000000-0005-0000-0000-00003D000000}"/>
    <cellStyle name="Moneda 13" xfId="123" xr:uid="{00000000-0005-0000-0000-00003E000000}"/>
    <cellStyle name="Moneda 14" xfId="124" xr:uid="{00000000-0005-0000-0000-00003F000000}"/>
    <cellStyle name="Moneda 15" xfId="125" xr:uid="{00000000-0005-0000-0000-000040000000}"/>
    <cellStyle name="Moneda 16" xfId="126" xr:uid="{00000000-0005-0000-0000-000041000000}"/>
    <cellStyle name="Moneda 2" xfId="10" xr:uid="{00000000-0005-0000-0000-000042000000}"/>
    <cellStyle name="Moneda 2 2" xfId="79" xr:uid="{00000000-0005-0000-0000-000043000000}"/>
    <cellStyle name="Moneda 2 3" xfId="77" xr:uid="{00000000-0005-0000-0000-000044000000}"/>
    <cellStyle name="Moneda 2 4" xfId="108" xr:uid="{00000000-0005-0000-0000-000045000000}"/>
    <cellStyle name="Moneda 2 5" xfId="139" xr:uid="{00000000-0005-0000-0000-000046000000}"/>
    <cellStyle name="Moneda 3" xfId="14" xr:uid="{00000000-0005-0000-0000-000047000000}"/>
    <cellStyle name="Moneda 3 2" xfId="95" xr:uid="{00000000-0005-0000-0000-000048000000}"/>
    <cellStyle name="Moneda 4" xfId="107" xr:uid="{00000000-0005-0000-0000-000049000000}"/>
    <cellStyle name="Moneda 5" xfId="111" xr:uid="{00000000-0005-0000-0000-00004A000000}"/>
    <cellStyle name="Moneda 6" xfId="112" xr:uid="{00000000-0005-0000-0000-00004B000000}"/>
    <cellStyle name="Moneda 7" xfId="113" xr:uid="{00000000-0005-0000-0000-00004C000000}"/>
    <cellStyle name="Moneda 8" xfId="115" xr:uid="{00000000-0005-0000-0000-00004D000000}"/>
    <cellStyle name="Moneda 9" xfId="114" xr:uid="{00000000-0005-0000-0000-00004E000000}"/>
    <cellStyle name="Neutral" xfId="26" builtinId="28" customBuiltin="1"/>
    <cellStyle name="Normal" xfId="0" builtinId="0"/>
    <cellStyle name="Normal 10" xfId="70" xr:uid="{00000000-0005-0000-0000-000051000000}"/>
    <cellStyle name="Normal 11" xfId="84" xr:uid="{00000000-0005-0000-0000-000052000000}"/>
    <cellStyle name="Normal 12" xfId="81" xr:uid="{00000000-0005-0000-0000-000053000000}"/>
    <cellStyle name="Normal 13" xfId="66" xr:uid="{00000000-0005-0000-0000-000054000000}"/>
    <cellStyle name="Normal 14" xfId="68" xr:uid="{00000000-0005-0000-0000-000055000000}"/>
    <cellStyle name="Normal 15" xfId="82" xr:uid="{00000000-0005-0000-0000-000056000000}"/>
    <cellStyle name="Normal 16" xfId="64" xr:uid="{00000000-0005-0000-0000-000057000000}"/>
    <cellStyle name="Normal 17" xfId="83" xr:uid="{00000000-0005-0000-0000-000058000000}"/>
    <cellStyle name="Normal 18" xfId="63" xr:uid="{00000000-0005-0000-0000-000059000000}"/>
    <cellStyle name="Normal 19" xfId="85" xr:uid="{00000000-0005-0000-0000-00005A000000}"/>
    <cellStyle name="Normal 2" xfId="12" xr:uid="{00000000-0005-0000-0000-00005B000000}"/>
    <cellStyle name="Normal 2 2" xfId="9" xr:uid="{00000000-0005-0000-0000-00005C000000}"/>
    <cellStyle name="Normal 2 2 2" xfId="16" xr:uid="{00000000-0005-0000-0000-00005D000000}"/>
    <cellStyle name="Normal 2 2 2 2" xfId="109" xr:uid="{00000000-0005-0000-0000-00005E000000}"/>
    <cellStyle name="Normal 2 3" xfId="18" xr:uid="{00000000-0005-0000-0000-00005F000000}"/>
    <cellStyle name="Normal 2 3 2" xfId="103" xr:uid="{00000000-0005-0000-0000-000060000000}"/>
    <cellStyle name="Normal 2 3 3" xfId="144" xr:uid="{00000000-0005-0000-0000-000061000000}"/>
    <cellStyle name="Normal 2 4" xfId="94" xr:uid="{00000000-0005-0000-0000-000062000000}"/>
    <cellStyle name="Normal 20" xfId="62" xr:uid="{00000000-0005-0000-0000-000063000000}"/>
    <cellStyle name="Normal 21" xfId="67" xr:uid="{00000000-0005-0000-0000-000064000000}"/>
    <cellStyle name="Normal 22" xfId="65" xr:uid="{00000000-0005-0000-0000-000065000000}"/>
    <cellStyle name="Normal 23" xfId="86" xr:uid="{00000000-0005-0000-0000-000066000000}"/>
    <cellStyle name="Normal 24" xfId="87" xr:uid="{00000000-0005-0000-0000-000067000000}"/>
    <cellStyle name="Normal 25" xfId="88" xr:uid="{00000000-0005-0000-0000-000068000000}"/>
    <cellStyle name="Normal 26" xfId="89" xr:uid="{00000000-0005-0000-0000-000069000000}"/>
    <cellStyle name="Normal 27" xfId="90" xr:uid="{00000000-0005-0000-0000-00006A000000}"/>
    <cellStyle name="Normal 28" xfId="91" xr:uid="{00000000-0005-0000-0000-00006B000000}"/>
    <cellStyle name="Normal 29" xfId="93" xr:uid="{00000000-0005-0000-0000-00006C000000}"/>
    <cellStyle name="Normal 3" xfId="19" xr:uid="{00000000-0005-0000-0000-00006D000000}"/>
    <cellStyle name="Normal 3 2" xfId="104" xr:uid="{00000000-0005-0000-0000-00006E000000}"/>
    <cellStyle name="Normal 30" xfId="105" xr:uid="{00000000-0005-0000-0000-00006F000000}"/>
    <cellStyle name="Normal 31" xfId="119" xr:uid="{00000000-0005-0000-0000-000070000000}"/>
    <cellStyle name="Normal 32" xfId="117" xr:uid="{00000000-0005-0000-0000-000071000000}"/>
    <cellStyle name="Normal 33" xfId="118" xr:uid="{00000000-0005-0000-0000-000072000000}"/>
    <cellStyle name="Normal 34" xfId="110" xr:uid="{00000000-0005-0000-0000-000073000000}"/>
    <cellStyle name="Normal 35" xfId="120" xr:uid="{00000000-0005-0000-0000-000074000000}"/>
    <cellStyle name="Normal 36" xfId="127" xr:uid="{00000000-0005-0000-0000-000075000000}"/>
    <cellStyle name="Normal 37" xfId="135" xr:uid="{00000000-0005-0000-0000-000076000000}"/>
    <cellStyle name="Normal 38" xfId="130" xr:uid="{00000000-0005-0000-0000-000077000000}"/>
    <cellStyle name="Normal 39" xfId="138" xr:uid="{00000000-0005-0000-0000-000078000000}"/>
    <cellStyle name="Normal 4" xfId="59" xr:uid="{00000000-0005-0000-0000-000079000000}"/>
    <cellStyle name="Normal 40" xfId="128" xr:uid="{00000000-0005-0000-0000-00007A000000}"/>
    <cellStyle name="Normal 41" xfId="142" xr:uid="{00000000-0005-0000-0000-00007B000000}"/>
    <cellStyle name="Normal 42" xfId="146" xr:uid="{00000000-0005-0000-0000-00007C000000}"/>
    <cellStyle name="Normal 43" xfId="134" xr:uid="{00000000-0005-0000-0000-00007D000000}"/>
    <cellStyle name="Normal 44" xfId="131" xr:uid="{00000000-0005-0000-0000-00007E000000}"/>
    <cellStyle name="Normal 45" xfId="132" xr:uid="{00000000-0005-0000-0000-00007F000000}"/>
    <cellStyle name="Normal 46" xfId="129" xr:uid="{00000000-0005-0000-0000-000080000000}"/>
    <cellStyle name="Normal 47" xfId="133" xr:uid="{00000000-0005-0000-0000-000081000000}"/>
    <cellStyle name="Normal 5" xfId="69" xr:uid="{00000000-0005-0000-0000-000082000000}"/>
    <cellStyle name="Normal 6" xfId="61" xr:uid="{00000000-0005-0000-0000-000083000000}"/>
    <cellStyle name="Normal 7" xfId="72" xr:uid="{00000000-0005-0000-0000-000084000000}"/>
    <cellStyle name="Normal 8" xfId="60" xr:uid="{00000000-0005-0000-0000-000085000000}"/>
    <cellStyle name="Normal 9" xfId="76" xr:uid="{00000000-0005-0000-0000-000086000000}"/>
    <cellStyle name="Notas" xfId="32" builtinId="10" customBuiltin="1"/>
    <cellStyle name="Porcentaje" xfId="4" builtinId="5"/>
    <cellStyle name="Porcentaje 2 2" xfId="73" xr:uid="{00000000-0005-0000-0000-000089000000}"/>
    <cellStyle name="Porcentaje 2 2 2" xfId="75" xr:uid="{00000000-0005-0000-0000-00008A000000}"/>
    <cellStyle name="Porcentaje 2 3" xfId="106" xr:uid="{00000000-0005-0000-0000-00008B000000}"/>
    <cellStyle name="Salida" xfId="28" builtinId="21" customBuiltin="1"/>
    <cellStyle name="Texto de advertencia" xfId="31" builtinId="11" customBuiltin="1"/>
    <cellStyle name="Texto explicativo" xfId="33" builtinId="53" customBuiltin="1"/>
    <cellStyle name="Título" xfId="20" builtinId="15" customBuiltin="1"/>
    <cellStyle name="Título 2" xfId="22" builtinId="17" customBuiltin="1"/>
    <cellStyle name="Título 3" xfId="23" builtinId="18" customBuiltin="1"/>
    <cellStyle name="Total" xfId="34" builtinId="25" customBuiltin="1"/>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200521</xdr:colOff>
      <xdr:row>0</xdr:row>
      <xdr:rowOff>0</xdr:rowOff>
    </xdr:from>
    <xdr:to>
      <xdr:col>2</xdr:col>
      <xdr:colOff>170911</xdr:colOff>
      <xdr:row>3</xdr:row>
      <xdr:rowOff>57150</xdr:rowOff>
    </xdr:to>
    <xdr:pic>
      <xdr:nvPicPr>
        <xdr:cNvPr id="3" name="Imagen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6" t="12991" r="67844" b="74319"/>
        <a:stretch>
          <a:fillRect/>
        </a:stretch>
      </xdr:blipFill>
      <xdr:spPr bwMode="auto">
        <a:xfrm>
          <a:off x="2143621" y="0"/>
          <a:ext cx="176109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pp.powerbi.com/view?r=eyJrIjoiNmUyZjc2ZDgtODg3OC00OTg2LWE5NDEtYTQyZjM2NzM2ZmQ2IiwidCI6IjFhMDY3M2M2LTI0ZTEtNDc2ZC1iYjRkLWJhNmE5MWEzYzU4OCIsImMiOjR9" TargetMode="External"/><Relationship Id="rId7" Type="http://schemas.openxmlformats.org/officeDocument/2006/relationships/hyperlink" Target="https://app.powerbi.com/view?r=eyJrIjoiNmUyZjc2ZDgtODg3OC00OTg2LWE5NDEtYTQyZjM2NzM2ZmQ2IiwidCI6IjFhMDY3M2M2LTI0ZTEtNDc2ZC1iYjRkLWJhNmE5MWEzYzU4OCIsImMiOjR9" TargetMode="External"/><Relationship Id="rId2" Type="http://schemas.openxmlformats.org/officeDocument/2006/relationships/hyperlink" Target="https://app.powerbi.com/view?r=eyJrIjoiNmUyZjc2ZDgtODg3OC00OTg2LWE5NDEtYTQyZjM2NzM2ZmQ2IiwidCI6IjFhMDY3M2M2LTI0ZTEtNDc2ZC1iYjRkLWJhNmE5MWEzYzU4OCIsImMiOjR9" TargetMode="External"/><Relationship Id="rId1" Type="http://schemas.openxmlformats.org/officeDocument/2006/relationships/hyperlink" Target="https://app.powerbi.com/view?r=eyJrIjoiNmUyZjc2ZDgtODg3OC00OTg2LWE5NDEtYTQyZjM2NzM2ZmQ2IiwidCI6IjFhMDY3M2M2LTI0ZTEtNDc2ZC1iYjRkLWJhNmE5MWEzYzU4OCIsImMiOjR9" TargetMode="External"/><Relationship Id="rId6" Type="http://schemas.openxmlformats.org/officeDocument/2006/relationships/hyperlink" Target="https://app.powerbi.com/view?r=eyJrIjoiNmUyZjc2ZDgtODg3OC00OTg2LWE5NDEtYTQyZjM2NzM2ZmQ2IiwidCI6IjFhMDY3M2M2LTI0ZTEtNDc2ZC1iYjRkLWJhNmE5MWEzYzU4OCIsImMiOjR9" TargetMode="External"/><Relationship Id="rId11" Type="http://schemas.openxmlformats.org/officeDocument/2006/relationships/comments" Target="../comments1.xml"/><Relationship Id="rId5" Type="http://schemas.openxmlformats.org/officeDocument/2006/relationships/hyperlink" Target="https://app.powerbi.com/view?r=eyJrIjoiNmUyZjc2ZDgtODg3OC00OTg2LWE5NDEtYTQyZjM2NzM2ZmQ2IiwidCI6IjFhMDY3M2M2LTI0ZTEtNDc2ZC1iYjRkLWJhNmE5MWEzYzU4OCIsImMiOjR9" TargetMode="External"/><Relationship Id="rId10" Type="http://schemas.openxmlformats.org/officeDocument/2006/relationships/vmlDrawing" Target="../drawings/vmlDrawing1.vml"/><Relationship Id="rId4" Type="http://schemas.openxmlformats.org/officeDocument/2006/relationships/hyperlink" Target="https://app.powerbi.com/view?r=eyJrIjoiNmUyZjc2ZDgtODg3OC00OTg2LWE5NDEtYTQyZjM2NzM2ZmQ2IiwidCI6IjFhMDY3M2M2LTI0ZTEtNDc2ZC1iYjRkLWJhNmE5MWEzYzU4OCIsImMiOjR9"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B488"/>
  <sheetViews>
    <sheetView showGridLines="0" tabSelected="1" zoomScale="80" zoomScaleNormal="80" workbookViewId="0">
      <pane xSplit="1" ySplit="7" topLeftCell="B374" activePane="bottomRight" state="frozen"/>
      <selection pane="topRight" activeCell="B1" sqref="B1"/>
      <selection pane="bottomLeft" activeCell="A8" sqref="A8"/>
      <selection pane="bottomRight" activeCell="C389" sqref="C389"/>
    </sheetView>
  </sheetViews>
  <sheetFormatPr baseColWidth="10" defaultRowHeight="15" x14ac:dyDescent="0.2"/>
  <cols>
    <col min="1" max="1" width="29.85546875" style="200" customWidth="1"/>
    <col min="2" max="2" width="26.85546875" style="200" customWidth="1"/>
    <col min="3" max="3" width="74.42578125" style="200" customWidth="1"/>
    <col min="4" max="4" width="101.5703125" style="200" customWidth="1"/>
    <col min="5" max="5" width="44.5703125" style="202" customWidth="1"/>
    <col min="6" max="6" width="22.28515625" style="200" customWidth="1"/>
    <col min="7" max="7" width="72.5703125" style="200" customWidth="1"/>
    <col min="8" max="8" width="55.5703125" style="202" customWidth="1"/>
    <col min="9" max="9" width="13.28515625" style="200" customWidth="1"/>
    <col min="10" max="10" width="40.85546875" style="200" customWidth="1"/>
    <col min="11" max="11" width="12.85546875" style="200" customWidth="1"/>
    <col min="12" max="12" width="24.5703125" style="200" customWidth="1"/>
    <col min="13" max="13" width="15.85546875" style="200" customWidth="1"/>
    <col min="14" max="14" width="23.42578125" style="200" customWidth="1"/>
    <col min="15" max="15" width="29.140625" style="200" customWidth="1"/>
    <col min="16" max="16" width="19.140625" style="200" customWidth="1"/>
    <col min="17" max="17" width="21.7109375" style="200" customWidth="1"/>
    <col min="18" max="18" width="16.140625" style="200" customWidth="1"/>
    <col min="19" max="19" width="39" style="200" customWidth="1"/>
    <col min="20" max="20" width="21.42578125" style="200" customWidth="1"/>
    <col min="21" max="21" width="26.140625" style="200" customWidth="1"/>
    <col min="22" max="22" width="23.5703125" style="200" customWidth="1"/>
    <col min="23" max="23" width="37.7109375" style="200" customWidth="1"/>
    <col min="24" max="24" width="19" style="201" customWidth="1"/>
    <col min="25" max="25" width="13" style="201" customWidth="1"/>
    <col min="26" max="26" width="10.85546875" style="201" customWidth="1"/>
    <col min="27" max="29" width="9.7109375" style="201" customWidth="1"/>
    <col min="30" max="34" width="38.140625" style="200" customWidth="1"/>
    <col min="35" max="35" width="30" style="200" customWidth="1"/>
    <col min="36" max="36" width="33.140625" style="200" customWidth="1"/>
    <col min="37" max="39" width="32.140625" style="200" customWidth="1"/>
    <col min="40" max="40" width="31.140625" style="200" customWidth="1"/>
    <col min="41" max="41" width="37" style="200" customWidth="1"/>
    <col min="42" max="42" width="33" style="200" customWidth="1"/>
    <col min="43" max="44" width="33.5703125" style="200" customWidth="1"/>
    <col min="45" max="45" width="32.140625" style="200" customWidth="1"/>
    <col min="46" max="46" width="29.5703125" style="200" customWidth="1"/>
    <col min="47" max="47" width="31.85546875" style="200" customWidth="1"/>
    <col min="48" max="48" width="31.5703125" style="200" customWidth="1"/>
    <col min="49" max="50" width="27.85546875" style="200" customWidth="1"/>
    <col min="51" max="51" width="30" style="200" customWidth="1"/>
    <col min="52" max="52" width="36.7109375" style="200" customWidth="1"/>
    <col min="53" max="53" width="34.7109375" style="200" customWidth="1"/>
    <col min="54" max="54" width="31" style="200" customWidth="1"/>
    <col min="55" max="55" width="32.140625" style="200" customWidth="1"/>
    <col min="56" max="56" width="30.7109375" style="200" customWidth="1"/>
    <col min="57" max="57" width="30" style="200" customWidth="1"/>
    <col min="58" max="58" width="31.42578125" style="200" customWidth="1"/>
    <col min="59" max="59" width="32.5703125" style="200" customWidth="1"/>
    <col min="60" max="61" width="27.85546875" style="200" customWidth="1"/>
    <col min="62" max="62" width="30" style="200" customWidth="1"/>
    <col min="63" max="63" width="39.85546875" style="200" customWidth="1"/>
    <col min="64" max="64" width="31.5703125" style="200" customWidth="1"/>
    <col min="65" max="65" width="34.42578125" style="200" customWidth="1"/>
    <col min="66" max="66" width="35.85546875" style="200" customWidth="1"/>
    <col min="67" max="67" width="33.85546875" style="200" customWidth="1"/>
    <col min="68" max="68" width="29.28515625" style="200" customWidth="1"/>
    <col min="69" max="69" width="33.28515625" style="200" customWidth="1"/>
    <col min="70" max="70" width="32.7109375" style="200" customWidth="1"/>
    <col min="71" max="72" width="15.7109375" style="200" customWidth="1"/>
    <col min="73" max="73" width="23.28515625" style="200" customWidth="1"/>
    <col min="74" max="74" width="37" style="204" customWidth="1"/>
    <col min="75" max="75" width="32.7109375" style="204" customWidth="1"/>
    <col min="76" max="79" width="11.42578125" style="173"/>
    <col min="80" max="80" width="25.28515625" style="173" customWidth="1"/>
    <col min="81" max="16384" width="11.42578125" style="173"/>
  </cols>
  <sheetData>
    <row r="1" spans="1:75" ht="21.75" customHeight="1" x14ac:dyDescent="0.2">
      <c r="A1" s="223" t="s">
        <v>1710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4"/>
      <c r="BV1" s="172" t="s">
        <v>1711</v>
      </c>
      <c r="BW1" s="19"/>
    </row>
    <row r="2" spans="1:75" ht="21.75" customHeight="1" x14ac:dyDescent="0.2">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4"/>
      <c r="BV2" s="174">
        <v>4</v>
      </c>
      <c r="BW2" s="19"/>
    </row>
    <row r="3" spans="1:75" ht="21.7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4"/>
      <c r="BV3" s="175" t="s">
        <v>1567</v>
      </c>
      <c r="BW3" s="19"/>
    </row>
    <row r="4" spans="1:75" ht="21.75"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4"/>
      <c r="BV4" s="172" t="s">
        <v>0</v>
      </c>
      <c r="BW4" s="19"/>
    </row>
    <row r="5" spans="1:75" ht="48.75" customHeight="1" x14ac:dyDescent="0.2">
      <c r="A5" s="225" t="s">
        <v>1594</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9">
        <v>2020</v>
      </c>
      <c r="AE5" s="229"/>
      <c r="AF5" s="229"/>
      <c r="AG5" s="229"/>
      <c r="AH5" s="229"/>
      <c r="AI5" s="229"/>
      <c r="AJ5" s="229"/>
      <c r="AK5" s="229"/>
      <c r="AL5" s="229"/>
      <c r="AM5" s="229"/>
      <c r="AN5" s="229"/>
      <c r="AO5" s="228">
        <v>2021</v>
      </c>
      <c r="AP5" s="228"/>
      <c r="AQ5" s="228"/>
      <c r="AR5" s="228"/>
      <c r="AS5" s="228"/>
      <c r="AT5" s="228"/>
      <c r="AU5" s="228"/>
      <c r="AV5" s="228"/>
      <c r="AW5" s="228"/>
      <c r="AX5" s="228"/>
      <c r="AY5" s="228"/>
      <c r="AZ5" s="229">
        <v>2022</v>
      </c>
      <c r="BA5" s="229"/>
      <c r="BB5" s="229"/>
      <c r="BC5" s="229"/>
      <c r="BD5" s="229"/>
      <c r="BE5" s="229"/>
      <c r="BF5" s="229"/>
      <c r="BG5" s="229"/>
      <c r="BH5" s="229"/>
      <c r="BI5" s="229"/>
      <c r="BJ5" s="229"/>
      <c r="BK5" s="230">
        <v>2023</v>
      </c>
      <c r="BL5" s="230"/>
      <c r="BM5" s="230"/>
      <c r="BN5" s="230"/>
      <c r="BO5" s="230"/>
      <c r="BP5" s="230"/>
      <c r="BQ5" s="230"/>
      <c r="BR5" s="230"/>
      <c r="BS5" s="230"/>
      <c r="BT5" s="230"/>
      <c r="BU5" s="231"/>
      <c r="BV5" s="226" t="s">
        <v>1608</v>
      </c>
      <c r="BW5" s="19"/>
    </row>
    <row r="6" spans="1:75" s="182" customFormat="1" ht="48.75" customHeight="1" x14ac:dyDescent="0.2">
      <c r="A6" s="176" t="s">
        <v>303</v>
      </c>
      <c r="B6" s="176" t="s">
        <v>1595</v>
      </c>
      <c r="C6" s="176" t="s">
        <v>1596</v>
      </c>
      <c r="D6" s="176" t="s">
        <v>1597</v>
      </c>
      <c r="E6" s="219" t="s">
        <v>1598</v>
      </c>
      <c r="F6" s="176" t="s">
        <v>1599</v>
      </c>
      <c r="G6" s="176" t="s">
        <v>304</v>
      </c>
      <c r="H6" s="176" t="s">
        <v>1568</v>
      </c>
      <c r="I6" s="176" t="s">
        <v>305</v>
      </c>
      <c r="J6" s="176" t="s">
        <v>306</v>
      </c>
      <c r="K6" s="176" t="s">
        <v>307</v>
      </c>
      <c r="L6" s="176" t="s">
        <v>308</v>
      </c>
      <c r="M6" s="176" t="s">
        <v>1600</v>
      </c>
      <c r="N6" s="176" t="s">
        <v>1604</v>
      </c>
      <c r="O6" s="176" t="s">
        <v>1601</v>
      </c>
      <c r="P6" s="176" t="s">
        <v>1602</v>
      </c>
      <c r="Q6" s="177" t="s">
        <v>1603</v>
      </c>
      <c r="R6" s="178" t="s">
        <v>1637</v>
      </c>
      <c r="S6" s="177" t="s">
        <v>309</v>
      </c>
      <c r="T6" s="177" t="s">
        <v>1605</v>
      </c>
      <c r="U6" s="177" t="s">
        <v>1606</v>
      </c>
      <c r="V6" s="178" t="s">
        <v>1638</v>
      </c>
      <c r="W6" s="177" t="s">
        <v>1709</v>
      </c>
      <c r="X6" s="176" t="s">
        <v>1607</v>
      </c>
      <c r="Y6" s="176" t="s">
        <v>1568</v>
      </c>
      <c r="Z6" s="220">
        <v>2020</v>
      </c>
      <c r="AA6" s="176">
        <v>2021</v>
      </c>
      <c r="AB6" s="176">
        <v>2022</v>
      </c>
      <c r="AC6" s="176">
        <v>2023</v>
      </c>
      <c r="AD6" s="221" t="s">
        <v>1610</v>
      </c>
      <c r="AE6" s="221" t="s">
        <v>1696</v>
      </c>
      <c r="AF6" s="221" t="s">
        <v>312</v>
      </c>
      <c r="AG6" s="221" t="s">
        <v>313</v>
      </c>
      <c r="AH6" s="221" t="s">
        <v>314</v>
      </c>
      <c r="AI6" s="221" t="s">
        <v>315</v>
      </c>
      <c r="AJ6" s="221" t="s">
        <v>1618</v>
      </c>
      <c r="AK6" s="221" t="s">
        <v>317</v>
      </c>
      <c r="AL6" s="221" t="s">
        <v>318</v>
      </c>
      <c r="AM6" s="221" t="s">
        <v>319</v>
      </c>
      <c r="AN6" s="221" t="s">
        <v>320</v>
      </c>
      <c r="AO6" s="177" t="s">
        <v>310</v>
      </c>
      <c r="AP6" s="177" t="s">
        <v>321</v>
      </c>
      <c r="AQ6" s="177" t="s">
        <v>312</v>
      </c>
      <c r="AR6" s="177" t="s">
        <v>313</v>
      </c>
      <c r="AS6" s="177" t="s">
        <v>314</v>
      </c>
      <c r="AT6" s="177" t="s">
        <v>315</v>
      </c>
      <c r="AU6" s="177" t="s">
        <v>316</v>
      </c>
      <c r="AV6" s="177" t="s">
        <v>317</v>
      </c>
      <c r="AW6" s="177" t="s">
        <v>318</v>
      </c>
      <c r="AX6" s="177" t="s">
        <v>319</v>
      </c>
      <c r="AY6" s="177" t="s">
        <v>320</v>
      </c>
      <c r="AZ6" s="179" t="s">
        <v>322</v>
      </c>
      <c r="BA6" s="179" t="s">
        <v>311</v>
      </c>
      <c r="BB6" s="179" t="s">
        <v>312</v>
      </c>
      <c r="BC6" s="179" t="s">
        <v>313</v>
      </c>
      <c r="BD6" s="179" t="s">
        <v>314</v>
      </c>
      <c r="BE6" s="179" t="s">
        <v>315</v>
      </c>
      <c r="BF6" s="179" t="s">
        <v>316</v>
      </c>
      <c r="BG6" s="179" t="s">
        <v>317</v>
      </c>
      <c r="BH6" s="179" t="s">
        <v>318</v>
      </c>
      <c r="BI6" s="179" t="s">
        <v>319</v>
      </c>
      <c r="BJ6" s="179" t="s">
        <v>320</v>
      </c>
      <c r="BK6" s="177" t="s">
        <v>310</v>
      </c>
      <c r="BL6" s="180" t="s">
        <v>311</v>
      </c>
      <c r="BM6" s="180" t="s">
        <v>312</v>
      </c>
      <c r="BN6" s="180" t="s">
        <v>313</v>
      </c>
      <c r="BO6" s="180" t="s">
        <v>314</v>
      </c>
      <c r="BP6" s="180" t="s">
        <v>315</v>
      </c>
      <c r="BQ6" s="180" t="s">
        <v>323</v>
      </c>
      <c r="BR6" s="180" t="s">
        <v>317</v>
      </c>
      <c r="BS6" s="180" t="s">
        <v>318</v>
      </c>
      <c r="BT6" s="180" t="s">
        <v>319</v>
      </c>
      <c r="BU6" s="181" t="s">
        <v>320</v>
      </c>
      <c r="BV6" s="227"/>
      <c r="BW6" s="20"/>
    </row>
    <row r="7" spans="1:75" s="189" customFormat="1" ht="21.75" customHeight="1" x14ac:dyDescent="0.2">
      <c r="A7" s="89"/>
      <c r="B7" s="183"/>
      <c r="C7" s="89"/>
      <c r="D7" s="89"/>
      <c r="E7" s="37"/>
      <c r="F7" s="89"/>
      <c r="G7" s="89"/>
      <c r="H7" s="89"/>
      <c r="I7" s="89"/>
      <c r="J7" s="89"/>
      <c r="K7" s="89"/>
      <c r="L7" s="89"/>
      <c r="M7" s="184"/>
      <c r="N7" s="184"/>
      <c r="O7" s="184"/>
      <c r="P7" s="89"/>
      <c r="Q7" s="185"/>
      <c r="R7" s="185"/>
      <c r="S7" s="185"/>
      <c r="T7" s="185"/>
      <c r="U7" s="185"/>
      <c r="V7" s="185"/>
      <c r="W7" s="185"/>
      <c r="X7" s="89"/>
      <c r="Y7" s="89"/>
      <c r="Z7" s="34"/>
      <c r="AA7" s="89"/>
      <c r="AB7" s="89"/>
      <c r="AC7" s="89"/>
      <c r="AD7" s="186" t="s">
        <v>1611</v>
      </c>
      <c r="AE7" s="186" t="s">
        <v>1611</v>
      </c>
      <c r="AF7" s="186" t="s">
        <v>1611</v>
      </c>
      <c r="AG7" s="186" t="s">
        <v>1611</v>
      </c>
      <c r="AH7" s="186" t="s">
        <v>1611</v>
      </c>
      <c r="AI7" s="186" t="s">
        <v>1611</v>
      </c>
      <c r="AJ7" s="186" t="s">
        <v>1611</v>
      </c>
      <c r="AK7" s="186" t="s">
        <v>1611</v>
      </c>
      <c r="AL7" s="186" t="s">
        <v>1611</v>
      </c>
      <c r="AM7" s="186" t="s">
        <v>1611</v>
      </c>
      <c r="AN7" s="186" t="s">
        <v>1611</v>
      </c>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7"/>
      <c r="BM7" s="187"/>
      <c r="BN7" s="187"/>
      <c r="BO7" s="187"/>
      <c r="BP7" s="187"/>
      <c r="BQ7" s="187"/>
      <c r="BR7" s="187"/>
      <c r="BS7" s="187"/>
      <c r="BT7" s="187"/>
      <c r="BU7" s="188"/>
      <c r="BV7" s="21"/>
      <c r="BW7" s="22"/>
    </row>
    <row r="8" spans="1:75" s="182" customFormat="1" ht="21.75" customHeight="1" x14ac:dyDescent="0.25">
      <c r="A8" s="24">
        <v>1</v>
      </c>
      <c r="B8" s="25" t="s">
        <v>19</v>
      </c>
      <c r="C8" s="26"/>
      <c r="D8" s="27"/>
      <c r="E8" s="28"/>
      <c r="F8" s="27"/>
      <c r="G8" s="27"/>
      <c r="H8" s="28"/>
      <c r="I8" s="27"/>
      <c r="J8" s="27"/>
      <c r="K8" s="27"/>
      <c r="L8" s="27"/>
      <c r="M8" s="29"/>
      <c r="N8" s="29"/>
      <c r="O8" s="29"/>
      <c r="P8" s="27"/>
      <c r="Q8" s="30"/>
      <c r="R8" s="30"/>
      <c r="S8" s="30"/>
      <c r="T8" s="30"/>
      <c r="U8" s="30"/>
      <c r="V8" s="30"/>
      <c r="W8" s="30"/>
      <c r="X8" s="27"/>
      <c r="Y8" s="27"/>
      <c r="Z8" s="27"/>
      <c r="AA8" s="27"/>
      <c r="AB8" s="27"/>
      <c r="AC8" s="31"/>
      <c r="AD8" s="32">
        <f t="shared" ref="AD8:AJ8" si="0">AD9+AD12+AD14+AD16+AD37+AD60+AD73+AD108+AD118+AD125+AD139+AD145+AD156+AD165+AD172+AD178+AD182+AD185+AD136</f>
        <v>295271950429.0083</v>
      </c>
      <c r="AE8" s="32">
        <f t="shared" si="0"/>
        <v>10234622831.218315</v>
      </c>
      <c r="AF8" s="32">
        <f t="shared" si="0"/>
        <v>50107176562.700005</v>
      </c>
      <c r="AG8" s="32">
        <f t="shared" si="0"/>
        <v>159986260498.45999</v>
      </c>
      <c r="AH8" s="32">
        <f t="shared" si="0"/>
        <v>5358388785.5</v>
      </c>
      <c r="AI8" s="32">
        <f t="shared" si="0"/>
        <v>0</v>
      </c>
      <c r="AJ8" s="32">
        <f t="shared" si="0"/>
        <v>12173030541.870001</v>
      </c>
      <c r="AK8" s="32">
        <f t="shared" ref="AK8:AW8" si="1">AK9+AK12+AK14+AK16+AK37+AK60+AK73+AK108+AK118+AK125+AK139+AK145+AK156+AK165+AK172+AK178+AK182+AK185+AK136</f>
        <v>54567613386</v>
      </c>
      <c r="AL8" s="32">
        <f t="shared" si="1"/>
        <v>0</v>
      </c>
      <c r="AM8" s="32">
        <f t="shared" si="1"/>
        <v>0</v>
      </c>
      <c r="AN8" s="32">
        <f t="shared" si="1"/>
        <v>2844857823.2600002</v>
      </c>
      <c r="AO8" s="32">
        <f t="shared" si="1"/>
        <v>270312350322.24213</v>
      </c>
      <c r="AP8" s="32">
        <f t="shared" si="1"/>
        <v>7076350371.3037767</v>
      </c>
      <c r="AQ8" s="32">
        <f t="shared" si="1"/>
        <v>39860112957.705933</v>
      </c>
      <c r="AR8" s="32">
        <f t="shared" si="1"/>
        <v>168763077602.9024</v>
      </c>
      <c r="AS8" s="32">
        <f t="shared" si="1"/>
        <v>6025369898</v>
      </c>
      <c r="AT8" s="32">
        <f t="shared" si="1"/>
        <v>0</v>
      </c>
      <c r="AU8" s="32">
        <f t="shared" si="1"/>
        <v>12209698141.98</v>
      </c>
      <c r="AV8" s="32">
        <f t="shared" si="1"/>
        <v>34349623180</v>
      </c>
      <c r="AW8" s="32">
        <f t="shared" si="1"/>
        <v>0</v>
      </c>
      <c r="AX8" s="32">
        <f t="shared" ref="AX8:BV8" si="2">AX9+AX12+AX14+AX16+AX37+AX60+AX73+AX108+AX118+AX125+AX139+AX145+AX156+AX165+AX172+AX178+AX182+AX185+AX136</f>
        <v>0</v>
      </c>
      <c r="AY8" s="32">
        <f t="shared" si="2"/>
        <v>2028118170.3499999</v>
      </c>
      <c r="AZ8" s="32">
        <f t="shared" si="2"/>
        <v>281534558787.20459</v>
      </c>
      <c r="BA8" s="32">
        <f t="shared" si="2"/>
        <v>11767776406.2066</v>
      </c>
      <c r="BB8" s="32">
        <f t="shared" si="2"/>
        <v>42960607838.281364</v>
      </c>
      <c r="BC8" s="32">
        <f t="shared" si="2"/>
        <v>182189022471</v>
      </c>
      <c r="BD8" s="32">
        <f t="shared" si="2"/>
        <v>6206130995</v>
      </c>
      <c r="BE8" s="32">
        <f t="shared" si="2"/>
        <v>0</v>
      </c>
      <c r="BF8" s="32">
        <f t="shared" si="2"/>
        <v>12575989086</v>
      </c>
      <c r="BG8" s="32">
        <f t="shared" si="2"/>
        <v>23746070276</v>
      </c>
      <c r="BH8" s="32">
        <f t="shared" si="2"/>
        <v>0</v>
      </c>
      <c r="BI8" s="32">
        <f t="shared" si="2"/>
        <v>0</v>
      </c>
      <c r="BJ8" s="32">
        <f t="shared" si="2"/>
        <v>2088961714.7165999</v>
      </c>
      <c r="BK8" s="32">
        <f t="shared" si="2"/>
        <v>297462853569.9502</v>
      </c>
      <c r="BL8" s="32">
        <f t="shared" si="2"/>
        <v>17939928555.318501</v>
      </c>
      <c r="BM8" s="32">
        <f t="shared" si="2"/>
        <v>46210074808.94355</v>
      </c>
      <c r="BN8" s="32">
        <f t="shared" si="2"/>
        <v>196686789889</v>
      </c>
      <c r="BO8" s="32">
        <f t="shared" si="2"/>
        <v>6392314925</v>
      </c>
      <c r="BP8" s="32">
        <f t="shared" si="2"/>
        <v>0</v>
      </c>
      <c r="BQ8" s="32">
        <f t="shared" si="2"/>
        <v>12953268759</v>
      </c>
      <c r="BR8" s="32">
        <f t="shared" si="2"/>
        <v>15128846066</v>
      </c>
      <c r="BS8" s="32">
        <f t="shared" si="2"/>
        <v>0</v>
      </c>
      <c r="BT8" s="32">
        <f t="shared" si="2"/>
        <v>0</v>
      </c>
      <c r="BU8" s="32">
        <f t="shared" si="2"/>
        <v>2151630566.6881151</v>
      </c>
      <c r="BV8" s="32">
        <f t="shared" si="2"/>
        <v>1144629689108.4055</v>
      </c>
      <c r="BW8" s="33"/>
    </row>
    <row r="9" spans="1:75" ht="21.75" customHeight="1" x14ac:dyDescent="0.25">
      <c r="A9" s="35"/>
      <c r="B9" s="36"/>
      <c r="C9" s="34"/>
      <c r="D9" s="34"/>
      <c r="E9" s="37"/>
      <c r="F9" s="34"/>
      <c r="G9" s="34"/>
      <c r="H9" s="37"/>
      <c r="I9" s="34"/>
      <c r="J9" s="34"/>
      <c r="K9" s="34"/>
      <c r="L9" s="38"/>
      <c r="M9" s="39">
        <v>1</v>
      </c>
      <c r="N9" s="39">
        <v>1202</v>
      </c>
      <c r="O9" s="40" t="s">
        <v>20</v>
      </c>
      <c r="P9" s="41"/>
      <c r="Q9" s="42"/>
      <c r="R9" s="43"/>
      <c r="S9" s="43"/>
      <c r="T9" s="43"/>
      <c r="U9" s="43"/>
      <c r="V9" s="43"/>
      <c r="W9" s="43"/>
      <c r="X9" s="44"/>
      <c r="Y9" s="44"/>
      <c r="Z9" s="44"/>
      <c r="AA9" s="44"/>
      <c r="AB9" s="44"/>
      <c r="AC9" s="41"/>
      <c r="AD9" s="45">
        <f>SUBTOTAL(9,AD10:AD11)</f>
        <v>115128400</v>
      </c>
      <c r="AE9" s="45">
        <f t="shared" ref="AE9:BU9" si="3">SUBTOTAL(9,AE10:AE11)</f>
        <v>115128400</v>
      </c>
      <c r="AF9" s="45">
        <f t="shared" si="3"/>
        <v>0</v>
      </c>
      <c r="AG9" s="45">
        <f t="shared" si="3"/>
        <v>0</v>
      </c>
      <c r="AH9" s="45">
        <f t="shared" si="3"/>
        <v>0</v>
      </c>
      <c r="AI9" s="45">
        <f t="shared" si="3"/>
        <v>0</v>
      </c>
      <c r="AJ9" s="45">
        <f t="shared" si="3"/>
        <v>0</v>
      </c>
      <c r="AK9" s="45">
        <f t="shared" si="3"/>
        <v>0</v>
      </c>
      <c r="AL9" s="45">
        <f t="shared" si="3"/>
        <v>0</v>
      </c>
      <c r="AM9" s="45">
        <f t="shared" si="3"/>
        <v>0</v>
      </c>
      <c r="AN9" s="45">
        <f t="shared" si="3"/>
        <v>0</v>
      </c>
      <c r="AO9" s="45">
        <f t="shared" si="3"/>
        <v>137750000</v>
      </c>
      <c r="AP9" s="45">
        <f t="shared" si="3"/>
        <v>137750000</v>
      </c>
      <c r="AQ9" s="45">
        <f t="shared" si="3"/>
        <v>0</v>
      </c>
      <c r="AR9" s="45">
        <f t="shared" si="3"/>
        <v>0</v>
      </c>
      <c r="AS9" s="45">
        <f t="shared" si="3"/>
        <v>0</v>
      </c>
      <c r="AT9" s="45">
        <f t="shared" si="3"/>
        <v>0</v>
      </c>
      <c r="AU9" s="45">
        <f t="shared" si="3"/>
        <v>0</v>
      </c>
      <c r="AV9" s="45">
        <f t="shared" si="3"/>
        <v>0</v>
      </c>
      <c r="AW9" s="45">
        <f t="shared" si="3"/>
        <v>0</v>
      </c>
      <c r="AX9" s="45">
        <f t="shared" si="3"/>
        <v>0</v>
      </c>
      <c r="AY9" s="45">
        <f t="shared" si="3"/>
        <v>0</v>
      </c>
      <c r="AZ9" s="45">
        <f t="shared" si="3"/>
        <v>171906000</v>
      </c>
      <c r="BA9" s="45">
        <f t="shared" si="3"/>
        <v>171906000</v>
      </c>
      <c r="BB9" s="45">
        <f t="shared" si="3"/>
        <v>0</v>
      </c>
      <c r="BC9" s="45">
        <f t="shared" si="3"/>
        <v>0</v>
      </c>
      <c r="BD9" s="45">
        <f t="shared" si="3"/>
        <v>0</v>
      </c>
      <c r="BE9" s="45">
        <f t="shared" si="3"/>
        <v>0</v>
      </c>
      <c r="BF9" s="45">
        <f t="shared" si="3"/>
        <v>0</v>
      </c>
      <c r="BG9" s="45">
        <f t="shared" si="3"/>
        <v>0</v>
      </c>
      <c r="BH9" s="45">
        <f t="shared" si="3"/>
        <v>0</v>
      </c>
      <c r="BI9" s="45">
        <f t="shared" si="3"/>
        <v>0</v>
      </c>
      <c r="BJ9" s="45">
        <f t="shared" si="3"/>
        <v>0</v>
      </c>
      <c r="BK9" s="45">
        <f t="shared" si="3"/>
        <v>276281695.27999997</v>
      </c>
      <c r="BL9" s="45">
        <f t="shared" si="3"/>
        <v>276281695.27999997</v>
      </c>
      <c r="BM9" s="45">
        <f t="shared" si="3"/>
        <v>0</v>
      </c>
      <c r="BN9" s="45">
        <f t="shared" si="3"/>
        <v>0</v>
      </c>
      <c r="BO9" s="45">
        <f t="shared" si="3"/>
        <v>0</v>
      </c>
      <c r="BP9" s="45">
        <f t="shared" si="3"/>
        <v>0</v>
      </c>
      <c r="BQ9" s="45">
        <f t="shared" si="3"/>
        <v>0</v>
      </c>
      <c r="BR9" s="45">
        <f t="shared" si="3"/>
        <v>0</v>
      </c>
      <c r="BS9" s="45">
        <f t="shared" si="3"/>
        <v>0</v>
      </c>
      <c r="BT9" s="45">
        <f t="shared" si="3"/>
        <v>0</v>
      </c>
      <c r="BU9" s="46">
        <f t="shared" si="3"/>
        <v>0</v>
      </c>
      <c r="BV9" s="45">
        <f>SUBTOTAL(9,BV10:BV11)</f>
        <v>701066095.27999997</v>
      </c>
      <c r="BW9" s="47"/>
    </row>
    <row r="10" spans="1:75" s="190" customFormat="1" ht="159" customHeight="1" x14ac:dyDescent="0.2">
      <c r="A10" s="206">
        <v>1</v>
      </c>
      <c r="B10" s="215" t="s">
        <v>19</v>
      </c>
      <c r="C10" s="17" t="s">
        <v>324</v>
      </c>
      <c r="D10" s="17" t="s">
        <v>21</v>
      </c>
      <c r="E10" s="16" t="s">
        <v>325</v>
      </c>
      <c r="F10" s="6" t="s">
        <v>326</v>
      </c>
      <c r="G10" s="17" t="s">
        <v>327</v>
      </c>
      <c r="H10" s="16" t="s">
        <v>328</v>
      </c>
      <c r="I10" s="6">
        <v>12</v>
      </c>
      <c r="J10" s="6" t="s">
        <v>329</v>
      </c>
      <c r="K10" s="15">
        <v>18</v>
      </c>
      <c r="L10" s="6" t="s">
        <v>330</v>
      </c>
      <c r="M10" s="6">
        <v>1</v>
      </c>
      <c r="N10" s="206">
        <v>1202</v>
      </c>
      <c r="O10" s="207" t="s">
        <v>20</v>
      </c>
      <c r="P10" s="6" t="s">
        <v>331</v>
      </c>
      <c r="Q10" s="6">
        <v>1202004</v>
      </c>
      <c r="R10" s="6">
        <v>1202004</v>
      </c>
      <c r="S10" s="17" t="s">
        <v>1612</v>
      </c>
      <c r="T10" s="6" t="s">
        <v>332</v>
      </c>
      <c r="U10" s="6">
        <v>120200400</v>
      </c>
      <c r="V10" s="6">
        <v>120200400</v>
      </c>
      <c r="W10" s="48" t="s">
        <v>333</v>
      </c>
      <c r="X10" s="49" t="s">
        <v>8</v>
      </c>
      <c r="Y10" s="6">
        <v>12</v>
      </c>
      <c r="Z10" s="6">
        <v>12</v>
      </c>
      <c r="AA10" s="6">
        <v>12</v>
      </c>
      <c r="AB10" s="6">
        <v>12</v>
      </c>
      <c r="AC10" s="6">
        <v>12</v>
      </c>
      <c r="AD10" s="50">
        <f>AE10+AF10+AG10+AH10+AI10+AJ10+AK10+AL10+AM10+AN10</f>
        <v>112128400</v>
      </c>
      <c r="AE10" s="51">
        <v>112128400</v>
      </c>
      <c r="AF10" s="51"/>
      <c r="AG10" s="51"/>
      <c r="AH10" s="51"/>
      <c r="AI10" s="51"/>
      <c r="AJ10" s="51"/>
      <c r="AK10" s="52"/>
      <c r="AL10" s="52"/>
      <c r="AM10" s="52"/>
      <c r="AN10" s="52"/>
      <c r="AO10" s="52">
        <f>AP10+AQ10+AR10+AS10+AT10+AU10+AV10+AW10+AX10+AY10</f>
        <v>114000000</v>
      </c>
      <c r="AP10" s="52">
        <v>114000000</v>
      </c>
      <c r="AQ10" s="52"/>
      <c r="AR10" s="52"/>
      <c r="AS10" s="52"/>
      <c r="AT10" s="52"/>
      <c r="AU10" s="52"/>
      <c r="AV10" s="52"/>
      <c r="AW10" s="52"/>
      <c r="AX10" s="52"/>
      <c r="AY10" s="52"/>
      <c r="AZ10" s="52">
        <f>BA10+BB10+BC10+BD10+BE10+BF10+BG10+BH10+BI10+BJ10</f>
        <v>114000000</v>
      </c>
      <c r="BA10" s="52">
        <v>114000000</v>
      </c>
      <c r="BB10" s="52"/>
      <c r="BC10" s="52"/>
      <c r="BD10" s="52"/>
      <c r="BE10" s="52"/>
      <c r="BF10" s="52"/>
      <c r="BG10" s="52"/>
      <c r="BH10" s="52"/>
      <c r="BI10" s="52"/>
      <c r="BJ10" s="52"/>
      <c r="BK10" s="52">
        <f>BL10+BM10+BN10+BO10+BP10+BQ10+BR10+BS10+BT10+BU10</f>
        <v>130286695.27999999</v>
      </c>
      <c r="BL10" s="52">
        <v>130286695.27999999</v>
      </c>
      <c r="BM10" s="52"/>
      <c r="BN10" s="52"/>
      <c r="BO10" s="52"/>
      <c r="BP10" s="52"/>
      <c r="BQ10" s="52"/>
      <c r="BR10" s="52"/>
      <c r="BS10" s="52"/>
      <c r="BT10" s="52"/>
      <c r="BU10" s="53"/>
      <c r="BV10" s="54">
        <f>AD10+AO10+AZ10+BK10</f>
        <v>470415095.27999997</v>
      </c>
      <c r="BW10" s="55"/>
    </row>
    <row r="11" spans="1:75" s="190" customFormat="1" ht="151.5" customHeight="1" x14ac:dyDescent="0.2">
      <c r="A11" s="206">
        <v>1</v>
      </c>
      <c r="B11" s="215" t="s">
        <v>19</v>
      </c>
      <c r="C11" s="56" t="s">
        <v>334</v>
      </c>
      <c r="D11" s="17" t="s">
        <v>21</v>
      </c>
      <c r="E11" s="16" t="s">
        <v>325</v>
      </c>
      <c r="F11" s="6" t="s">
        <v>326</v>
      </c>
      <c r="G11" s="17" t="s">
        <v>327</v>
      </c>
      <c r="H11" s="16" t="s">
        <v>328</v>
      </c>
      <c r="I11" s="6">
        <v>12</v>
      </c>
      <c r="J11" s="6" t="s">
        <v>329</v>
      </c>
      <c r="K11" s="15">
        <v>18</v>
      </c>
      <c r="L11" s="6" t="s">
        <v>330</v>
      </c>
      <c r="M11" s="206">
        <v>1</v>
      </c>
      <c r="N11" s="206">
        <v>1202</v>
      </c>
      <c r="O11" s="207" t="s">
        <v>20</v>
      </c>
      <c r="P11" s="6" t="s">
        <v>335</v>
      </c>
      <c r="Q11" s="14" t="s">
        <v>77</v>
      </c>
      <c r="R11" s="13" t="s">
        <v>1641</v>
      </c>
      <c r="S11" s="56" t="s">
        <v>1643</v>
      </c>
      <c r="T11" s="14" t="s">
        <v>336</v>
      </c>
      <c r="U11" s="14" t="s">
        <v>77</v>
      </c>
      <c r="V11" s="13" t="s">
        <v>1642</v>
      </c>
      <c r="W11" s="57" t="s">
        <v>337</v>
      </c>
      <c r="X11" s="49" t="s">
        <v>9</v>
      </c>
      <c r="Y11" s="6">
        <v>12</v>
      </c>
      <c r="Z11" s="6">
        <v>1</v>
      </c>
      <c r="AA11" s="6">
        <v>3</v>
      </c>
      <c r="AB11" s="6">
        <v>4</v>
      </c>
      <c r="AC11" s="6">
        <v>4</v>
      </c>
      <c r="AD11" s="50">
        <f>AE11+AF11+AG11+AH11+AI11+AJ11+AK11+AL11+AM11+AN11</f>
        <v>3000000</v>
      </c>
      <c r="AE11" s="51">
        <v>3000000</v>
      </c>
      <c r="AF11" s="51"/>
      <c r="AG11" s="51"/>
      <c r="AH11" s="51"/>
      <c r="AI11" s="51"/>
      <c r="AJ11" s="51"/>
      <c r="AK11" s="52"/>
      <c r="AL11" s="52"/>
      <c r="AM11" s="52"/>
      <c r="AN11" s="52"/>
      <c r="AO11" s="52">
        <f>AP11+AQ11+AR11+AS11+AT11+AU11+AV11+AW11+AX11+AY11</f>
        <v>23750000</v>
      </c>
      <c r="AP11" s="52">
        <v>23750000</v>
      </c>
      <c r="AQ11" s="52"/>
      <c r="AR11" s="52"/>
      <c r="AS11" s="52"/>
      <c r="AT11" s="52"/>
      <c r="AU11" s="52"/>
      <c r="AV11" s="52"/>
      <c r="AW11" s="52"/>
      <c r="AX11" s="52"/>
      <c r="AY11" s="52"/>
      <c r="AZ11" s="52">
        <f>BA11+BB11+BC11+BD11+BE11+BF11+BG11+BH11+BI11+BJ11</f>
        <v>57906000</v>
      </c>
      <c r="BA11" s="52">
        <v>57906000</v>
      </c>
      <c r="BB11" s="52"/>
      <c r="BC11" s="52"/>
      <c r="BD11" s="52"/>
      <c r="BE11" s="52"/>
      <c r="BF11" s="52"/>
      <c r="BG11" s="52"/>
      <c r="BH11" s="52"/>
      <c r="BI11" s="52"/>
      <c r="BJ11" s="52"/>
      <c r="BK11" s="52">
        <f>BL11+BM11+BN11+BO11+BP11+BQ11+BR11+BS11+BT11+BU11</f>
        <v>145995000</v>
      </c>
      <c r="BL11" s="52">
        <v>145995000</v>
      </c>
      <c r="BM11" s="52"/>
      <c r="BN11" s="52"/>
      <c r="BO11" s="52"/>
      <c r="BP11" s="52"/>
      <c r="BQ11" s="52"/>
      <c r="BR11" s="52"/>
      <c r="BS11" s="52"/>
      <c r="BT11" s="52"/>
      <c r="BU11" s="53"/>
      <c r="BV11" s="54">
        <f>AD11+AO11+AZ11+BK11</f>
        <v>230651000</v>
      </c>
      <c r="BW11" s="55"/>
    </row>
    <row r="12" spans="1:75" ht="15.75" customHeight="1" x14ac:dyDescent="0.2">
      <c r="A12" s="206"/>
      <c r="B12" s="215"/>
      <c r="C12" s="56"/>
      <c r="D12" s="17"/>
      <c r="E12" s="16"/>
      <c r="F12" s="6"/>
      <c r="G12" s="17"/>
      <c r="H12" s="16"/>
      <c r="I12" s="6"/>
      <c r="J12" s="6"/>
      <c r="K12" s="15"/>
      <c r="L12" s="6"/>
      <c r="M12" s="58">
        <v>2</v>
      </c>
      <c r="N12" s="58">
        <v>1203</v>
      </c>
      <c r="O12" s="59" t="s">
        <v>61</v>
      </c>
      <c r="P12" s="58"/>
      <c r="Q12" s="60"/>
      <c r="R12" s="60"/>
      <c r="S12" s="60"/>
      <c r="T12" s="60"/>
      <c r="U12" s="60"/>
      <c r="V12" s="60"/>
      <c r="W12" s="43"/>
      <c r="X12" s="44"/>
      <c r="Y12" s="44"/>
      <c r="Z12" s="44"/>
      <c r="AA12" s="44"/>
      <c r="AB12" s="44"/>
      <c r="AC12" s="41"/>
      <c r="AD12" s="45">
        <f t="shared" ref="AD12:BV12" si="4">AD13</f>
        <v>15000000</v>
      </c>
      <c r="AE12" s="45">
        <f t="shared" si="4"/>
        <v>15000000</v>
      </c>
      <c r="AF12" s="45">
        <f t="shared" si="4"/>
        <v>0</v>
      </c>
      <c r="AG12" s="45">
        <f t="shared" si="4"/>
        <v>0</v>
      </c>
      <c r="AH12" s="45">
        <f t="shared" si="4"/>
        <v>0</v>
      </c>
      <c r="AI12" s="45">
        <f t="shared" si="4"/>
        <v>0</v>
      </c>
      <c r="AJ12" s="45">
        <f t="shared" si="4"/>
        <v>0</v>
      </c>
      <c r="AK12" s="45">
        <f t="shared" si="4"/>
        <v>0</v>
      </c>
      <c r="AL12" s="45">
        <f t="shared" si="4"/>
        <v>0</v>
      </c>
      <c r="AM12" s="45">
        <f t="shared" si="4"/>
        <v>0</v>
      </c>
      <c r="AN12" s="45">
        <f t="shared" si="4"/>
        <v>0</v>
      </c>
      <c r="AO12" s="45">
        <f t="shared" si="4"/>
        <v>14250000</v>
      </c>
      <c r="AP12" s="45">
        <f t="shared" si="4"/>
        <v>14250000</v>
      </c>
      <c r="AQ12" s="45">
        <f t="shared" si="4"/>
        <v>0</v>
      </c>
      <c r="AR12" s="45">
        <f t="shared" si="4"/>
        <v>0</v>
      </c>
      <c r="AS12" s="45">
        <f t="shared" si="4"/>
        <v>0</v>
      </c>
      <c r="AT12" s="45">
        <f t="shared" si="4"/>
        <v>0</v>
      </c>
      <c r="AU12" s="45">
        <f t="shared" si="4"/>
        <v>0</v>
      </c>
      <c r="AV12" s="45">
        <f t="shared" si="4"/>
        <v>0</v>
      </c>
      <c r="AW12" s="45">
        <f t="shared" si="4"/>
        <v>0</v>
      </c>
      <c r="AX12" s="45">
        <f t="shared" si="4"/>
        <v>0</v>
      </c>
      <c r="AY12" s="45">
        <f t="shared" si="4"/>
        <v>0</v>
      </c>
      <c r="AZ12" s="45">
        <f t="shared" si="4"/>
        <v>14476500</v>
      </c>
      <c r="BA12" s="45">
        <f t="shared" si="4"/>
        <v>14476500</v>
      </c>
      <c r="BB12" s="45">
        <f t="shared" si="4"/>
        <v>0</v>
      </c>
      <c r="BC12" s="45">
        <f t="shared" si="4"/>
        <v>0</v>
      </c>
      <c r="BD12" s="45">
        <f t="shared" si="4"/>
        <v>0</v>
      </c>
      <c r="BE12" s="45">
        <f t="shared" si="4"/>
        <v>0</v>
      </c>
      <c r="BF12" s="45">
        <f t="shared" si="4"/>
        <v>0</v>
      </c>
      <c r="BG12" s="45">
        <f t="shared" si="4"/>
        <v>0</v>
      </c>
      <c r="BH12" s="45">
        <f t="shared" si="4"/>
        <v>0</v>
      </c>
      <c r="BI12" s="45">
        <f t="shared" si="4"/>
        <v>0</v>
      </c>
      <c r="BJ12" s="45">
        <f t="shared" si="4"/>
        <v>0</v>
      </c>
      <c r="BK12" s="45">
        <f t="shared" si="4"/>
        <v>19466000</v>
      </c>
      <c r="BL12" s="45">
        <f t="shared" si="4"/>
        <v>19466000</v>
      </c>
      <c r="BM12" s="45">
        <f t="shared" si="4"/>
        <v>0</v>
      </c>
      <c r="BN12" s="45">
        <f t="shared" si="4"/>
        <v>0</v>
      </c>
      <c r="BO12" s="45">
        <f t="shared" si="4"/>
        <v>0</v>
      </c>
      <c r="BP12" s="45">
        <f t="shared" si="4"/>
        <v>0</v>
      </c>
      <c r="BQ12" s="45">
        <f t="shared" si="4"/>
        <v>0</v>
      </c>
      <c r="BR12" s="45">
        <f t="shared" si="4"/>
        <v>0</v>
      </c>
      <c r="BS12" s="45">
        <f t="shared" si="4"/>
        <v>0</v>
      </c>
      <c r="BT12" s="45">
        <f t="shared" si="4"/>
        <v>0</v>
      </c>
      <c r="BU12" s="46">
        <f t="shared" si="4"/>
        <v>0</v>
      </c>
      <c r="BV12" s="45">
        <f t="shared" si="4"/>
        <v>63192500</v>
      </c>
      <c r="BW12" s="55"/>
    </row>
    <row r="13" spans="1:75" ht="147" customHeight="1" x14ac:dyDescent="0.2">
      <c r="A13" s="206">
        <v>1</v>
      </c>
      <c r="B13" s="215" t="s">
        <v>19</v>
      </c>
      <c r="C13" s="17" t="s">
        <v>324</v>
      </c>
      <c r="D13" s="17" t="s">
        <v>21</v>
      </c>
      <c r="E13" s="16" t="s">
        <v>325</v>
      </c>
      <c r="F13" s="6" t="s">
        <v>326</v>
      </c>
      <c r="G13" s="17" t="s">
        <v>327</v>
      </c>
      <c r="H13" s="16" t="s">
        <v>328</v>
      </c>
      <c r="I13" s="6">
        <v>12</v>
      </c>
      <c r="J13" s="6" t="s">
        <v>329</v>
      </c>
      <c r="K13" s="15">
        <v>18</v>
      </c>
      <c r="L13" s="6" t="s">
        <v>330</v>
      </c>
      <c r="M13" s="6"/>
      <c r="N13" s="206">
        <v>1203</v>
      </c>
      <c r="O13" s="207" t="s">
        <v>61</v>
      </c>
      <c r="P13" s="6" t="s">
        <v>338</v>
      </c>
      <c r="Q13" s="6">
        <v>1203002</v>
      </c>
      <c r="R13" s="6">
        <v>1203002</v>
      </c>
      <c r="S13" s="17" t="s">
        <v>62</v>
      </c>
      <c r="T13" s="6" t="s">
        <v>339</v>
      </c>
      <c r="U13" s="6">
        <v>120300200</v>
      </c>
      <c r="V13" s="6">
        <v>120300200</v>
      </c>
      <c r="W13" s="48" t="s">
        <v>340</v>
      </c>
      <c r="X13" s="49" t="s">
        <v>9</v>
      </c>
      <c r="Y13" s="6">
        <v>150</v>
      </c>
      <c r="Z13" s="6">
        <v>10</v>
      </c>
      <c r="AA13" s="6">
        <v>40</v>
      </c>
      <c r="AB13" s="6">
        <v>50</v>
      </c>
      <c r="AC13" s="6">
        <v>50</v>
      </c>
      <c r="AD13" s="50">
        <f>AE13+AF13+AG13+AH13+AI13+AJ13+AK13+AL13+AM13+AN13</f>
        <v>15000000</v>
      </c>
      <c r="AE13" s="51">
        <v>15000000</v>
      </c>
      <c r="AF13" s="51"/>
      <c r="AG13" s="51"/>
      <c r="AH13" s="51"/>
      <c r="AI13" s="51"/>
      <c r="AJ13" s="51"/>
      <c r="AK13" s="52"/>
      <c r="AL13" s="52"/>
      <c r="AM13" s="52"/>
      <c r="AN13" s="52"/>
      <c r="AO13" s="52">
        <f>AP13+AQ13+AR13+AS13+AT13+AU13+AV13+AW13+AX13+AY13</f>
        <v>14250000</v>
      </c>
      <c r="AP13" s="52">
        <v>14250000</v>
      </c>
      <c r="AQ13" s="52"/>
      <c r="AR13" s="52"/>
      <c r="AS13" s="52"/>
      <c r="AT13" s="52"/>
      <c r="AU13" s="52"/>
      <c r="AV13" s="52"/>
      <c r="AW13" s="52"/>
      <c r="AX13" s="52"/>
      <c r="AY13" s="52"/>
      <c r="AZ13" s="52">
        <f>BA13+BB13+BC13+BD13+BE13+BF13+BG13+BH13+BI13+BJ13</f>
        <v>14476500</v>
      </c>
      <c r="BA13" s="52">
        <v>14476500</v>
      </c>
      <c r="BB13" s="52"/>
      <c r="BC13" s="52"/>
      <c r="BD13" s="52"/>
      <c r="BE13" s="52"/>
      <c r="BF13" s="52"/>
      <c r="BG13" s="52"/>
      <c r="BH13" s="52"/>
      <c r="BI13" s="52"/>
      <c r="BJ13" s="52"/>
      <c r="BK13" s="52">
        <f>BL13+BM13+BN13+BO13+BP13+BQ13+BR13+BS13+BT13+BU13</f>
        <v>19466000</v>
      </c>
      <c r="BL13" s="52">
        <v>19466000</v>
      </c>
      <c r="BM13" s="52"/>
      <c r="BN13" s="52"/>
      <c r="BO13" s="52"/>
      <c r="BP13" s="52"/>
      <c r="BQ13" s="52"/>
      <c r="BR13" s="52"/>
      <c r="BS13" s="52"/>
      <c r="BT13" s="52"/>
      <c r="BU13" s="53"/>
      <c r="BV13" s="54">
        <f>AD13+AO13+AZ13+BK13</f>
        <v>63192500</v>
      </c>
      <c r="BW13" s="55"/>
    </row>
    <row r="14" spans="1:75" ht="15.75" customHeight="1" x14ac:dyDescent="0.2">
      <c r="A14" s="206"/>
      <c r="B14" s="215"/>
      <c r="C14" s="56"/>
      <c r="D14" s="17"/>
      <c r="E14" s="16"/>
      <c r="F14" s="6"/>
      <c r="G14" s="17"/>
      <c r="H14" s="16"/>
      <c r="I14" s="6"/>
      <c r="J14" s="6"/>
      <c r="K14" s="15"/>
      <c r="L14" s="6"/>
      <c r="M14" s="58">
        <v>3</v>
      </c>
      <c r="N14" s="58">
        <v>1206</v>
      </c>
      <c r="O14" s="59" t="s">
        <v>63</v>
      </c>
      <c r="P14" s="58"/>
      <c r="Q14" s="60"/>
      <c r="R14" s="60"/>
      <c r="S14" s="60"/>
      <c r="T14" s="60"/>
      <c r="U14" s="60"/>
      <c r="V14" s="60"/>
      <c r="W14" s="43"/>
      <c r="X14" s="44"/>
      <c r="Y14" s="44"/>
      <c r="Z14" s="44"/>
      <c r="AA14" s="44"/>
      <c r="AB14" s="44"/>
      <c r="AC14" s="41"/>
      <c r="AD14" s="61">
        <f t="shared" ref="AD14:BV14" si="5">SUBTOTAL(9,AD15)</f>
        <v>15000000</v>
      </c>
      <c r="AE14" s="61">
        <f t="shared" si="5"/>
        <v>15000000</v>
      </c>
      <c r="AF14" s="61">
        <f t="shared" si="5"/>
        <v>0</v>
      </c>
      <c r="AG14" s="61">
        <f t="shared" si="5"/>
        <v>0</v>
      </c>
      <c r="AH14" s="61">
        <f t="shared" si="5"/>
        <v>0</v>
      </c>
      <c r="AI14" s="61">
        <f t="shared" si="5"/>
        <v>0</v>
      </c>
      <c r="AJ14" s="61">
        <f t="shared" si="5"/>
        <v>0</v>
      </c>
      <c r="AK14" s="61">
        <f t="shared" si="5"/>
        <v>0</v>
      </c>
      <c r="AL14" s="61">
        <f t="shared" si="5"/>
        <v>0</v>
      </c>
      <c r="AM14" s="61">
        <f t="shared" si="5"/>
        <v>0</v>
      </c>
      <c r="AN14" s="61">
        <f t="shared" si="5"/>
        <v>0</v>
      </c>
      <c r="AO14" s="61">
        <f t="shared" si="5"/>
        <v>9500000</v>
      </c>
      <c r="AP14" s="61">
        <f t="shared" si="5"/>
        <v>9500000</v>
      </c>
      <c r="AQ14" s="61">
        <f t="shared" si="5"/>
        <v>0</v>
      </c>
      <c r="AR14" s="61">
        <f t="shared" si="5"/>
        <v>0</v>
      </c>
      <c r="AS14" s="61">
        <f t="shared" si="5"/>
        <v>0</v>
      </c>
      <c r="AT14" s="61">
        <f t="shared" si="5"/>
        <v>0</v>
      </c>
      <c r="AU14" s="61">
        <f t="shared" si="5"/>
        <v>0</v>
      </c>
      <c r="AV14" s="61">
        <f t="shared" si="5"/>
        <v>0</v>
      </c>
      <c r="AW14" s="61">
        <f t="shared" si="5"/>
        <v>0</v>
      </c>
      <c r="AX14" s="61">
        <f t="shared" si="5"/>
        <v>0</v>
      </c>
      <c r="AY14" s="61">
        <f t="shared" si="5"/>
        <v>0</v>
      </c>
      <c r="AZ14" s="61">
        <f t="shared" si="5"/>
        <v>14476500</v>
      </c>
      <c r="BA14" s="61">
        <f t="shared" si="5"/>
        <v>14476500</v>
      </c>
      <c r="BB14" s="61">
        <f t="shared" si="5"/>
        <v>0</v>
      </c>
      <c r="BC14" s="61">
        <f t="shared" si="5"/>
        <v>0</v>
      </c>
      <c r="BD14" s="61">
        <f t="shared" si="5"/>
        <v>0</v>
      </c>
      <c r="BE14" s="61">
        <f t="shared" si="5"/>
        <v>0</v>
      </c>
      <c r="BF14" s="61">
        <f t="shared" si="5"/>
        <v>0</v>
      </c>
      <c r="BG14" s="61">
        <f t="shared" si="5"/>
        <v>0</v>
      </c>
      <c r="BH14" s="61">
        <f t="shared" si="5"/>
        <v>0</v>
      </c>
      <c r="BI14" s="61">
        <f t="shared" si="5"/>
        <v>0</v>
      </c>
      <c r="BJ14" s="61">
        <f t="shared" si="5"/>
        <v>0</v>
      </c>
      <c r="BK14" s="61">
        <f t="shared" si="5"/>
        <v>19466000</v>
      </c>
      <c r="BL14" s="61">
        <f t="shared" si="5"/>
        <v>19466000</v>
      </c>
      <c r="BM14" s="61">
        <f t="shared" si="5"/>
        <v>0</v>
      </c>
      <c r="BN14" s="61">
        <f t="shared" si="5"/>
        <v>0</v>
      </c>
      <c r="BO14" s="61">
        <f t="shared" si="5"/>
        <v>0</v>
      </c>
      <c r="BP14" s="61">
        <f t="shared" si="5"/>
        <v>0</v>
      </c>
      <c r="BQ14" s="61">
        <f t="shared" si="5"/>
        <v>0</v>
      </c>
      <c r="BR14" s="61">
        <f t="shared" si="5"/>
        <v>0</v>
      </c>
      <c r="BS14" s="61">
        <f t="shared" si="5"/>
        <v>0</v>
      </c>
      <c r="BT14" s="61">
        <f t="shared" si="5"/>
        <v>0</v>
      </c>
      <c r="BU14" s="62">
        <f t="shared" si="5"/>
        <v>0</v>
      </c>
      <c r="BV14" s="61">
        <f t="shared" si="5"/>
        <v>58442500</v>
      </c>
      <c r="BW14" s="55"/>
    </row>
    <row r="15" spans="1:75" s="190" customFormat="1" ht="148.5" customHeight="1" x14ac:dyDescent="0.2">
      <c r="A15" s="206">
        <v>1</v>
      </c>
      <c r="B15" s="215" t="s">
        <v>19</v>
      </c>
      <c r="C15" s="17" t="s">
        <v>324</v>
      </c>
      <c r="D15" s="17" t="s">
        <v>21</v>
      </c>
      <c r="E15" s="16" t="s">
        <v>325</v>
      </c>
      <c r="F15" s="6" t="s">
        <v>326</v>
      </c>
      <c r="G15" s="17" t="s">
        <v>327</v>
      </c>
      <c r="H15" s="16" t="s">
        <v>328</v>
      </c>
      <c r="I15" s="6">
        <v>12</v>
      </c>
      <c r="J15" s="6" t="s">
        <v>329</v>
      </c>
      <c r="K15" s="15">
        <v>18</v>
      </c>
      <c r="L15" s="6" t="s">
        <v>330</v>
      </c>
      <c r="M15" s="206">
        <v>3</v>
      </c>
      <c r="N15" s="206">
        <v>1206</v>
      </c>
      <c r="O15" s="207" t="s">
        <v>63</v>
      </c>
      <c r="P15" s="6" t="s">
        <v>341</v>
      </c>
      <c r="Q15" s="6">
        <v>1206005</v>
      </c>
      <c r="R15" s="6">
        <v>1206005</v>
      </c>
      <c r="S15" s="17" t="s">
        <v>64</v>
      </c>
      <c r="T15" s="6" t="s">
        <v>342</v>
      </c>
      <c r="U15" s="6">
        <v>120600500</v>
      </c>
      <c r="V15" s="6">
        <v>120600500</v>
      </c>
      <c r="W15" s="48" t="s">
        <v>1613</v>
      </c>
      <c r="X15" s="49" t="s">
        <v>9</v>
      </c>
      <c r="Y15" s="6">
        <v>100</v>
      </c>
      <c r="Z15" s="6">
        <v>15</v>
      </c>
      <c r="AA15" s="6">
        <v>20</v>
      </c>
      <c r="AB15" s="6">
        <v>30</v>
      </c>
      <c r="AC15" s="6">
        <v>35</v>
      </c>
      <c r="AD15" s="50">
        <f>AE15+AF15+AG15+AH15+AI15+AJ15+AK15+AL15+AM15+AN15</f>
        <v>15000000</v>
      </c>
      <c r="AE15" s="51">
        <v>15000000</v>
      </c>
      <c r="AF15" s="51"/>
      <c r="AG15" s="51"/>
      <c r="AH15" s="51"/>
      <c r="AI15" s="51"/>
      <c r="AJ15" s="51"/>
      <c r="AK15" s="52"/>
      <c r="AL15" s="52"/>
      <c r="AM15" s="52"/>
      <c r="AN15" s="52"/>
      <c r="AO15" s="52">
        <f>AP15+AQ15+AR15+AS15+AT15+AU15+AV15+AW15+AX15+AY15</f>
        <v>9500000</v>
      </c>
      <c r="AP15" s="52">
        <v>9500000</v>
      </c>
      <c r="AQ15" s="52"/>
      <c r="AR15" s="52"/>
      <c r="AS15" s="52"/>
      <c r="AT15" s="52"/>
      <c r="AU15" s="52"/>
      <c r="AV15" s="52"/>
      <c r="AW15" s="52"/>
      <c r="AX15" s="52"/>
      <c r="AY15" s="52"/>
      <c r="AZ15" s="52">
        <f>BA15+BB15+BC15+BD15+BE15+BF15+BG15+BH15+BI15+BJ15</f>
        <v>14476500</v>
      </c>
      <c r="BA15" s="52">
        <v>14476500</v>
      </c>
      <c r="BB15" s="52"/>
      <c r="BC15" s="52"/>
      <c r="BD15" s="52"/>
      <c r="BE15" s="52"/>
      <c r="BF15" s="52"/>
      <c r="BG15" s="52"/>
      <c r="BH15" s="52"/>
      <c r="BI15" s="52"/>
      <c r="BJ15" s="52"/>
      <c r="BK15" s="52">
        <f>BL15+BM15+BN15+BO15+BP15+BQ15+BR15+BS15+BT15+BU15</f>
        <v>19466000</v>
      </c>
      <c r="BL15" s="52">
        <v>19466000</v>
      </c>
      <c r="BM15" s="52"/>
      <c r="BN15" s="52"/>
      <c r="BO15" s="52"/>
      <c r="BP15" s="52"/>
      <c r="BQ15" s="52"/>
      <c r="BR15" s="52"/>
      <c r="BS15" s="52"/>
      <c r="BT15" s="52"/>
      <c r="BU15" s="53"/>
      <c r="BV15" s="54">
        <f>AD15+AO15+AZ15+BK15</f>
        <v>58442500</v>
      </c>
      <c r="BW15" s="55"/>
    </row>
    <row r="16" spans="1:75" ht="15.75" customHeight="1" x14ac:dyDescent="0.2">
      <c r="A16" s="206"/>
      <c r="B16" s="215"/>
      <c r="C16" s="56"/>
      <c r="D16" s="17"/>
      <c r="E16" s="16"/>
      <c r="F16" s="6"/>
      <c r="G16" s="17"/>
      <c r="H16" s="16"/>
      <c r="I16" s="6"/>
      <c r="J16" s="6"/>
      <c r="K16" s="15"/>
      <c r="L16" s="6"/>
      <c r="M16" s="58">
        <v>11</v>
      </c>
      <c r="N16" s="58">
        <v>1903</v>
      </c>
      <c r="O16" s="59" t="s">
        <v>220</v>
      </c>
      <c r="P16" s="58"/>
      <c r="Q16" s="60"/>
      <c r="R16" s="60"/>
      <c r="S16" s="60"/>
      <c r="T16" s="60"/>
      <c r="U16" s="60"/>
      <c r="V16" s="60"/>
      <c r="W16" s="43"/>
      <c r="X16" s="44"/>
      <c r="Y16" s="44"/>
      <c r="Z16" s="44"/>
      <c r="AA16" s="44"/>
      <c r="AB16" s="44"/>
      <c r="AC16" s="41"/>
      <c r="AD16" s="61">
        <f>SUM(AD17:AD36)</f>
        <v>3750089693.8599997</v>
      </c>
      <c r="AE16" s="61">
        <f t="shared" ref="AE16:BV16" si="6">SUM(AE17:AE36)</f>
        <v>161590000</v>
      </c>
      <c r="AF16" s="61">
        <f t="shared" si="6"/>
        <v>1306328216.8600001</v>
      </c>
      <c r="AG16" s="61">
        <f t="shared" si="6"/>
        <v>0</v>
      </c>
      <c r="AH16" s="61">
        <f t="shared" si="6"/>
        <v>1930971477</v>
      </c>
      <c r="AI16" s="61">
        <f t="shared" si="6"/>
        <v>0</v>
      </c>
      <c r="AJ16" s="61">
        <f t="shared" si="6"/>
        <v>0</v>
      </c>
      <c r="AK16" s="61">
        <f t="shared" si="6"/>
        <v>0</v>
      </c>
      <c r="AL16" s="61">
        <f t="shared" si="6"/>
        <v>0</v>
      </c>
      <c r="AM16" s="61">
        <f t="shared" si="6"/>
        <v>0</v>
      </c>
      <c r="AN16" s="61">
        <f t="shared" si="6"/>
        <v>351200000</v>
      </c>
      <c r="AO16" s="61">
        <f t="shared" si="6"/>
        <v>2894209541</v>
      </c>
      <c r="AP16" s="61">
        <f t="shared" si="6"/>
        <v>161590000</v>
      </c>
      <c r="AQ16" s="61">
        <f t="shared" si="6"/>
        <v>1006619541</v>
      </c>
      <c r="AR16" s="61">
        <f t="shared" si="6"/>
        <v>0</v>
      </c>
      <c r="AS16" s="61">
        <f t="shared" si="6"/>
        <v>1726000000</v>
      </c>
      <c r="AT16" s="61">
        <f t="shared" si="6"/>
        <v>0</v>
      </c>
      <c r="AU16" s="61">
        <f t="shared" si="6"/>
        <v>0</v>
      </c>
      <c r="AV16" s="61">
        <f t="shared" si="6"/>
        <v>0</v>
      </c>
      <c r="AW16" s="61">
        <f t="shared" si="6"/>
        <v>0</v>
      </c>
      <c r="AX16" s="61">
        <f t="shared" si="6"/>
        <v>0</v>
      </c>
      <c r="AY16" s="61">
        <f t="shared" si="6"/>
        <v>0</v>
      </c>
      <c r="AZ16" s="61">
        <f t="shared" si="6"/>
        <v>2957794656</v>
      </c>
      <c r="BA16" s="61">
        <f t="shared" si="6"/>
        <v>161590000</v>
      </c>
      <c r="BB16" s="61">
        <f t="shared" si="6"/>
        <v>1036818130</v>
      </c>
      <c r="BC16" s="61">
        <f t="shared" si="6"/>
        <v>0</v>
      </c>
      <c r="BD16" s="61">
        <f t="shared" si="6"/>
        <v>1759386526</v>
      </c>
      <c r="BE16" s="61">
        <f t="shared" si="6"/>
        <v>0</v>
      </c>
      <c r="BF16" s="61">
        <f t="shared" si="6"/>
        <v>0</v>
      </c>
      <c r="BG16" s="61">
        <f t="shared" si="6"/>
        <v>0</v>
      </c>
      <c r="BH16" s="61">
        <f t="shared" si="6"/>
        <v>0</v>
      </c>
      <c r="BI16" s="61">
        <f t="shared" si="6"/>
        <v>0</v>
      </c>
      <c r="BJ16" s="61">
        <f t="shared" si="6"/>
        <v>0</v>
      </c>
      <c r="BK16" s="61">
        <f t="shared" si="6"/>
        <v>3001209640.9400001</v>
      </c>
      <c r="BL16" s="61">
        <f t="shared" si="6"/>
        <v>161590000</v>
      </c>
      <c r="BM16" s="61">
        <f t="shared" si="6"/>
        <v>1067922673.9400001</v>
      </c>
      <c r="BN16" s="61">
        <f t="shared" si="6"/>
        <v>0</v>
      </c>
      <c r="BO16" s="61">
        <f t="shared" si="6"/>
        <v>1771696967</v>
      </c>
      <c r="BP16" s="61">
        <f t="shared" si="6"/>
        <v>0</v>
      </c>
      <c r="BQ16" s="61">
        <f t="shared" si="6"/>
        <v>0</v>
      </c>
      <c r="BR16" s="61">
        <f t="shared" si="6"/>
        <v>0</v>
      </c>
      <c r="BS16" s="61">
        <f t="shared" si="6"/>
        <v>0</v>
      </c>
      <c r="BT16" s="61">
        <f t="shared" si="6"/>
        <v>0</v>
      </c>
      <c r="BU16" s="62">
        <f t="shared" si="6"/>
        <v>0</v>
      </c>
      <c r="BV16" s="61">
        <f t="shared" si="6"/>
        <v>12603303531.800001</v>
      </c>
      <c r="BW16" s="55"/>
    </row>
    <row r="17" spans="1:75" s="190" customFormat="1" ht="78.75" customHeight="1" x14ac:dyDescent="0.2">
      <c r="A17" s="206">
        <v>1</v>
      </c>
      <c r="B17" s="215" t="s">
        <v>19</v>
      </c>
      <c r="C17" s="17" t="s">
        <v>453</v>
      </c>
      <c r="D17" s="17" t="s">
        <v>232</v>
      </c>
      <c r="E17" s="16" t="s">
        <v>454</v>
      </c>
      <c r="F17" s="7" t="s">
        <v>455</v>
      </c>
      <c r="G17" s="17" t="s">
        <v>456</v>
      </c>
      <c r="H17" s="16" t="s">
        <v>457</v>
      </c>
      <c r="I17" s="6">
        <v>19</v>
      </c>
      <c r="J17" s="6" t="s">
        <v>1645</v>
      </c>
      <c r="K17" s="15">
        <v>2</v>
      </c>
      <c r="L17" s="6" t="s">
        <v>458</v>
      </c>
      <c r="M17" s="208">
        <v>11</v>
      </c>
      <c r="N17" s="206">
        <v>1903</v>
      </c>
      <c r="O17" s="207" t="s">
        <v>220</v>
      </c>
      <c r="P17" s="63" t="s">
        <v>459</v>
      </c>
      <c r="Q17" s="6">
        <v>1903001</v>
      </c>
      <c r="R17" s="6">
        <v>1903001</v>
      </c>
      <c r="S17" s="17" t="s">
        <v>123</v>
      </c>
      <c r="T17" s="63" t="s">
        <v>460</v>
      </c>
      <c r="U17" s="6">
        <v>190300100</v>
      </c>
      <c r="V17" s="6">
        <v>190300100</v>
      </c>
      <c r="W17" s="48" t="s">
        <v>461</v>
      </c>
      <c r="X17" s="49" t="s">
        <v>8</v>
      </c>
      <c r="Y17" s="6">
        <v>2</v>
      </c>
      <c r="Z17" s="6">
        <v>2</v>
      </c>
      <c r="AA17" s="6">
        <v>2</v>
      </c>
      <c r="AB17" s="6">
        <v>2</v>
      </c>
      <c r="AC17" s="6">
        <v>2</v>
      </c>
      <c r="AD17" s="50">
        <f t="shared" ref="AD17:AD36" si="7">AE17+AF17+AG17+AH17+AI17+AJ17+AK17+AL17+AM17+AN17</f>
        <v>96470000</v>
      </c>
      <c r="AE17" s="52">
        <v>15000000</v>
      </c>
      <c r="AF17" s="52"/>
      <c r="AG17" s="52"/>
      <c r="AH17" s="52">
        <v>81470000</v>
      </c>
      <c r="AI17" s="52"/>
      <c r="AJ17" s="52"/>
      <c r="AK17" s="52"/>
      <c r="AL17" s="52"/>
      <c r="AM17" s="52"/>
      <c r="AN17" s="52"/>
      <c r="AO17" s="52">
        <f>AP17+AQ17+AR17+AS17+AT17+AU17+AV17+AW17+AX17+AY17</f>
        <v>96470000</v>
      </c>
      <c r="AP17" s="52">
        <v>15000000</v>
      </c>
      <c r="AQ17" s="52"/>
      <c r="AR17" s="52"/>
      <c r="AS17" s="52">
        <v>81470000</v>
      </c>
      <c r="AT17" s="64"/>
      <c r="AU17" s="52"/>
      <c r="AV17" s="52"/>
      <c r="AW17" s="52"/>
      <c r="AX17" s="52"/>
      <c r="AY17" s="52"/>
      <c r="AZ17" s="52">
        <f t="shared" ref="AZ17:AZ36" si="8">BA17+BB17+BC17+BD17+BE17+BF17+BG17+BH17+BI17+BJ17</f>
        <v>96470000</v>
      </c>
      <c r="BA17" s="52">
        <v>15000000</v>
      </c>
      <c r="BB17" s="52"/>
      <c r="BC17" s="52"/>
      <c r="BD17" s="52">
        <v>81470000</v>
      </c>
      <c r="BE17" s="52"/>
      <c r="BF17" s="52"/>
      <c r="BG17" s="52"/>
      <c r="BH17" s="52"/>
      <c r="BI17" s="52"/>
      <c r="BJ17" s="52"/>
      <c r="BK17" s="52">
        <f t="shared" ref="BK17:BK36" si="9">BL17+BM17+BN17+BO17+BP17+BQ17+BR17+BS17+BT17+BU17</f>
        <v>96470000</v>
      </c>
      <c r="BL17" s="52">
        <v>15000000</v>
      </c>
      <c r="BM17" s="52"/>
      <c r="BN17" s="52"/>
      <c r="BO17" s="52">
        <v>81470000</v>
      </c>
      <c r="BP17" s="52"/>
      <c r="BQ17" s="52"/>
      <c r="BR17" s="52"/>
      <c r="BS17" s="52"/>
      <c r="BT17" s="52"/>
      <c r="BU17" s="53"/>
      <c r="BV17" s="54">
        <f t="shared" ref="BV17:BV36" si="10">AD17+AO17+AZ17+BK17</f>
        <v>385880000</v>
      </c>
      <c r="BW17" s="55"/>
    </row>
    <row r="18" spans="1:75" s="190" customFormat="1" ht="62.25" customHeight="1" x14ac:dyDescent="0.2">
      <c r="A18" s="206">
        <v>1</v>
      </c>
      <c r="B18" s="215" t="s">
        <v>19</v>
      </c>
      <c r="C18" s="17" t="s">
        <v>453</v>
      </c>
      <c r="D18" s="17" t="s">
        <v>221</v>
      </c>
      <c r="E18" s="16">
        <v>1</v>
      </c>
      <c r="F18" s="7">
        <v>2018</v>
      </c>
      <c r="G18" s="17" t="s">
        <v>462</v>
      </c>
      <c r="H18" s="16">
        <v>0</v>
      </c>
      <c r="I18" s="6">
        <v>19</v>
      </c>
      <c r="J18" s="6" t="s">
        <v>1645</v>
      </c>
      <c r="K18" s="15">
        <v>2</v>
      </c>
      <c r="L18" s="6" t="s">
        <v>458</v>
      </c>
      <c r="M18" s="208">
        <v>11</v>
      </c>
      <c r="N18" s="206">
        <v>1903</v>
      </c>
      <c r="O18" s="207" t="s">
        <v>220</v>
      </c>
      <c r="P18" s="63" t="s">
        <v>463</v>
      </c>
      <c r="Q18" s="6">
        <v>1903009</v>
      </c>
      <c r="R18" s="6">
        <v>1903009</v>
      </c>
      <c r="S18" s="17" t="s">
        <v>222</v>
      </c>
      <c r="T18" s="63" t="s">
        <v>464</v>
      </c>
      <c r="U18" s="6">
        <v>190300900</v>
      </c>
      <c r="V18" s="6">
        <v>190300900</v>
      </c>
      <c r="W18" s="48" t="s">
        <v>465</v>
      </c>
      <c r="X18" s="49" t="s">
        <v>9</v>
      </c>
      <c r="Y18" s="6">
        <v>2900</v>
      </c>
      <c r="Z18" s="6">
        <v>380</v>
      </c>
      <c r="AA18" s="6">
        <v>840</v>
      </c>
      <c r="AB18" s="6">
        <v>840</v>
      </c>
      <c r="AC18" s="6">
        <v>840</v>
      </c>
      <c r="AD18" s="50">
        <f t="shared" si="7"/>
        <v>70000000</v>
      </c>
      <c r="AE18" s="52"/>
      <c r="AF18" s="52"/>
      <c r="AG18" s="52"/>
      <c r="AH18" s="52">
        <v>70000000</v>
      </c>
      <c r="AI18" s="52"/>
      <c r="AJ18" s="52"/>
      <c r="AK18" s="52"/>
      <c r="AL18" s="52"/>
      <c r="AM18" s="52"/>
      <c r="AN18" s="52"/>
      <c r="AO18" s="52">
        <f t="shared" ref="AO18:AO36" si="11">AP18+AQ18+AR18+AS18+AT18+AU18+AV18+AW18+AX18+AY18</f>
        <v>40000000</v>
      </c>
      <c r="AP18" s="52"/>
      <c r="AQ18" s="52"/>
      <c r="AR18" s="52"/>
      <c r="AS18" s="52">
        <v>40000000</v>
      </c>
      <c r="AT18" s="64"/>
      <c r="AU18" s="52"/>
      <c r="AV18" s="52"/>
      <c r="AW18" s="52"/>
      <c r="AX18" s="52"/>
      <c r="AY18" s="52"/>
      <c r="AZ18" s="52">
        <f t="shared" si="8"/>
        <v>40000000</v>
      </c>
      <c r="BA18" s="52"/>
      <c r="BB18" s="52"/>
      <c r="BC18" s="52"/>
      <c r="BD18" s="52">
        <v>40000000</v>
      </c>
      <c r="BE18" s="52"/>
      <c r="BF18" s="52"/>
      <c r="BG18" s="52"/>
      <c r="BH18" s="52"/>
      <c r="BI18" s="52"/>
      <c r="BJ18" s="52"/>
      <c r="BK18" s="52">
        <f t="shared" si="9"/>
        <v>40000000</v>
      </c>
      <c r="BL18" s="52"/>
      <c r="BM18" s="52"/>
      <c r="BN18" s="52"/>
      <c r="BO18" s="52">
        <v>40000000</v>
      </c>
      <c r="BP18" s="52"/>
      <c r="BQ18" s="52"/>
      <c r="BR18" s="52"/>
      <c r="BS18" s="52"/>
      <c r="BT18" s="52"/>
      <c r="BU18" s="53"/>
      <c r="BV18" s="54">
        <f t="shared" si="10"/>
        <v>190000000</v>
      </c>
      <c r="BW18" s="55"/>
    </row>
    <row r="19" spans="1:75" s="190" customFormat="1" ht="72.75" customHeight="1" x14ac:dyDescent="0.2">
      <c r="A19" s="206">
        <v>1</v>
      </c>
      <c r="B19" s="215" t="s">
        <v>19</v>
      </c>
      <c r="C19" s="17" t="s">
        <v>453</v>
      </c>
      <c r="D19" s="17" t="s">
        <v>241</v>
      </c>
      <c r="E19" s="16">
        <v>0</v>
      </c>
      <c r="F19" s="65">
        <v>2018</v>
      </c>
      <c r="G19" s="17" t="s">
        <v>462</v>
      </c>
      <c r="H19" s="16">
        <v>0</v>
      </c>
      <c r="I19" s="6">
        <v>19</v>
      </c>
      <c r="J19" s="6" t="s">
        <v>1645</v>
      </c>
      <c r="K19" s="15">
        <v>2</v>
      </c>
      <c r="L19" s="6" t="s">
        <v>458</v>
      </c>
      <c r="M19" s="208">
        <v>11</v>
      </c>
      <c r="N19" s="206">
        <v>1903</v>
      </c>
      <c r="O19" s="207" t="s">
        <v>220</v>
      </c>
      <c r="P19" s="63" t="s">
        <v>466</v>
      </c>
      <c r="Q19" s="6">
        <v>1903010</v>
      </c>
      <c r="R19" s="6">
        <v>1903010</v>
      </c>
      <c r="S19" s="17" t="s">
        <v>242</v>
      </c>
      <c r="T19" s="63" t="s">
        <v>467</v>
      </c>
      <c r="U19" s="6">
        <v>190301000</v>
      </c>
      <c r="V19" s="6">
        <v>190301000</v>
      </c>
      <c r="W19" s="48" t="s">
        <v>468</v>
      </c>
      <c r="X19" s="49" t="s">
        <v>8</v>
      </c>
      <c r="Y19" s="6">
        <v>12</v>
      </c>
      <c r="Z19" s="6">
        <v>12</v>
      </c>
      <c r="AA19" s="6">
        <v>12</v>
      </c>
      <c r="AB19" s="6">
        <v>12</v>
      </c>
      <c r="AC19" s="6">
        <v>12</v>
      </c>
      <c r="AD19" s="50">
        <f t="shared" si="7"/>
        <v>15000000</v>
      </c>
      <c r="AE19" s="52">
        <v>15000000</v>
      </c>
      <c r="AF19" s="52"/>
      <c r="AG19" s="52"/>
      <c r="AH19" s="52"/>
      <c r="AI19" s="52"/>
      <c r="AJ19" s="52"/>
      <c r="AK19" s="52"/>
      <c r="AL19" s="52"/>
      <c r="AM19" s="52"/>
      <c r="AN19" s="52"/>
      <c r="AO19" s="52">
        <f t="shared" si="11"/>
        <v>15000000</v>
      </c>
      <c r="AP19" s="52">
        <v>15000000</v>
      </c>
      <c r="AQ19" s="66"/>
      <c r="AR19" s="52"/>
      <c r="AS19" s="52"/>
      <c r="AT19" s="64"/>
      <c r="AU19" s="52"/>
      <c r="AV19" s="52"/>
      <c r="AW19" s="52"/>
      <c r="AX19" s="52"/>
      <c r="AY19" s="52"/>
      <c r="AZ19" s="52">
        <f t="shared" si="8"/>
        <v>15000000</v>
      </c>
      <c r="BA19" s="52">
        <v>15000000</v>
      </c>
      <c r="BB19" s="52"/>
      <c r="BC19" s="52"/>
      <c r="BD19" s="52"/>
      <c r="BE19" s="52"/>
      <c r="BF19" s="52"/>
      <c r="BG19" s="52"/>
      <c r="BH19" s="52"/>
      <c r="BI19" s="52"/>
      <c r="BJ19" s="52"/>
      <c r="BK19" s="52">
        <f t="shared" si="9"/>
        <v>15000000</v>
      </c>
      <c r="BL19" s="52">
        <v>15000000</v>
      </c>
      <c r="BM19" s="52"/>
      <c r="BN19" s="52"/>
      <c r="BO19" s="52"/>
      <c r="BP19" s="52"/>
      <c r="BQ19" s="52"/>
      <c r="BR19" s="52"/>
      <c r="BS19" s="52"/>
      <c r="BT19" s="52"/>
      <c r="BU19" s="53"/>
      <c r="BV19" s="54">
        <f t="shared" si="10"/>
        <v>60000000</v>
      </c>
      <c r="BW19" s="55"/>
    </row>
    <row r="20" spans="1:75" s="190" customFormat="1" ht="74.25" customHeight="1" x14ac:dyDescent="0.2">
      <c r="A20" s="206">
        <v>1</v>
      </c>
      <c r="B20" s="215" t="s">
        <v>19</v>
      </c>
      <c r="C20" s="67" t="s">
        <v>453</v>
      </c>
      <c r="D20" s="17" t="s">
        <v>243</v>
      </c>
      <c r="E20" s="68">
        <v>99.679658302188997</v>
      </c>
      <c r="F20" s="7">
        <v>2018</v>
      </c>
      <c r="G20" s="17" t="s">
        <v>462</v>
      </c>
      <c r="H20" s="69">
        <v>99.68</v>
      </c>
      <c r="I20" s="6">
        <v>19</v>
      </c>
      <c r="J20" s="6" t="s">
        <v>1645</v>
      </c>
      <c r="K20" s="15">
        <v>2</v>
      </c>
      <c r="L20" s="6" t="s">
        <v>458</v>
      </c>
      <c r="M20" s="208">
        <v>11</v>
      </c>
      <c r="N20" s="206">
        <v>1903</v>
      </c>
      <c r="O20" s="207" t="s">
        <v>220</v>
      </c>
      <c r="P20" s="63" t="s">
        <v>469</v>
      </c>
      <c r="Q20" s="6">
        <v>1903011</v>
      </c>
      <c r="R20" s="6">
        <v>1903011</v>
      </c>
      <c r="S20" s="17" t="s">
        <v>231</v>
      </c>
      <c r="T20" s="63" t="s">
        <v>470</v>
      </c>
      <c r="U20" s="6">
        <v>190301100</v>
      </c>
      <c r="V20" s="6">
        <v>190301100</v>
      </c>
      <c r="W20" s="48" t="s">
        <v>471</v>
      </c>
      <c r="X20" s="49" t="s">
        <v>8</v>
      </c>
      <c r="Y20" s="6">
        <v>140</v>
      </c>
      <c r="Z20" s="6">
        <v>140</v>
      </c>
      <c r="AA20" s="6">
        <v>140</v>
      </c>
      <c r="AB20" s="6">
        <v>140</v>
      </c>
      <c r="AC20" s="6">
        <v>140</v>
      </c>
      <c r="AD20" s="50">
        <f t="shared" si="7"/>
        <v>65330077</v>
      </c>
      <c r="AE20" s="52"/>
      <c r="AF20" s="52"/>
      <c r="AG20" s="52"/>
      <c r="AH20" s="52">
        <v>65330077</v>
      </c>
      <c r="AI20" s="52"/>
      <c r="AJ20" s="52"/>
      <c r="AK20" s="52"/>
      <c r="AL20" s="52"/>
      <c r="AM20" s="52"/>
      <c r="AN20" s="52"/>
      <c r="AO20" s="52">
        <f t="shared" si="11"/>
        <v>20000000</v>
      </c>
      <c r="AP20" s="52"/>
      <c r="AQ20" s="52"/>
      <c r="AR20" s="52"/>
      <c r="AS20" s="52">
        <v>20000000</v>
      </c>
      <c r="AT20" s="64"/>
      <c r="AU20" s="52"/>
      <c r="AV20" s="52"/>
      <c r="AW20" s="52"/>
      <c r="AX20" s="52"/>
      <c r="AY20" s="52"/>
      <c r="AZ20" s="52">
        <f t="shared" si="8"/>
        <v>20000000</v>
      </c>
      <c r="BA20" s="52"/>
      <c r="BB20" s="52"/>
      <c r="BC20" s="52"/>
      <c r="BD20" s="52">
        <v>20000000</v>
      </c>
      <c r="BE20" s="52"/>
      <c r="BF20" s="52"/>
      <c r="BG20" s="52"/>
      <c r="BH20" s="52"/>
      <c r="BI20" s="52"/>
      <c r="BJ20" s="52"/>
      <c r="BK20" s="52">
        <f t="shared" si="9"/>
        <v>20000000</v>
      </c>
      <c r="BL20" s="52"/>
      <c r="BM20" s="52"/>
      <c r="BN20" s="52"/>
      <c r="BO20" s="52">
        <v>20000000</v>
      </c>
      <c r="BP20" s="52"/>
      <c r="BQ20" s="52"/>
      <c r="BR20" s="52"/>
      <c r="BS20" s="52"/>
      <c r="BT20" s="52"/>
      <c r="BU20" s="53"/>
      <c r="BV20" s="54">
        <f t="shared" si="10"/>
        <v>125330077</v>
      </c>
      <c r="BW20" s="55"/>
    </row>
    <row r="21" spans="1:75" s="190" customFormat="1" ht="78.75" customHeight="1" x14ac:dyDescent="0.2">
      <c r="A21" s="206">
        <v>1</v>
      </c>
      <c r="B21" s="215" t="s">
        <v>19</v>
      </c>
      <c r="C21" s="17" t="s">
        <v>453</v>
      </c>
      <c r="D21" s="17" t="s">
        <v>230</v>
      </c>
      <c r="E21" s="69">
        <v>13</v>
      </c>
      <c r="F21" s="65">
        <v>2018</v>
      </c>
      <c r="G21" s="70" t="s">
        <v>462</v>
      </c>
      <c r="H21" s="71">
        <v>13</v>
      </c>
      <c r="I21" s="6">
        <v>19</v>
      </c>
      <c r="J21" s="6" t="s">
        <v>1645</v>
      </c>
      <c r="K21" s="15">
        <v>2</v>
      </c>
      <c r="L21" s="6" t="s">
        <v>458</v>
      </c>
      <c r="M21" s="208">
        <v>11</v>
      </c>
      <c r="N21" s="206">
        <v>1903</v>
      </c>
      <c r="O21" s="207" t="s">
        <v>220</v>
      </c>
      <c r="P21" s="63" t="s">
        <v>469</v>
      </c>
      <c r="Q21" s="6">
        <v>1903011</v>
      </c>
      <c r="R21" s="6">
        <v>1903011</v>
      </c>
      <c r="S21" s="17" t="s">
        <v>231</v>
      </c>
      <c r="T21" s="63" t="s">
        <v>472</v>
      </c>
      <c r="U21" s="6">
        <v>190301101</v>
      </c>
      <c r="V21" s="6">
        <v>190301101</v>
      </c>
      <c r="W21" s="48" t="s">
        <v>473</v>
      </c>
      <c r="X21" s="49" t="s">
        <v>8</v>
      </c>
      <c r="Y21" s="6">
        <v>12</v>
      </c>
      <c r="Z21" s="6">
        <v>12</v>
      </c>
      <c r="AA21" s="6">
        <v>12</v>
      </c>
      <c r="AB21" s="6">
        <v>12</v>
      </c>
      <c r="AC21" s="6">
        <v>12</v>
      </c>
      <c r="AD21" s="50">
        <f t="shared" si="7"/>
        <v>69669923</v>
      </c>
      <c r="AE21" s="52">
        <f>7500000+7500000</f>
        <v>15000000</v>
      </c>
      <c r="AF21" s="52"/>
      <c r="AG21" s="52"/>
      <c r="AH21" s="52">
        <v>54669923</v>
      </c>
      <c r="AI21" s="52"/>
      <c r="AJ21" s="52"/>
      <c r="AK21" s="52"/>
      <c r="AL21" s="52"/>
      <c r="AM21" s="52"/>
      <c r="AN21" s="52"/>
      <c r="AO21" s="52">
        <f t="shared" si="11"/>
        <v>115000000</v>
      </c>
      <c r="AP21" s="52">
        <v>15000000</v>
      </c>
      <c r="AQ21" s="52"/>
      <c r="AR21" s="52"/>
      <c r="AS21" s="52">
        <v>100000000</v>
      </c>
      <c r="AT21" s="64"/>
      <c r="AU21" s="52"/>
      <c r="AV21" s="52"/>
      <c r="AW21" s="52"/>
      <c r="AX21" s="52"/>
      <c r="AY21" s="52"/>
      <c r="AZ21" s="52">
        <f t="shared" si="8"/>
        <v>115000000</v>
      </c>
      <c r="BA21" s="52">
        <v>15000000</v>
      </c>
      <c r="BB21" s="52"/>
      <c r="BC21" s="52"/>
      <c r="BD21" s="52">
        <v>100000000</v>
      </c>
      <c r="BE21" s="52"/>
      <c r="BF21" s="52"/>
      <c r="BG21" s="52"/>
      <c r="BH21" s="52"/>
      <c r="BI21" s="52"/>
      <c r="BJ21" s="52"/>
      <c r="BK21" s="52">
        <f t="shared" si="9"/>
        <v>115000000</v>
      </c>
      <c r="BL21" s="52">
        <v>15000000</v>
      </c>
      <c r="BM21" s="52"/>
      <c r="BN21" s="52"/>
      <c r="BO21" s="52">
        <v>100000000</v>
      </c>
      <c r="BP21" s="52"/>
      <c r="BQ21" s="52"/>
      <c r="BR21" s="52"/>
      <c r="BS21" s="52"/>
      <c r="BT21" s="52"/>
      <c r="BU21" s="53"/>
      <c r="BV21" s="54">
        <f t="shared" si="10"/>
        <v>414669923</v>
      </c>
      <c r="BW21" s="55"/>
    </row>
    <row r="22" spans="1:75" s="190" customFormat="1" ht="89.25" customHeight="1" x14ac:dyDescent="0.2">
      <c r="A22" s="206">
        <v>1</v>
      </c>
      <c r="B22" s="215" t="s">
        <v>19</v>
      </c>
      <c r="C22" s="17" t="s">
        <v>453</v>
      </c>
      <c r="D22" s="17" t="s">
        <v>1705</v>
      </c>
      <c r="E22" s="16" t="s">
        <v>474</v>
      </c>
      <c r="F22" s="7" t="s">
        <v>475</v>
      </c>
      <c r="G22" s="17" t="s">
        <v>476</v>
      </c>
      <c r="H22" s="16" t="s">
        <v>477</v>
      </c>
      <c r="I22" s="6">
        <v>19</v>
      </c>
      <c r="J22" s="6" t="s">
        <v>1645</v>
      </c>
      <c r="K22" s="15">
        <v>2</v>
      </c>
      <c r="L22" s="6" t="s">
        <v>458</v>
      </c>
      <c r="M22" s="208">
        <v>11</v>
      </c>
      <c r="N22" s="206">
        <v>1903</v>
      </c>
      <c r="O22" s="207" t="s">
        <v>220</v>
      </c>
      <c r="P22" s="63" t="s">
        <v>478</v>
      </c>
      <c r="Q22" s="6">
        <v>1903012</v>
      </c>
      <c r="R22" s="6">
        <v>1903012</v>
      </c>
      <c r="S22" s="17" t="s">
        <v>235</v>
      </c>
      <c r="T22" s="63" t="s">
        <v>479</v>
      </c>
      <c r="U22" s="6">
        <v>190301200</v>
      </c>
      <c r="V22" s="6">
        <v>190301200</v>
      </c>
      <c r="W22" s="48" t="s">
        <v>480</v>
      </c>
      <c r="X22" s="49" t="s">
        <v>8</v>
      </c>
      <c r="Y22" s="6">
        <v>4000</v>
      </c>
      <c r="Z22" s="6">
        <v>4000</v>
      </c>
      <c r="AA22" s="6">
        <v>4000</v>
      </c>
      <c r="AB22" s="6">
        <v>4000</v>
      </c>
      <c r="AC22" s="6">
        <v>4000</v>
      </c>
      <c r="AD22" s="50">
        <f t="shared" si="7"/>
        <v>898701477</v>
      </c>
      <c r="AE22" s="52"/>
      <c r="AF22" s="52"/>
      <c r="AG22" s="52"/>
      <c r="AH22" s="52">
        <v>803501477</v>
      </c>
      <c r="AI22" s="52"/>
      <c r="AJ22" s="52"/>
      <c r="AK22" s="52"/>
      <c r="AL22" s="52"/>
      <c r="AM22" s="52"/>
      <c r="AN22" s="52">
        <v>95200000</v>
      </c>
      <c r="AO22" s="52">
        <f t="shared" si="11"/>
        <v>670000000</v>
      </c>
      <c r="AP22" s="52"/>
      <c r="AQ22" s="52"/>
      <c r="AR22" s="52"/>
      <c r="AS22" s="52">
        <v>670000000</v>
      </c>
      <c r="AT22" s="64"/>
      <c r="AU22" s="52"/>
      <c r="AV22" s="52"/>
      <c r="AW22" s="52"/>
      <c r="AX22" s="52"/>
      <c r="AY22" s="52"/>
      <c r="AZ22" s="52">
        <f t="shared" si="8"/>
        <v>670000000</v>
      </c>
      <c r="BA22" s="52"/>
      <c r="BB22" s="52"/>
      <c r="BC22" s="52"/>
      <c r="BD22" s="52">
        <v>670000000</v>
      </c>
      <c r="BE22" s="52"/>
      <c r="BF22" s="52"/>
      <c r="BG22" s="52"/>
      <c r="BH22" s="52"/>
      <c r="BI22" s="52"/>
      <c r="BJ22" s="52"/>
      <c r="BK22" s="52">
        <f t="shared" si="9"/>
        <v>670000000</v>
      </c>
      <c r="BL22" s="52"/>
      <c r="BM22" s="52"/>
      <c r="BN22" s="52"/>
      <c r="BO22" s="52">
        <v>670000000</v>
      </c>
      <c r="BP22" s="52"/>
      <c r="BQ22" s="52"/>
      <c r="BR22" s="52"/>
      <c r="BS22" s="52"/>
      <c r="BT22" s="52"/>
      <c r="BU22" s="53"/>
      <c r="BV22" s="54">
        <f t="shared" si="10"/>
        <v>2908701477</v>
      </c>
      <c r="BW22" s="55"/>
    </row>
    <row r="23" spans="1:75" s="190" customFormat="1" ht="63" customHeight="1" x14ac:dyDescent="0.2">
      <c r="A23" s="206">
        <v>1</v>
      </c>
      <c r="B23" s="215" t="s">
        <v>19</v>
      </c>
      <c r="C23" s="17" t="s">
        <v>453</v>
      </c>
      <c r="D23" s="17" t="s">
        <v>233</v>
      </c>
      <c r="E23" s="16">
        <v>81.5</v>
      </c>
      <c r="F23" s="7">
        <v>2018</v>
      </c>
      <c r="G23" s="17" t="s">
        <v>481</v>
      </c>
      <c r="H23" s="16">
        <v>71.12</v>
      </c>
      <c r="I23" s="6">
        <v>19</v>
      </c>
      <c r="J23" s="6" t="s">
        <v>1645</v>
      </c>
      <c r="K23" s="15">
        <v>2</v>
      </c>
      <c r="L23" s="6" t="s">
        <v>458</v>
      </c>
      <c r="M23" s="208">
        <v>11</v>
      </c>
      <c r="N23" s="206">
        <v>1903</v>
      </c>
      <c r="O23" s="207" t="s">
        <v>220</v>
      </c>
      <c r="P23" s="63" t="s">
        <v>482</v>
      </c>
      <c r="Q23" s="6">
        <v>1903015</v>
      </c>
      <c r="R23" s="6">
        <v>1903015</v>
      </c>
      <c r="S23" s="17" t="s">
        <v>234</v>
      </c>
      <c r="T23" s="63" t="s">
        <v>483</v>
      </c>
      <c r="U23" s="6">
        <v>190301500</v>
      </c>
      <c r="V23" s="6">
        <v>190301500</v>
      </c>
      <c r="W23" s="48" t="s">
        <v>484</v>
      </c>
      <c r="X23" s="49" t="s">
        <v>8</v>
      </c>
      <c r="Y23" s="6">
        <v>12</v>
      </c>
      <c r="Z23" s="6">
        <v>12</v>
      </c>
      <c r="AA23" s="6">
        <v>12</v>
      </c>
      <c r="AB23" s="6">
        <v>12</v>
      </c>
      <c r="AC23" s="6">
        <v>12</v>
      </c>
      <c r="AD23" s="50">
        <f t="shared" si="7"/>
        <v>236000000</v>
      </c>
      <c r="AE23" s="52"/>
      <c r="AF23" s="52"/>
      <c r="AG23" s="52"/>
      <c r="AH23" s="52">
        <v>236000000</v>
      </c>
      <c r="AI23" s="52"/>
      <c r="AJ23" s="52"/>
      <c r="AK23" s="52"/>
      <c r="AL23" s="52"/>
      <c r="AM23" s="52"/>
      <c r="AN23" s="52"/>
      <c r="AO23" s="52">
        <f t="shared" si="11"/>
        <v>224530000</v>
      </c>
      <c r="AP23" s="52"/>
      <c r="AQ23" s="52"/>
      <c r="AR23" s="52"/>
      <c r="AS23" s="52">
        <v>224530000</v>
      </c>
      <c r="AT23" s="64"/>
      <c r="AU23" s="52"/>
      <c r="AV23" s="52"/>
      <c r="AW23" s="52"/>
      <c r="AX23" s="52"/>
      <c r="AY23" s="52"/>
      <c r="AZ23" s="52">
        <f t="shared" si="8"/>
        <v>224530000</v>
      </c>
      <c r="BA23" s="52"/>
      <c r="BB23" s="52"/>
      <c r="BC23" s="52"/>
      <c r="BD23" s="52">
        <v>224530000</v>
      </c>
      <c r="BE23" s="52"/>
      <c r="BF23" s="52"/>
      <c r="BG23" s="52"/>
      <c r="BH23" s="52"/>
      <c r="BI23" s="52"/>
      <c r="BJ23" s="52"/>
      <c r="BK23" s="52">
        <f t="shared" si="9"/>
        <v>224530000</v>
      </c>
      <c r="BL23" s="52"/>
      <c r="BM23" s="52"/>
      <c r="BN23" s="52"/>
      <c r="BO23" s="52">
        <v>224530000</v>
      </c>
      <c r="BP23" s="52"/>
      <c r="BQ23" s="52"/>
      <c r="BR23" s="52"/>
      <c r="BS23" s="52"/>
      <c r="BT23" s="52"/>
      <c r="BU23" s="53"/>
      <c r="BV23" s="54">
        <f t="shared" si="10"/>
        <v>909590000</v>
      </c>
      <c r="BW23" s="55"/>
    </row>
    <row r="24" spans="1:75" s="190" customFormat="1" ht="63" customHeight="1" x14ac:dyDescent="0.2">
      <c r="A24" s="206">
        <v>1</v>
      </c>
      <c r="B24" s="215" t="s">
        <v>19</v>
      </c>
      <c r="C24" s="17" t="s">
        <v>453</v>
      </c>
      <c r="D24" s="17" t="s">
        <v>236</v>
      </c>
      <c r="E24" s="68">
        <v>8.11</v>
      </c>
      <c r="F24" s="65">
        <v>2018</v>
      </c>
      <c r="G24" s="72" t="s">
        <v>462</v>
      </c>
      <c r="H24" s="16">
        <v>6.5</v>
      </c>
      <c r="I24" s="6">
        <v>19</v>
      </c>
      <c r="J24" s="6" t="s">
        <v>1645</v>
      </c>
      <c r="K24" s="15">
        <v>2</v>
      </c>
      <c r="L24" s="6" t="s">
        <v>458</v>
      </c>
      <c r="M24" s="208">
        <v>11</v>
      </c>
      <c r="N24" s="206">
        <v>1903</v>
      </c>
      <c r="O24" s="207" t="s">
        <v>220</v>
      </c>
      <c r="P24" s="63" t="s">
        <v>485</v>
      </c>
      <c r="Q24" s="6">
        <v>1903016</v>
      </c>
      <c r="R24" s="6">
        <v>1903016</v>
      </c>
      <c r="S24" s="17" t="s">
        <v>237</v>
      </c>
      <c r="T24" s="63" t="s">
        <v>486</v>
      </c>
      <c r="U24" s="6">
        <v>190301600</v>
      </c>
      <c r="V24" s="6">
        <v>190301600</v>
      </c>
      <c r="W24" s="48" t="s">
        <v>487</v>
      </c>
      <c r="X24" s="49" t="s">
        <v>8</v>
      </c>
      <c r="Y24" s="6">
        <v>240</v>
      </c>
      <c r="Z24" s="6">
        <v>240</v>
      </c>
      <c r="AA24" s="6">
        <v>240</v>
      </c>
      <c r="AB24" s="6">
        <v>240</v>
      </c>
      <c r="AC24" s="6">
        <v>240</v>
      </c>
      <c r="AD24" s="50">
        <f t="shared" si="7"/>
        <v>100000000</v>
      </c>
      <c r="AE24" s="52"/>
      <c r="AF24" s="52"/>
      <c r="AG24" s="52"/>
      <c r="AH24" s="52">
        <v>100000000</v>
      </c>
      <c r="AI24" s="52"/>
      <c r="AJ24" s="52"/>
      <c r="AK24" s="52"/>
      <c r="AL24" s="52"/>
      <c r="AM24" s="52"/>
      <c r="AN24" s="52"/>
      <c r="AO24" s="52">
        <f t="shared" si="11"/>
        <v>100000000</v>
      </c>
      <c r="AP24" s="52"/>
      <c r="AQ24" s="52"/>
      <c r="AR24" s="52"/>
      <c r="AS24" s="52">
        <v>100000000</v>
      </c>
      <c r="AT24" s="64"/>
      <c r="AU24" s="52"/>
      <c r="AV24" s="52"/>
      <c r="AW24" s="52"/>
      <c r="AX24" s="52"/>
      <c r="AY24" s="52"/>
      <c r="AZ24" s="52">
        <f t="shared" si="8"/>
        <v>100000000</v>
      </c>
      <c r="BA24" s="52"/>
      <c r="BB24" s="52"/>
      <c r="BC24" s="52"/>
      <c r="BD24" s="52">
        <v>100000000</v>
      </c>
      <c r="BE24" s="52"/>
      <c r="BF24" s="52"/>
      <c r="BG24" s="52"/>
      <c r="BH24" s="52"/>
      <c r="BI24" s="52"/>
      <c r="BJ24" s="52"/>
      <c r="BK24" s="52">
        <f t="shared" si="9"/>
        <v>100000000</v>
      </c>
      <c r="BL24" s="52"/>
      <c r="BM24" s="52"/>
      <c r="BN24" s="52"/>
      <c r="BO24" s="52">
        <v>100000000</v>
      </c>
      <c r="BP24" s="52"/>
      <c r="BQ24" s="52"/>
      <c r="BR24" s="52"/>
      <c r="BS24" s="52"/>
      <c r="BT24" s="52"/>
      <c r="BU24" s="53"/>
      <c r="BV24" s="54">
        <f t="shared" si="10"/>
        <v>400000000</v>
      </c>
      <c r="BW24" s="55"/>
    </row>
    <row r="25" spans="1:75" s="190" customFormat="1" ht="126" customHeight="1" x14ac:dyDescent="0.2">
      <c r="A25" s="206">
        <v>1</v>
      </c>
      <c r="B25" s="215" t="s">
        <v>19</v>
      </c>
      <c r="C25" s="17" t="s">
        <v>453</v>
      </c>
      <c r="D25" s="17" t="s">
        <v>246</v>
      </c>
      <c r="E25" s="16">
        <v>93.18</v>
      </c>
      <c r="F25" s="65">
        <v>2018</v>
      </c>
      <c r="G25" s="17" t="s">
        <v>462</v>
      </c>
      <c r="H25" s="73">
        <v>95</v>
      </c>
      <c r="I25" s="6">
        <v>19</v>
      </c>
      <c r="J25" s="6" t="s">
        <v>1645</v>
      </c>
      <c r="K25" s="15">
        <v>2</v>
      </c>
      <c r="L25" s="6" t="s">
        <v>458</v>
      </c>
      <c r="M25" s="208">
        <v>11</v>
      </c>
      <c r="N25" s="206">
        <v>1903</v>
      </c>
      <c r="O25" s="207" t="s">
        <v>220</v>
      </c>
      <c r="P25" s="74" t="s">
        <v>488</v>
      </c>
      <c r="Q25" s="6">
        <v>1903019</v>
      </c>
      <c r="R25" s="6">
        <v>1903019</v>
      </c>
      <c r="S25" s="17" t="s">
        <v>247</v>
      </c>
      <c r="T25" s="63" t="s">
        <v>489</v>
      </c>
      <c r="U25" s="6">
        <v>190301900</v>
      </c>
      <c r="V25" s="6">
        <v>190301900</v>
      </c>
      <c r="W25" s="48" t="s">
        <v>490</v>
      </c>
      <c r="X25" s="49" t="s">
        <v>8</v>
      </c>
      <c r="Y25" s="6">
        <v>75</v>
      </c>
      <c r="Z25" s="6">
        <v>75</v>
      </c>
      <c r="AA25" s="6">
        <v>75</v>
      </c>
      <c r="AB25" s="6">
        <v>75</v>
      </c>
      <c r="AC25" s="6">
        <v>75</v>
      </c>
      <c r="AD25" s="50">
        <f t="shared" si="7"/>
        <v>90000000</v>
      </c>
      <c r="AE25" s="52"/>
      <c r="AF25" s="52">
        <v>90000000</v>
      </c>
      <c r="AG25" s="52"/>
      <c r="AH25" s="52"/>
      <c r="AI25" s="52"/>
      <c r="AJ25" s="52"/>
      <c r="AK25" s="52"/>
      <c r="AL25" s="52"/>
      <c r="AM25" s="52"/>
      <c r="AN25" s="52"/>
      <c r="AO25" s="52">
        <f t="shared" si="11"/>
        <v>90000000</v>
      </c>
      <c r="AP25" s="52"/>
      <c r="AQ25" s="52">
        <v>90000000</v>
      </c>
      <c r="AR25" s="52"/>
      <c r="AS25" s="52"/>
      <c r="AT25" s="64"/>
      <c r="AU25" s="52"/>
      <c r="AV25" s="52"/>
      <c r="AW25" s="52"/>
      <c r="AX25" s="52"/>
      <c r="AY25" s="52"/>
      <c r="AZ25" s="52">
        <f t="shared" si="8"/>
        <v>90000000</v>
      </c>
      <c r="BA25" s="52"/>
      <c r="BB25" s="52">
        <v>90000000</v>
      </c>
      <c r="BC25" s="52"/>
      <c r="BD25" s="52"/>
      <c r="BE25" s="52"/>
      <c r="BF25" s="52"/>
      <c r="BG25" s="52"/>
      <c r="BH25" s="52"/>
      <c r="BI25" s="52"/>
      <c r="BJ25" s="52"/>
      <c r="BK25" s="52">
        <f t="shared" si="9"/>
        <v>90000000</v>
      </c>
      <c r="BL25" s="52"/>
      <c r="BM25" s="52">
        <v>90000000</v>
      </c>
      <c r="BN25" s="52"/>
      <c r="BO25" s="52"/>
      <c r="BP25" s="52"/>
      <c r="BQ25" s="52"/>
      <c r="BR25" s="52"/>
      <c r="BS25" s="52"/>
      <c r="BT25" s="52"/>
      <c r="BU25" s="53"/>
      <c r="BV25" s="54">
        <f t="shared" si="10"/>
        <v>360000000</v>
      </c>
      <c r="BW25" s="55"/>
    </row>
    <row r="26" spans="1:75" s="190" customFormat="1" ht="94.5" customHeight="1" x14ac:dyDescent="0.2">
      <c r="A26" s="206">
        <v>1</v>
      </c>
      <c r="B26" s="215" t="s">
        <v>19</v>
      </c>
      <c r="C26" s="17" t="s">
        <v>453</v>
      </c>
      <c r="D26" s="17" t="s">
        <v>223</v>
      </c>
      <c r="E26" s="16">
        <v>1.5</v>
      </c>
      <c r="F26" s="65">
        <v>2018</v>
      </c>
      <c r="G26" s="17" t="s">
        <v>491</v>
      </c>
      <c r="H26" s="16">
        <v>1</v>
      </c>
      <c r="I26" s="6">
        <v>19</v>
      </c>
      <c r="J26" s="6" t="s">
        <v>1645</v>
      </c>
      <c r="K26" s="15">
        <v>2</v>
      </c>
      <c r="L26" s="6" t="s">
        <v>458</v>
      </c>
      <c r="M26" s="208">
        <v>11</v>
      </c>
      <c r="N26" s="206">
        <v>1903</v>
      </c>
      <c r="O26" s="207" t="s">
        <v>220</v>
      </c>
      <c r="P26" s="74" t="s">
        <v>492</v>
      </c>
      <c r="Q26" s="6">
        <v>1903023</v>
      </c>
      <c r="R26" s="6">
        <v>1903023</v>
      </c>
      <c r="S26" s="17" t="s">
        <v>224</v>
      </c>
      <c r="T26" s="63" t="s">
        <v>493</v>
      </c>
      <c r="U26" s="6">
        <v>190302300</v>
      </c>
      <c r="V26" s="6">
        <v>190302300</v>
      </c>
      <c r="W26" s="48" t="s">
        <v>494</v>
      </c>
      <c r="X26" s="49" t="s">
        <v>8</v>
      </c>
      <c r="Y26" s="6">
        <v>12</v>
      </c>
      <c r="Z26" s="6">
        <v>12</v>
      </c>
      <c r="AA26" s="6">
        <v>12</v>
      </c>
      <c r="AB26" s="6">
        <v>12</v>
      </c>
      <c r="AC26" s="6">
        <v>12</v>
      </c>
      <c r="AD26" s="50">
        <f t="shared" si="7"/>
        <v>81828216.859999999</v>
      </c>
      <c r="AE26" s="52"/>
      <c r="AF26" s="52">
        <v>81828216.859999999</v>
      </c>
      <c r="AG26" s="52"/>
      <c r="AH26" s="52"/>
      <c r="AI26" s="52"/>
      <c r="AJ26" s="52"/>
      <c r="AK26" s="52"/>
      <c r="AL26" s="52"/>
      <c r="AM26" s="52"/>
      <c r="AN26" s="52"/>
      <c r="AO26" s="52">
        <f t="shared" si="11"/>
        <v>30000000</v>
      </c>
      <c r="AP26" s="52"/>
      <c r="AQ26" s="52"/>
      <c r="AR26" s="52"/>
      <c r="AS26" s="52">
        <v>30000000</v>
      </c>
      <c r="AT26" s="64"/>
      <c r="AU26" s="52"/>
      <c r="AV26" s="52"/>
      <c r="AW26" s="52"/>
      <c r="AX26" s="52"/>
      <c r="AY26" s="52"/>
      <c r="AZ26" s="52">
        <f t="shared" si="8"/>
        <v>63386526</v>
      </c>
      <c r="BA26" s="52"/>
      <c r="BB26" s="52"/>
      <c r="BC26" s="52"/>
      <c r="BD26" s="52">
        <v>63386526</v>
      </c>
      <c r="BE26" s="52"/>
      <c r="BF26" s="52"/>
      <c r="BG26" s="52"/>
      <c r="BH26" s="52"/>
      <c r="BI26" s="52"/>
      <c r="BJ26" s="52"/>
      <c r="BK26" s="52">
        <f t="shared" si="9"/>
        <v>30000000</v>
      </c>
      <c r="BL26" s="52"/>
      <c r="BM26" s="52"/>
      <c r="BN26" s="52"/>
      <c r="BO26" s="52">
        <v>30000000</v>
      </c>
      <c r="BP26" s="52"/>
      <c r="BQ26" s="52"/>
      <c r="BR26" s="52"/>
      <c r="BS26" s="52"/>
      <c r="BT26" s="52"/>
      <c r="BU26" s="53"/>
      <c r="BV26" s="54">
        <f t="shared" si="10"/>
        <v>205214742.86000001</v>
      </c>
      <c r="BW26" s="55"/>
    </row>
    <row r="27" spans="1:75" s="190" customFormat="1" ht="126" customHeight="1" x14ac:dyDescent="0.2">
      <c r="A27" s="206">
        <v>1</v>
      </c>
      <c r="B27" s="215" t="s">
        <v>19</v>
      </c>
      <c r="C27" s="17" t="s">
        <v>453</v>
      </c>
      <c r="D27" s="17" t="s">
        <v>233</v>
      </c>
      <c r="E27" s="16">
        <v>81.5</v>
      </c>
      <c r="F27" s="7">
        <v>2018</v>
      </c>
      <c r="G27" s="17" t="s">
        <v>481</v>
      </c>
      <c r="H27" s="16">
        <v>71.12</v>
      </c>
      <c r="I27" s="6">
        <v>19</v>
      </c>
      <c r="J27" s="6" t="s">
        <v>1645</v>
      </c>
      <c r="K27" s="15">
        <v>2</v>
      </c>
      <c r="L27" s="6" t="s">
        <v>458</v>
      </c>
      <c r="M27" s="208">
        <v>11</v>
      </c>
      <c r="N27" s="206">
        <v>1903</v>
      </c>
      <c r="O27" s="207" t="s">
        <v>220</v>
      </c>
      <c r="P27" s="74" t="s">
        <v>495</v>
      </c>
      <c r="Q27" s="6">
        <v>1903025</v>
      </c>
      <c r="R27" s="6">
        <v>1903025</v>
      </c>
      <c r="S27" s="17" t="s">
        <v>250</v>
      </c>
      <c r="T27" s="74" t="s">
        <v>496</v>
      </c>
      <c r="U27" s="6">
        <v>190302500</v>
      </c>
      <c r="V27" s="6">
        <v>190302500</v>
      </c>
      <c r="W27" s="48" t="s">
        <v>497</v>
      </c>
      <c r="X27" s="49" t="s">
        <v>8</v>
      </c>
      <c r="Y27" s="6">
        <v>12</v>
      </c>
      <c r="Z27" s="6">
        <v>12</v>
      </c>
      <c r="AA27" s="6">
        <v>12</v>
      </c>
      <c r="AB27" s="6">
        <v>12</v>
      </c>
      <c r="AC27" s="6">
        <v>12</v>
      </c>
      <c r="AD27" s="50">
        <f t="shared" si="7"/>
        <v>20000000</v>
      </c>
      <c r="AE27" s="52"/>
      <c r="AF27" s="52">
        <v>20000000</v>
      </c>
      <c r="AG27" s="52"/>
      <c r="AH27" s="52"/>
      <c r="AI27" s="52"/>
      <c r="AJ27" s="52"/>
      <c r="AK27" s="52"/>
      <c r="AL27" s="52"/>
      <c r="AM27" s="52"/>
      <c r="AN27" s="52"/>
      <c r="AO27" s="52">
        <f t="shared" si="11"/>
        <v>24500000</v>
      </c>
      <c r="AP27" s="52"/>
      <c r="AQ27" s="52">
        <v>24500000</v>
      </c>
      <c r="AR27" s="52"/>
      <c r="AS27" s="52"/>
      <c r="AT27" s="64"/>
      <c r="AU27" s="52"/>
      <c r="AV27" s="52"/>
      <c r="AW27" s="52"/>
      <c r="AX27" s="52"/>
      <c r="AY27" s="52"/>
      <c r="AZ27" s="52">
        <f t="shared" si="8"/>
        <v>29135000</v>
      </c>
      <c r="BA27" s="52"/>
      <c r="BB27" s="52">
        <v>29135000</v>
      </c>
      <c r="BC27" s="52"/>
      <c r="BD27" s="52"/>
      <c r="BE27" s="52"/>
      <c r="BF27" s="52"/>
      <c r="BG27" s="52"/>
      <c r="BH27" s="52"/>
      <c r="BI27" s="52"/>
      <c r="BJ27" s="52"/>
      <c r="BK27" s="52">
        <f t="shared" si="9"/>
        <v>33909050</v>
      </c>
      <c r="BL27" s="52"/>
      <c r="BM27" s="52">
        <v>33909050</v>
      </c>
      <c r="BN27" s="52"/>
      <c r="BO27" s="52"/>
      <c r="BP27" s="52"/>
      <c r="BQ27" s="52"/>
      <c r="BR27" s="52"/>
      <c r="BS27" s="52"/>
      <c r="BT27" s="52"/>
      <c r="BU27" s="53"/>
      <c r="BV27" s="54">
        <f t="shared" si="10"/>
        <v>107544050</v>
      </c>
      <c r="BW27" s="55"/>
    </row>
    <row r="28" spans="1:75" s="190" customFormat="1" ht="141.75" customHeight="1" x14ac:dyDescent="0.2">
      <c r="A28" s="206">
        <v>1</v>
      </c>
      <c r="B28" s="215" t="s">
        <v>19</v>
      </c>
      <c r="C28" s="17" t="s">
        <v>453</v>
      </c>
      <c r="D28" s="17" t="s">
        <v>228</v>
      </c>
      <c r="E28" s="16">
        <v>11.21</v>
      </c>
      <c r="F28" s="65">
        <v>2018</v>
      </c>
      <c r="G28" s="70" t="s">
        <v>462</v>
      </c>
      <c r="H28" s="16">
        <v>11</v>
      </c>
      <c r="I28" s="6">
        <v>19</v>
      </c>
      <c r="J28" s="6" t="s">
        <v>1645</v>
      </c>
      <c r="K28" s="15">
        <v>2</v>
      </c>
      <c r="L28" s="6" t="s">
        <v>458</v>
      </c>
      <c r="M28" s="208">
        <v>11</v>
      </c>
      <c r="N28" s="206">
        <v>1903</v>
      </c>
      <c r="O28" s="207" t="s">
        <v>220</v>
      </c>
      <c r="P28" s="74" t="s">
        <v>498</v>
      </c>
      <c r="Q28" s="6">
        <v>1903027</v>
      </c>
      <c r="R28" s="6">
        <v>1903027</v>
      </c>
      <c r="S28" s="17" t="s">
        <v>229</v>
      </c>
      <c r="T28" s="74" t="s">
        <v>499</v>
      </c>
      <c r="U28" s="6">
        <v>190302700</v>
      </c>
      <c r="V28" s="6">
        <v>190302700</v>
      </c>
      <c r="W28" s="48" t="s">
        <v>500</v>
      </c>
      <c r="X28" s="49" t="s">
        <v>8</v>
      </c>
      <c r="Y28" s="6">
        <v>5</v>
      </c>
      <c r="Z28" s="6">
        <v>5</v>
      </c>
      <c r="AA28" s="6">
        <v>5</v>
      </c>
      <c r="AB28" s="6">
        <v>5</v>
      </c>
      <c r="AC28" s="6">
        <v>5</v>
      </c>
      <c r="AD28" s="50">
        <f t="shared" si="7"/>
        <v>200000000</v>
      </c>
      <c r="AE28" s="52"/>
      <c r="AF28" s="52">
        <v>200000000</v>
      </c>
      <c r="AG28" s="52"/>
      <c r="AH28" s="52"/>
      <c r="AI28" s="52"/>
      <c r="AJ28" s="52"/>
      <c r="AK28" s="52"/>
      <c r="AL28" s="52"/>
      <c r="AM28" s="52"/>
      <c r="AN28" s="52"/>
      <c r="AO28" s="52">
        <f t="shared" si="11"/>
        <v>20000000</v>
      </c>
      <c r="AP28" s="52"/>
      <c r="AQ28" s="52"/>
      <c r="AR28" s="52"/>
      <c r="AS28" s="52">
        <v>20000000</v>
      </c>
      <c r="AT28" s="64"/>
      <c r="AU28" s="52"/>
      <c r="AV28" s="52"/>
      <c r="AW28" s="52"/>
      <c r="AX28" s="52"/>
      <c r="AY28" s="52"/>
      <c r="AZ28" s="52">
        <f t="shared" si="8"/>
        <v>20000000</v>
      </c>
      <c r="BA28" s="52"/>
      <c r="BB28" s="52"/>
      <c r="BC28" s="52"/>
      <c r="BD28" s="52">
        <v>20000000</v>
      </c>
      <c r="BE28" s="52"/>
      <c r="BF28" s="52"/>
      <c r="BG28" s="52"/>
      <c r="BH28" s="52"/>
      <c r="BI28" s="52"/>
      <c r="BJ28" s="52"/>
      <c r="BK28" s="52">
        <f t="shared" si="9"/>
        <v>20000000</v>
      </c>
      <c r="BL28" s="52"/>
      <c r="BM28" s="52"/>
      <c r="BN28" s="52"/>
      <c r="BO28" s="52">
        <v>20000000</v>
      </c>
      <c r="BP28" s="52"/>
      <c r="BQ28" s="52"/>
      <c r="BR28" s="52"/>
      <c r="BS28" s="52"/>
      <c r="BT28" s="52"/>
      <c r="BU28" s="53"/>
      <c r="BV28" s="54">
        <f t="shared" si="10"/>
        <v>260000000</v>
      </c>
      <c r="BW28" s="55"/>
    </row>
    <row r="29" spans="1:75" s="190" customFormat="1" ht="78.75" customHeight="1" x14ac:dyDescent="0.2">
      <c r="A29" s="206">
        <v>1</v>
      </c>
      <c r="B29" s="215" t="s">
        <v>19</v>
      </c>
      <c r="C29" s="17" t="s">
        <v>453</v>
      </c>
      <c r="D29" s="17" t="s">
        <v>248</v>
      </c>
      <c r="E29" s="16">
        <v>0</v>
      </c>
      <c r="F29" s="7">
        <v>2018</v>
      </c>
      <c r="G29" s="17" t="s">
        <v>501</v>
      </c>
      <c r="H29" s="16">
        <v>0</v>
      </c>
      <c r="I29" s="6">
        <v>19</v>
      </c>
      <c r="J29" s="6" t="s">
        <v>1645</v>
      </c>
      <c r="K29" s="15">
        <v>2</v>
      </c>
      <c r="L29" s="6" t="s">
        <v>458</v>
      </c>
      <c r="M29" s="208">
        <v>11</v>
      </c>
      <c r="N29" s="206">
        <v>1903</v>
      </c>
      <c r="O29" s="207" t="s">
        <v>220</v>
      </c>
      <c r="P29" s="74" t="s">
        <v>502</v>
      </c>
      <c r="Q29" s="6">
        <v>1903028</v>
      </c>
      <c r="R29" s="6">
        <v>1903028</v>
      </c>
      <c r="S29" s="17" t="s">
        <v>249</v>
      </c>
      <c r="T29" s="74" t="s">
        <v>503</v>
      </c>
      <c r="U29" s="6">
        <v>190302800</v>
      </c>
      <c r="V29" s="6">
        <v>190302800</v>
      </c>
      <c r="W29" s="48" t="s">
        <v>504</v>
      </c>
      <c r="X29" s="49" t="s">
        <v>8</v>
      </c>
      <c r="Y29" s="6">
        <v>250</v>
      </c>
      <c r="Z29" s="6">
        <v>250</v>
      </c>
      <c r="AA29" s="6">
        <v>250</v>
      </c>
      <c r="AB29" s="6">
        <v>250</v>
      </c>
      <c r="AC29" s="6">
        <v>250</v>
      </c>
      <c r="AD29" s="50">
        <f t="shared" si="7"/>
        <v>20000000</v>
      </c>
      <c r="AE29" s="52"/>
      <c r="AF29" s="52">
        <v>20000000</v>
      </c>
      <c r="AG29" s="52"/>
      <c r="AH29" s="52"/>
      <c r="AI29" s="52"/>
      <c r="AJ29" s="52"/>
      <c r="AK29" s="52"/>
      <c r="AL29" s="52"/>
      <c r="AM29" s="52"/>
      <c r="AN29" s="52"/>
      <c r="AO29" s="52">
        <f t="shared" si="11"/>
        <v>20000000</v>
      </c>
      <c r="AP29" s="52"/>
      <c r="AQ29" s="52">
        <v>20000000</v>
      </c>
      <c r="AR29" s="52"/>
      <c r="AS29" s="52"/>
      <c r="AT29" s="64"/>
      <c r="AU29" s="52"/>
      <c r="AV29" s="52"/>
      <c r="AW29" s="52"/>
      <c r="AX29" s="52"/>
      <c r="AY29" s="52"/>
      <c r="AZ29" s="52">
        <f t="shared" si="8"/>
        <v>20000000</v>
      </c>
      <c r="BA29" s="52"/>
      <c r="BB29" s="52">
        <v>20000000</v>
      </c>
      <c r="BC29" s="52"/>
      <c r="BD29" s="52"/>
      <c r="BE29" s="52"/>
      <c r="BF29" s="52"/>
      <c r="BG29" s="52"/>
      <c r="BH29" s="52"/>
      <c r="BI29" s="52"/>
      <c r="BJ29" s="52"/>
      <c r="BK29" s="52">
        <f t="shared" si="9"/>
        <v>20000000</v>
      </c>
      <c r="BL29" s="52"/>
      <c r="BM29" s="52">
        <v>20000000</v>
      </c>
      <c r="BN29" s="52"/>
      <c r="BO29" s="52"/>
      <c r="BP29" s="52"/>
      <c r="BQ29" s="52"/>
      <c r="BR29" s="52"/>
      <c r="BS29" s="52"/>
      <c r="BT29" s="52"/>
      <c r="BU29" s="53"/>
      <c r="BV29" s="54">
        <f t="shared" si="10"/>
        <v>80000000</v>
      </c>
      <c r="BW29" s="55"/>
    </row>
    <row r="30" spans="1:75" s="190" customFormat="1" ht="63" customHeight="1" x14ac:dyDescent="0.2">
      <c r="A30" s="206">
        <v>1</v>
      </c>
      <c r="B30" s="215" t="s">
        <v>19</v>
      </c>
      <c r="C30" s="17" t="s">
        <v>453</v>
      </c>
      <c r="D30" s="17" t="s">
        <v>228</v>
      </c>
      <c r="E30" s="16">
        <v>11.21</v>
      </c>
      <c r="F30" s="65">
        <v>2018</v>
      </c>
      <c r="G30" s="70" t="s">
        <v>462</v>
      </c>
      <c r="H30" s="16">
        <v>11</v>
      </c>
      <c r="I30" s="6">
        <v>19</v>
      </c>
      <c r="J30" s="6" t="s">
        <v>1645</v>
      </c>
      <c r="K30" s="15">
        <v>2</v>
      </c>
      <c r="L30" s="6" t="s">
        <v>458</v>
      </c>
      <c r="M30" s="208">
        <v>11</v>
      </c>
      <c r="N30" s="206">
        <v>1903</v>
      </c>
      <c r="O30" s="207" t="s">
        <v>220</v>
      </c>
      <c r="P30" s="74" t="s">
        <v>505</v>
      </c>
      <c r="Q30" s="6">
        <v>1903031</v>
      </c>
      <c r="R30" s="6">
        <v>1903031</v>
      </c>
      <c r="S30" s="17" t="s">
        <v>238</v>
      </c>
      <c r="T30" s="74" t="s">
        <v>506</v>
      </c>
      <c r="U30" s="6">
        <v>190303100</v>
      </c>
      <c r="V30" s="6">
        <v>190303100</v>
      </c>
      <c r="W30" s="48" t="s">
        <v>507</v>
      </c>
      <c r="X30" s="49" t="s">
        <v>8</v>
      </c>
      <c r="Y30" s="6">
        <v>12</v>
      </c>
      <c r="Z30" s="6">
        <v>12</v>
      </c>
      <c r="AA30" s="6">
        <v>12</v>
      </c>
      <c r="AB30" s="6">
        <v>12</v>
      </c>
      <c r="AC30" s="6">
        <v>12</v>
      </c>
      <c r="AD30" s="50">
        <f t="shared" si="7"/>
        <v>656000000</v>
      </c>
      <c r="AE30" s="52"/>
      <c r="AF30" s="52"/>
      <c r="AG30" s="52"/>
      <c r="AH30" s="52">
        <v>400000000</v>
      </c>
      <c r="AI30" s="52"/>
      <c r="AJ30" s="52"/>
      <c r="AK30" s="52"/>
      <c r="AL30" s="52"/>
      <c r="AM30" s="52"/>
      <c r="AN30" s="5">
        <v>256000000</v>
      </c>
      <c r="AO30" s="52">
        <f t="shared" si="11"/>
        <v>340000000</v>
      </c>
      <c r="AP30" s="52"/>
      <c r="AQ30" s="52"/>
      <c r="AR30" s="52"/>
      <c r="AS30" s="52">
        <v>340000000</v>
      </c>
      <c r="AT30" s="64"/>
      <c r="AU30" s="52"/>
      <c r="AV30" s="52"/>
      <c r="AW30" s="52"/>
      <c r="AX30" s="52"/>
      <c r="AY30" s="52"/>
      <c r="AZ30" s="52">
        <f t="shared" si="8"/>
        <v>340000000</v>
      </c>
      <c r="BA30" s="52"/>
      <c r="BB30" s="52"/>
      <c r="BC30" s="52"/>
      <c r="BD30" s="52">
        <v>340000000</v>
      </c>
      <c r="BE30" s="52"/>
      <c r="BF30" s="52"/>
      <c r="BG30" s="52"/>
      <c r="BH30" s="52"/>
      <c r="BI30" s="52"/>
      <c r="BJ30" s="52"/>
      <c r="BK30" s="52">
        <f t="shared" si="9"/>
        <v>340000000</v>
      </c>
      <c r="BL30" s="52"/>
      <c r="BM30" s="52"/>
      <c r="BN30" s="52"/>
      <c r="BO30" s="52">
        <v>340000000</v>
      </c>
      <c r="BP30" s="52"/>
      <c r="BQ30" s="52"/>
      <c r="BR30" s="52"/>
      <c r="BS30" s="52"/>
      <c r="BT30" s="52"/>
      <c r="BU30" s="53"/>
      <c r="BV30" s="54">
        <f t="shared" si="10"/>
        <v>1676000000</v>
      </c>
      <c r="BW30" s="55"/>
    </row>
    <row r="31" spans="1:75" s="190" customFormat="1" ht="47.25" customHeight="1" x14ac:dyDescent="0.2">
      <c r="A31" s="206">
        <v>1</v>
      </c>
      <c r="B31" s="215" t="s">
        <v>19</v>
      </c>
      <c r="C31" s="17" t="s">
        <v>453</v>
      </c>
      <c r="D31" s="17" t="s">
        <v>230</v>
      </c>
      <c r="E31" s="69">
        <v>13</v>
      </c>
      <c r="F31" s="65">
        <v>2018</v>
      </c>
      <c r="G31" s="70" t="s">
        <v>462</v>
      </c>
      <c r="H31" s="71">
        <v>13</v>
      </c>
      <c r="I31" s="6">
        <v>19</v>
      </c>
      <c r="J31" s="6" t="s">
        <v>1645</v>
      </c>
      <c r="K31" s="15">
        <v>2</v>
      </c>
      <c r="L31" s="6" t="s">
        <v>458</v>
      </c>
      <c r="M31" s="208">
        <v>11</v>
      </c>
      <c r="N31" s="206">
        <v>1903</v>
      </c>
      <c r="O31" s="207" t="s">
        <v>220</v>
      </c>
      <c r="P31" s="74" t="s">
        <v>508</v>
      </c>
      <c r="Q31" s="6">
        <v>1903034</v>
      </c>
      <c r="R31" s="6">
        <v>1903034</v>
      </c>
      <c r="S31" s="17" t="s">
        <v>83</v>
      </c>
      <c r="T31" s="74" t="s">
        <v>509</v>
      </c>
      <c r="U31" s="6">
        <v>190303400</v>
      </c>
      <c r="V31" s="6">
        <v>190303400</v>
      </c>
      <c r="W31" s="48" t="s">
        <v>510</v>
      </c>
      <c r="X31" s="49" t="s">
        <v>8</v>
      </c>
      <c r="Y31" s="6">
        <v>12</v>
      </c>
      <c r="Z31" s="6">
        <v>12</v>
      </c>
      <c r="AA31" s="6">
        <v>12</v>
      </c>
      <c r="AB31" s="6">
        <v>12</v>
      </c>
      <c r="AC31" s="6">
        <v>12</v>
      </c>
      <c r="AD31" s="50">
        <f t="shared" si="7"/>
        <v>96954000</v>
      </c>
      <c r="AE31" s="52">
        <v>96954000</v>
      </c>
      <c r="AF31" s="52"/>
      <c r="AG31" s="52"/>
      <c r="AH31" s="52"/>
      <c r="AI31" s="52"/>
      <c r="AJ31" s="52"/>
      <c r="AK31" s="52"/>
      <c r="AL31" s="52"/>
      <c r="AM31" s="52"/>
      <c r="AN31" s="52"/>
      <c r="AO31" s="52">
        <f t="shared" si="11"/>
        <v>96954000</v>
      </c>
      <c r="AP31" s="52">
        <v>96954000</v>
      </c>
      <c r="AQ31" s="52"/>
      <c r="AR31" s="52"/>
      <c r="AS31" s="52"/>
      <c r="AT31" s="64"/>
      <c r="AU31" s="52"/>
      <c r="AV31" s="52"/>
      <c r="AW31" s="52"/>
      <c r="AX31" s="52"/>
      <c r="AY31" s="52"/>
      <c r="AZ31" s="52">
        <f t="shared" si="8"/>
        <v>96954000</v>
      </c>
      <c r="BA31" s="52">
        <v>96954000</v>
      </c>
      <c r="BB31" s="52"/>
      <c r="BC31" s="52"/>
      <c r="BD31" s="52"/>
      <c r="BE31" s="52"/>
      <c r="BF31" s="52"/>
      <c r="BG31" s="52"/>
      <c r="BH31" s="52"/>
      <c r="BI31" s="52"/>
      <c r="BJ31" s="52"/>
      <c r="BK31" s="52">
        <f t="shared" si="9"/>
        <v>96954000</v>
      </c>
      <c r="BL31" s="52">
        <v>96954000</v>
      </c>
      <c r="BM31" s="52"/>
      <c r="BN31" s="52"/>
      <c r="BO31" s="52"/>
      <c r="BP31" s="52"/>
      <c r="BQ31" s="52"/>
      <c r="BR31" s="52"/>
      <c r="BS31" s="52"/>
      <c r="BT31" s="52"/>
      <c r="BU31" s="53"/>
      <c r="BV31" s="54">
        <f t="shared" si="10"/>
        <v>387816000</v>
      </c>
      <c r="BW31" s="55"/>
    </row>
    <row r="32" spans="1:75" s="190" customFormat="1" ht="142.5" customHeight="1" x14ac:dyDescent="0.2">
      <c r="A32" s="206">
        <v>1</v>
      </c>
      <c r="B32" s="215" t="s">
        <v>19</v>
      </c>
      <c r="C32" s="17" t="s">
        <v>453</v>
      </c>
      <c r="D32" s="17" t="s">
        <v>226</v>
      </c>
      <c r="E32" s="16">
        <v>0</v>
      </c>
      <c r="F32" s="7">
        <v>2018</v>
      </c>
      <c r="G32" s="17" t="s">
        <v>462</v>
      </c>
      <c r="H32" s="16">
        <v>0</v>
      </c>
      <c r="I32" s="6">
        <v>19</v>
      </c>
      <c r="J32" s="6" t="s">
        <v>1645</v>
      </c>
      <c r="K32" s="15">
        <v>2</v>
      </c>
      <c r="L32" s="6" t="s">
        <v>458</v>
      </c>
      <c r="M32" s="208">
        <v>11</v>
      </c>
      <c r="N32" s="206">
        <v>1903</v>
      </c>
      <c r="O32" s="207" t="s">
        <v>220</v>
      </c>
      <c r="P32" s="74" t="s">
        <v>511</v>
      </c>
      <c r="Q32" s="6">
        <v>1903038</v>
      </c>
      <c r="R32" s="6">
        <v>1903038</v>
      </c>
      <c r="S32" s="17" t="s">
        <v>227</v>
      </c>
      <c r="T32" s="74" t="s">
        <v>512</v>
      </c>
      <c r="U32" s="6">
        <v>190303801</v>
      </c>
      <c r="V32" s="6">
        <v>190303801</v>
      </c>
      <c r="W32" s="48" t="s">
        <v>513</v>
      </c>
      <c r="X32" s="49" t="s">
        <v>8</v>
      </c>
      <c r="Y32" s="6">
        <v>11</v>
      </c>
      <c r="Z32" s="6">
        <v>11</v>
      </c>
      <c r="AA32" s="6">
        <v>11</v>
      </c>
      <c r="AB32" s="6">
        <v>11</v>
      </c>
      <c r="AC32" s="6">
        <v>11</v>
      </c>
      <c r="AD32" s="50">
        <f t="shared" si="7"/>
        <v>50000000</v>
      </c>
      <c r="AE32" s="52">
        <v>0</v>
      </c>
      <c r="AF32" s="52">
        <v>50000000</v>
      </c>
      <c r="AG32" s="52"/>
      <c r="AH32" s="52"/>
      <c r="AI32" s="52"/>
      <c r="AJ32" s="52"/>
      <c r="AK32" s="52"/>
      <c r="AL32" s="52"/>
      <c r="AM32" s="52"/>
      <c r="AN32" s="52"/>
      <c r="AO32" s="52">
        <f t="shared" si="11"/>
        <v>20000000</v>
      </c>
      <c r="AP32" s="52"/>
      <c r="AQ32" s="52"/>
      <c r="AR32" s="52"/>
      <c r="AS32" s="52">
        <v>20000000</v>
      </c>
      <c r="AT32" s="64"/>
      <c r="AU32" s="52"/>
      <c r="AV32" s="52"/>
      <c r="AW32" s="52"/>
      <c r="AX32" s="52"/>
      <c r="AY32" s="52"/>
      <c r="AZ32" s="52">
        <f t="shared" si="8"/>
        <v>20000000</v>
      </c>
      <c r="BA32" s="52"/>
      <c r="BB32" s="52"/>
      <c r="BC32" s="52"/>
      <c r="BD32" s="52">
        <v>20000000</v>
      </c>
      <c r="BE32" s="52"/>
      <c r="BF32" s="52"/>
      <c r="BG32" s="52"/>
      <c r="BH32" s="52"/>
      <c r="BI32" s="52"/>
      <c r="BJ32" s="52"/>
      <c r="BK32" s="52">
        <f t="shared" si="9"/>
        <v>20000000</v>
      </c>
      <c r="BL32" s="52"/>
      <c r="BM32" s="52"/>
      <c r="BN32" s="52"/>
      <c r="BO32" s="52">
        <v>20000000</v>
      </c>
      <c r="BP32" s="52"/>
      <c r="BQ32" s="52"/>
      <c r="BR32" s="52"/>
      <c r="BS32" s="52"/>
      <c r="BT32" s="52"/>
      <c r="BU32" s="53"/>
      <c r="BV32" s="54">
        <f t="shared" si="10"/>
        <v>110000000</v>
      </c>
      <c r="BW32" s="55"/>
    </row>
    <row r="33" spans="1:75" s="190" customFormat="1" ht="63" customHeight="1" x14ac:dyDescent="0.2">
      <c r="A33" s="206">
        <v>1</v>
      </c>
      <c r="B33" s="215" t="s">
        <v>19</v>
      </c>
      <c r="C33" s="17" t="s">
        <v>453</v>
      </c>
      <c r="D33" s="17" t="s">
        <v>239</v>
      </c>
      <c r="E33" s="16">
        <v>89</v>
      </c>
      <c r="F33" s="7">
        <v>2018</v>
      </c>
      <c r="G33" s="17" t="s">
        <v>514</v>
      </c>
      <c r="H33" s="16">
        <v>95</v>
      </c>
      <c r="I33" s="6">
        <v>19</v>
      </c>
      <c r="J33" s="6" t="s">
        <v>1645</v>
      </c>
      <c r="K33" s="15">
        <v>2</v>
      </c>
      <c r="L33" s="6" t="s">
        <v>458</v>
      </c>
      <c r="M33" s="208">
        <v>11</v>
      </c>
      <c r="N33" s="206">
        <v>1903</v>
      </c>
      <c r="O33" s="207" t="s">
        <v>220</v>
      </c>
      <c r="P33" s="74" t="s">
        <v>515</v>
      </c>
      <c r="Q33" s="6">
        <v>1903045</v>
      </c>
      <c r="R33" s="6">
        <v>1903045</v>
      </c>
      <c r="S33" s="17" t="s">
        <v>240</v>
      </c>
      <c r="T33" s="74" t="s">
        <v>516</v>
      </c>
      <c r="U33" s="6">
        <v>190304500</v>
      </c>
      <c r="V33" s="6">
        <v>190304500</v>
      </c>
      <c r="W33" s="48" t="s">
        <v>517</v>
      </c>
      <c r="X33" s="49" t="s">
        <v>9</v>
      </c>
      <c r="Y33" s="6">
        <v>2900</v>
      </c>
      <c r="Z33" s="6">
        <v>60</v>
      </c>
      <c r="AA33" s="6">
        <v>947</v>
      </c>
      <c r="AB33" s="6">
        <v>947</v>
      </c>
      <c r="AC33" s="6">
        <v>946</v>
      </c>
      <c r="AD33" s="50">
        <f t="shared" si="7"/>
        <v>19636000</v>
      </c>
      <c r="AE33" s="52">
        <v>19636000</v>
      </c>
      <c r="AF33" s="52"/>
      <c r="AG33" s="52"/>
      <c r="AH33" s="52"/>
      <c r="AI33" s="52"/>
      <c r="AJ33" s="52"/>
      <c r="AK33" s="52"/>
      <c r="AL33" s="52"/>
      <c r="AM33" s="52"/>
      <c r="AN33" s="52"/>
      <c r="AO33" s="52">
        <f t="shared" si="11"/>
        <v>19636000</v>
      </c>
      <c r="AP33" s="52">
        <v>19636000</v>
      </c>
      <c r="AQ33" s="52"/>
      <c r="AR33" s="52"/>
      <c r="AS33" s="52"/>
      <c r="AT33" s="64"/>
      <c r="AU33" s="52"/>
      <c r="AV33" s="52"/>
      <c r="AW33" s="52"/>
      <c r="AX33" s="52"/>
      <c r="AY33" s="52"/>
      <c r="AZ33" s="52">
        <f t="shared" si="8"/>
        <v>19636000</v>
      </c>
      <c r="BA33" s="52">
        <v>19636000</v>
      </c>
      <c r="BB33" s="52"/>
      <c r="BC33" s="52"/>
      <c r="BD33" s="52"/>
      <c r="BE33" s="52"/>
      <c r="BF33" s="52"/>
      <c r="BG33" s="52"/>
      <c r="BH33" s="52"/>
      <c r="BI33" s="52"/>
      <c r="BJ33" s="52"/>
      <c r="BK33" s="52">
        <f t="shared" si="9"/>
        <v>19636000</v>
      </c>
      <c r="BL33" s="52">
        <v>19636000</v>
      </c>
      <c r="BM33" s="52"/>
      <c r="BN33" s="52"/>
      <c r="BO33" s="52"/>
      <c r="BP33" s="52"/>
      <c r="BQ33" s="52"/>
      <c r="BR33" s="52"/>
      <c r="BS33" s="52"/>
      <c r="BT33" s="52"/>
      <c r="BU33" s="53"/>
      <c r="BV33" s="54">
        <f t="shared" si="10"/>
        <v>78544000</v>
      </c>
      <c r="BW33" s="55"/>
    </row>
    <row r="34" spans="1:75" s="190" customFormat="1" ht="78.75" customHeight="1" x14ac:dyDescent="0.2">
      <c r="A34" s="206">
        <v>1</v>
      </c>
      <c r="B34" s="215" t="s">
        <v>19</v>
      </c>
      <c r="C34" s="17" t="s">
        <v>453</v>
      </c>
      <c r="D34" s="17" t="s">
        <v>244</v>
      </c>
      <c r="E34" s="16">
        <v>89.22</v>
      </c>
      <c r="F34" s="7">
        <v>2018</v>
      </c>
      <c r="G34" s="17" t="s">
        <v>518</v>
      </c>
      <c r="H34" s="16">
        <v>100</v>
      </c>
      <c r="I34" s="6">
        <v>19</v>
      </c>
      <c r="J34" s="6" t="s">
        <v>1645</v>
      </c>
      <c r="K34" s="15">
        <v>2</v>
      </c>
      <c r="L34" s="6" t="s">
        <v>458</v>
      </c>
      <c r="M34" s="208">
        <v>11</v>
      </c>
      <c r="N34" s="206">
        <v>1903</v>
      </c>
      <c r="O34" s="207" t="s">
        <v>220</v>
      </c>
      <c r="P34" s="74" t="s">
        <v>519</v>
      </c>
      <c r="Q34" s="6">
        <v>1903047</v>
      </c>
      <c r="R34" s="6">
        <v>1903047</v>
      </c>
      <c r="S34" s="17" t="s">
        <v>245</v>
      </c>
      <c r="T34" s="74" t="s">
        <v>520</v>
      </c>
      <c r="U34" s="6">
        <v>190304701</v>
      </c>
      <c r="V34" s="6">
        <v>190304701</v>
      </c>
      <c r="W34" s="48" t="s">
        <v>521</v>
      </c>
      <c r="X34" s="49" t="s">
        <v>8</v>
      </c>
      <c r="Y34" s="6">
        <v>1</v>
      </c>
      <c r="Z34" s="6">
        <v>1</v>
      </c>
      <c r="AA34" s="6">
        <v>1</v>
      </c>
      <c r="AB34" s="6">
        <v>1</v>
      </c>
      <c r="AC34" s="6">
        <v>1</v>
      </c>
      <c r="AD34" s="50">
        <f t="shared" si="7"/>
        <v>20000000</v>
      </c>
      <c r="AE34" s="52"/>
      <c r="AF34" s="52">
        <v>20000000</v>
      </c>
      <c r="AG34" s="52"/>
      <c r="AH34" s="52"/>
      <c r="AI34" s="52"/>
      <c r="AJ34" s="52"/>
      <c r="AK34" s="52"/>
      <c r="AL34" s="52"/>
      <c r="AM34" s="52"/>
      <c r="AN34" s="52"/>
      <c r="AO34" s="52">
        <f t="shared" si="11"/>
        <v>20000000</v>
      </c>
      <c r="AP34" s="52"/>
      <c r="AQ34" s="52">
        <v>20000000</v>
      </c>
      <c r="AR34" s="52"/>
      <c r="AS34" s="52"/>
      <c r="AT34" s="64"/>
      <c r="AU34" s="52"/>
      <c r="AV34" s="52"/>
      <c r="AW34" s="52"/>
      <c r="AX34" s="52"/>
      <c r="AY34" s="52"/>
      <c r="AZ34" s="52">
        <f t="shared" si="8"/>
        <v>20000000</v>
      </c>
      <c r="BA34" s="52"/>
      <c r="BB34" s="52">
        <v>20000000</v>
      </c>
      <c r="BC34" s="52"/>
      <c r="BD34" s="52"/>
      <c r="BE34" s="52"/>
      <c r="BF34" s="52"/>
      <c r="BG34" s="52"/>
      <c r="BH34" s="52"/>
      <c r="BI34" s="52"/>
      <c r="BJ34" s="52"/>
      <c r="BK34" s="52">
        <f t="shared" si="9"/>
        <v>20000000</v>
      </c>
      <c r="BL34" s="52"/>
      <c r="BM34" s="52">
        <v>20000000</v>
      </c>
      <c r="BN34" s="52"/>
      <c r="BO34" s="52"/>
      <c r="BP34" s="52"/>
      <c r="BQ34" s="52"/>
      <c r="BR34" s="52"/>
      <c r="BS34" s="52"/>
      <c r="BT34" s="52"/>
      <c r="BU34" s="53"/>
      <c r="BV34" s="54">
        <f t="shared" si="10"/>
        <v>80000000</v>
      </c>
      <c r="BW34" s="55"/>
    </row>
    <row r="35" spans="1:75" s="190" customFormat="1" ht="173.25" customHeight="1" x14ac:dyDescent="0.2">
      <c r="A35" s="206">
        <v>1</v>
      </c>
      <c r="B35" s="215" t="s">
        <v>19</v>
      </c>
      <c r="C35" s="17" t="s">
        <v>453</v>
      </c>
      <c r="D35" s="17" t="s">
        <v>225</v>
      </c>
      <c r="E35" s="68">
        <v>8.7157362618207177</v>
      </c>
      <c r="F35" s="65">
        <v>2018</v>
      </c>
      <c r="G35" s="72" t="s">
        <v>462</v>
      </c>
      <c r="H35" s="16">
        <v>8.6</v>
      </c>
      <c r="I35" s="6">
        <v>19</v>
      </c>
      <c r="J35" s="6" t="s">
        <v>1645</v>
      </c>
      <c r="K35" s="15">
        <v>2</v>
      </c>
      <c r="L35" s="6" t="s">
        <v>458</v>
      </c>
      <c r="M35" s="208">
        <v>11</v>
      </c>
      <c r="N35" s="206">
        <v>1903</v>
      </c>
      <c r="O35" s="207" t="s">
        <v>220</v>
      </c>
      <c r="P35" s="74" t="s">
        <v>522</v>
      </c>
      <c r="Q35" s="6" t="s">
        <v>77</v>
      </c>
      <c r="R35" s="6">
        <v>1903050</v>
      </c>
      <c r="S35" s="17" t="s">
        <v>1625</v>
      </c>
      <c r="T35" s="74" t="s">
        <v>523</v>
      </c>
      <c r="U35" s="6" t="s">
        <v>77</v>
      </c>
      <c r="V35" s="6">
        <v>190305000</v>
      </c>
      <c r="W35" s="48" t="s">
        <v>524</v>
      </c>
      <c r="X35" s="49" t="s">
        <v>8</v>
      </c>
      <c r="Y35" s="6">
        <v>12</v>
      </c>
      <c r="Z35" s="6">
        <v>12</v>
      </c>
      <c r="AA35" s="6">
        <v>12</v>
      </c>
      <c r="AB35" s="6">
        <v>12</v>
      </c>
      <c r="AC35" s="6">
        <v>12</v>
      </c>
      <c r="AD35" s="50">
        <f t="shared" si="7"/>
        <v>70000000</v>
      </c>
      <c r="AE35" s="52"/>
      <c r="AF35" s="52"/>
      <c r="AG35" s="52"/>
      <c r="AH35" s="52">
        <v>70000000</v>
      </c>
      <c r="AI35" s="52"/>
      <c r="AJ35" s="52"/>
      <c r="AK35" s="52"/>
      <c r="AL35" s="52"/>
      <c r="AM35" s="52"/>
      <c r="AN35" s="52"/>
      <c r="AO35" s="52">
        <f t="shared" si="11"/>
        <v>30000000</v>
      </c>
      <c r="AP35" s="52"/>
      <c r="AQ35" s="52"/>
      <c r="AR35" s="52"/>
      <c r="AS35" s="52">
        <v>30000000</v>
      </c>
      <c r="AT35" s="64"/>
      <c r="AU35" s="52"/>
      <c r="AV35" s="52"/>
      <c r="AW35" s="52"/>
      <c r="AX35" s="52"/>
      <c r="AY35" s="52"/>
      <c r="AZ35" s="52">
        <f t="shared" si="8"/>
        <v>30000000</v>
      </c>
      <c r="BA35" s="52"/>
      <c r="BB35" s="52"/>
      <c r="BC35" s="52"/>
      <c r="BD35" s="52">
        <v>30000000</v>
      </c>
      <c r="BE35" s="52"/>
      <c r="BF35" s="52"/>
      <c r="BG35" s="52"/>
      <c r="BH35" s="52"/>
      <c r="BI35" s="52"/>
      <c r="BJ35" s="52"/>
      <c r="BK35" s="52">
        <f t="shared" si="9"/>
        <v>30000000</v>
      </c>
      <c r="BL35" s="52"/>
      <c r="BM35" s="52"/>
      <c r="BN35" s="52"/>
      <c r="BO35" s="52">
        <v>30000000</v>
      </c>
      <c r="BP35" s="52"/>
      <c r="BQ35" s="52"/>
      <c r="BR35" s="52"/>
      <c r="BS35" s="52"/>
      <c r="BT35" s="52"/>
      <c r="BU35" s="53"/>
      <c r="BV35" s="54">
        <f t="shared" si="10"/>
        <v>160000000</v>
      </c>
      <c r="BW35" s="55"/>
    </row>
    <row r="36" spans="1:75" s="190" customFormat="1" ht="110.25" customHeight="1" x14ac:dyDescent="0.2">
      <c r="A36" s="206">
        <v>1</v>
      </c>
      <c r="B36" s="215" t="s">
        <v>19</v>
      </c>
      <c r="C36" s="17" t="s">
        <v>453</v>
      </c>
      <c r="D36" s="17" t="s">
        <v>221</v>
      </c>
      <c r="E36" s="16">
        <v>1</v>
      </c>
      <c r="F36" s="7">
        <v>2018</v>
      </c>
      <c r="G36" s="17" t="s">
        <v>462</v>
      </c>
      <c r="H36" s="16">
        <v>0</v>
      </c>
      <c r="I36" s="6">
        <v>19</v>
      </c>
      <c r="J36" s="6" t="s">
        <v>1645</v>
      </c>
      <c r="K36" s="15">
        <v>2</v>
      </c>
      <c r="L36" s="6" t="s">
        <v>458</v>
      </c>
      <c r="M36" s="208">
        <v>11</v>
      </c>
      <c r="N36" s="206">
        <v>1903</v>
      </c>
      <c r="O36" s="207" t="s">
        <v>220</v>
      </c>
      <c r="P36" s="74" t="s">
        <v>525</v>
      </c>
      <c r="Q36" s="6" t="s">
        <v>77</v>
      </c>
      <c r="R36" s="6">
        <v>1903038</v>
      </c>
      <c r="S36" s="17" t="s">
        <v>1580</v>
      </c>
      <c r="T36" s="74" t="s">
        <v>526</v>
      </c>
      <c r="U36" s="6" t="s">
        <v>77</v>
      </c>
      <c r="V36" s="6">
        <v>190303801</v>
      </c>
      <c r="W36" s="75" t="s">
        <v>527</v>
      </c>
      <c r="X36" s="76" t="s">
        <v>8</v>
      </c>
      <c r="Y36" s="8">
        <v>1</v>
      </c>
      <c r="Z36" s="8">
        <v>1</v>
      </c>
      <c r="AA36" s="8">
        <v>1</v>
      </c>
      <c r="AB36" s="8">
        <v>1</v>
      </c>
      <c r="AC36" s="8">
        <v>1</v>
      </c>
      <c r="AD36" s="50">
        <f t="shared" si="7"/>
        <v>874500000</v>
      </c>
      <c r="AE36" s="52"/>
      <c r="AF36" s="52">
        <v>824500000</v>
      </c>
      <c r="AG36" s="52"/>
      <c r="AH36" s="52">
        <v>50000000</v>
      </c>
      <c r="AI36" s="52"/>
      <c r="AJ36" s="52"/>
      <c r="AK36" s="52"/>
      <c r="AL36" s="52"/>
      <c r="AM36" s="52"/>
      <c r="AN36" s="52"/>
      <c r="AO36" s="52">
        <f t="shared" si="11"/>
        <v>902119541</v>
      </c>
      <c r="AP36" s="52"/>
      <c r="AQ36" s="52">
        <v>852119541</v>
      </c>
      <c r="AR36" s="52"/>
      <c r="AS36" s="52">
        <v>50000000</v>
      </c>
      <c r="AT36" s="64"/>
      <c r="AU36" s="52"/>
      <c r="AV36" s="52"/>
      <c r="AW36" s="52"/>
      <c r="AX36" s="52"/>
      <c r="AY36" s="52"/>
      <c r="AZ36" s="52">
        <f t="shared" si="8"/>
        <v>927683130</v>
      </c>
      <c r="BA36" s="52"/>
      <c r="BB36" s="52">
        <v>877683130</v>
      </c>
      <c r="BC36" s="52"/>
      <c r="BD36" s="52">
        <v>50000000</v>
      </c>
      <c r="BE36" s="52"/>
      <c r="BF36" s="52"/>
      <c r="BG36" s="52"/>
      <c r="BH36" s="52"/>
      <c r="BI36" s="52"/>
      <c r="BJ36" s="52"/>
      <c r="BK36" s="52">
        <f t="shared" si="9"/>
        <v>999710590.94000006</v>
      </c>
      <c r="BL36" s="52"/>
      <c r="BM36" s="52">
        <v>904013623.94000006</v>
      </c>
      <c r="BN36" s="52"/>
      <c r="BO36" s="52">
        <v>95696967</v>
      </c>
      <c r="BP36" s="52"/>
      <c r="BQ36" s="52"/>
      <c r="BR36" s="52"/>
      <c r="BS36" s="52"/>
      <c r="BT36" s="52"/>
      <c r="BU36" s="53"/>
      <c r="BV36" s="54">
        <f t="shared" si="10"/>
        <v>3704013261.9400001</v>
      </c>
      <c r="BW36" s="55"/>
    </row>
    <row r="37" spans="1:75" ht="15.75" customHeight="1" x14ac:dyDescent="0.2">
      <c r="A37" s="206"/>
      <c r="B37" s="215"/>
      <c r="C37" s="56"/>
      <c r="D37" s="17"/>
      <c r="E37" s="16"/>
      <c r="F37" s="6"/>
      <c r="G37" s="17"/>
      <c r="H37" s="16"/>
      <c r="I37" s="6"/>
      <c r="J37" s="6"/>
      <c r="K37" s="15"/>
      <c r="L37" s="6"/>
      <c r="M37" s="58">
        <v>12</v>
      </c>
      <c r="N37" s="58">
        <v>1905</v>
      </c>
      <c r="O37" s="59" t="s">
        <v>173</v>
      </c>
      <c r="P37" s="58"/>
      <c r="Q37" s="60"/>
      <c r="R37" s="60"/>
      <c r="S37" s="60"/>
      <c r="T37" s="60"/>
      <c r="U37" s="60"/>
      <c r="V37" s="60"/>
      <c r="W37" s="43"/>
      <c r="X37" s="44"/>
      <c r="Y37" s="44"/>
      <c r="Z37" s="44"/>
      <c r="AA37" s="44"/>
      <c r="AB37" s="44"/>
      <c r="AC37" s="41"/>
      <c r="AD37" s="61">
        <f>SUM(AD38:AD59)</f>
        <v>6751207681.2399998</v>
      </c>
      <c r="AE37" s="61">
        <f t="shared" ref="AE37:BV37" si="12">SUM(AE38:AE59)</f>
        <v>3414348375</v>
      </c>
      <c r="AF37" s="61">
        <f t="shared" si="12"/>
        <v>0</v>
      </c>
      <c r="AG37" s="61">
        <f t="shared" si="12"/>
        <v>0</v>
      </c>
      <c r="AH37" s="61">
        <f t="shared" si="12"/>
        <v>2729252214.6300001</v>
      </c>
      <c r="AI37" s="61">
        <f t="shared" si="12"/>
        <v>0</v>
      </c>
      <c r="AJ37" s="61">
        <f t="shared" si="12"/>
        <v>0</v>
      </c>
      <c r="AK37" s="61">
        <f t="shared" si="12"/>
        <v>0</v>
      </c>
      <c r="AL37" s="61">
        <f t="shared" si="12"/>
        <v>0</v>
      </c>
      <c r="AM37" s="61">
        <f t="shared" si="12"/>
        <v>0</v>
      </c>
      <c r="AN37" s="61">
        <f t="shared" si="12"/>
        <v>607607091.61000001</v>
      </c>
      <c r="AO37" s="61">
        <f t="shared" si="12"/>
        <v>5025778930.7000008</v>
      </c>
      <c r="AP37" s="61">
        <f t="shared" si="12"/>
        <v>1844034891.3499999</v>
      </c>
      <c r="AQ37" s="61">
        <f t="shared" si="12"/>
        <v>0</v>
      </c>
      <c r="AR37" s="61">
        <f t="shared" si="12"/>
        <v>0</v>
      </c>
      <c r="AS37" s="61">
        <f t="shared" si="12"/>
        <v>2730264100</v>
      </c>
      <c r="AT37" s="61">
        <f t="shared" si="12"/>
        <v>0</v>
      </c>
      <c r="AU37" s="61">
        <f t="shared" si="12"/>
        <v>0</v>
      </c>
      <c r="AV37" s="61">
        <f t="shared" si="12"/>
        <v>0</v>
      </c>
      <c r="AW37" s="61">
        <f t="shared" si="12"/>
        <v>0</v>
      </c>
      <c r="AX37" s="61">
        <f t="shared" si="12"/>
        <v>0</v>
      </c>
      <c r="AY37" s="61">
        <f t="shared" si="12"/>
        <v>451479939.35000002</v>
      </c>
      <c r="AZ37" s="61">
        <f t="shared" si="12"/>
        <v>6693724590.3904991</v>
      </c>
      <c r="BA37" s="61">
        <f t="shared" si="12"/>
        <v>3398134752.4699998</v>
      </c>
      <c r="BB37" s="61">
        <f t="shared" si="12"/>
        <v>0</v>
      </c>
      <c r="BC37" s="61">
        <f t="shared" si="12"/>
        <v>0</v>
      </c>
      <c r="BD37" s="61">
        <f t="shared" si="12"/>
        <v>2830565500</v>
      </c>
      <c r="BE37" s="61">
        <f t="shared" si="12"/>
        <v>0</v>
      </c>
      <c r="BF37" s="61">
        <f t="shared" si="12"/>
        <v>0</v>
      </c>
      <c r="BG37" s="61">
        <f t="shared" si="12"/>
        <v>0</v>
      </c>
      <c r="BH37" s="61">
        <f t="shared" si="12"/>
        <v>0</v>
      </c>
      <c r="BI37" s="61">
        <f t="shared" si="12"/>
        <v>0</v>
      </c>
      <c r="BJ37" s="61">
        <f t="shared" si="12"/>
        <v>465024337.92049998</v>
      </c>
      <c r="BK37" s="61">
        <f t="shared" si="12"/>
        <v>8933191168.3281155</v>
      </c>
      <c r="BL37" s="61">
        <f t="shared" si="12"/>
        <v>5498262481.6400003</v>
      </c>
      <c r="BM37" s="61">
        <f t="shared" si="12"/>
        <v>0</v>
      </c>
      <c r="BN37" s="61">
        <f t="shared" si="12"/>
        <v>0</v>
      </c>
      <c r="BO37" s="61">
        <f t="shared" si="12"/>
        <v>2955953619</v>
      </c>
      <c r="BP37" s="61">
        <f t="shared" si="12"/>
        <v>0</v>
      </c>
      <c r="BQ37" s="61">
        <f t="shared" si="12"/>
        <v>0</v>
      </c>
      <c r="BR37" s="61">
        <f t="shared" si="12"/>
        <v>0</v>
      </c>
      <c r="BS37" s="61">
        <f t="shared" si="12"/>
        <v>0</v>
      </c>
      <c r="BT37" s="61">
        <f t="shared" si="12"/>
        <v>0</v>
      </c>
      <c r="BU37" s="62">
        <f t="shared" si="12"/>
        <v>478975067.688115</v>
      </c>
      <c r="BV37" s="61">
        <f t="shared" si="12"/>
        <v>27403902370.658611</v>
      </c>
      <c r="BW37" s="55"/>
    </row>
    <row r="38" spans="1:75" s="190" customFormat="1" ht="135.75" customHeight="1" x14ac:dyDescent="0.2">
      <c r="A38" s="206">
        <v>1</v>
      </c>
      <c r="B38" s="215" t="s">
        <v>19</v>
      </c>
      <c r="C38" s="17" t="s">
        <v>453</v>
      </c>
      <c r="D38" s="17" t="s">
        <v>266</v>
      </c>
      <c r="E38" s="16" t="s">
        <v>532</v>
      </c>
      <c r="F38" s="7" t="s">
        <v>475</v>
      </c>
      <c r="G38" s="17" t="s">
        <v>533</v>
      </c>
      <c r="H38" s="16" t="s">
        <v>532</v>
      </c>
      <c r="I38" s="6">
        <v>19</v>
      </c>
      <c r="J38" s="6" t="s">
        <v>1645</v>
      </c>
      <c r="K38" s="15">
        <v>2</v>
      </c>
      <c r="L38" s="6" t="s">
        <v>458</v>
      </c>
      <c r="M38" s="208">
        <v>12</v>
      </c>
      <c r="N38" s="206">
        <v>1905</v>
      </c>
      <c r="O38" s="207" t="s">
        <v>173</v>
      </c>
      <c r="P38" s="6" t="s">
        <v>534</v>
      </c>
      <c r="Q38" s="6">
        <v>1905012</v>
      </c>
      <c r="R38" s="6">
        <v>1905012</v>
      </c>
      <c r="S38" s="17" t="s">
        <v>267</v>
      </c>
      <c r="T38" s="6" t="s">
        <v>535</v>
      </c>
      <c r="U38" s="6">
        <v>190501200</v>
      </c>
      <c r="V38" s="6">
        <v>190501200</v>
      </c>
      <c r="W38" s="48" t="s">
        <v>267</v>
      </c>
      <c r="X38" s="49" t="s">
        <v>8</v>
      </c>
      <c r="Y38" s="6">
        <v>1</v>
      </c>
      <c r="Z38" s="6">
        <v>1</v>
      </c>
      <c r="AA38" s="6">
        <v>1</v>
      </c>
      <c r="AB38" s="6">
        <v>1</v>
      </c>
      <c r="AC38" s="6">
        <v>1</v>
      </c>
      <c r="AD38" s="50">
        <f t="shared" ref="AD38:AD59" si="13">AE38+AF38+AG38+AH38+AI38+AJ38+AK38+AL38+AM38+AN38</f>
        <v>20000000</v>
      </c>
      <c r="AE38" s="52"/>
      <c r="AF38" s="52"/>
      <c r="AG38" s="52"/>
      <c r="AH38" s="52">
        <v>20000000</v>
      </c>
      <c r="AI38" s="52"/>
      <c r="AJ38" s="52"/>
      <c r="AK38" s="52"/>
      <c r="AL38" s="52"/>
      <c r="AM38" s="52"/>
      <c r="AN38" s="52"/>
      <c r="AO38" s="52">
        <f t="shared" ref="AO38:AO59" si="14">AP38+AQ38+AR38+AS38+AT38+AU38+AV38+AW38+AX38+AY38</f>
        <v>20000000</v>
      </c>
      <c r="AP38" s="52"/>
      <c r="AQ38" s="52"/>
      <c r="AR38" s="52"/>
      <c r="AS38" s="52">
        <v>20000000</v>
      </c>
      <c r="AT38" s="64"/>
      <c r="AU38" s="52"/>
      <c r="AV38" s="52"/>
      <c r="AW38" s="52"/>
      <c r="AX38" s="52"/>
      <c r="AY38" s="52"/>
      <c r="AZ38" s="52">
        <f t="shared" ref="AZ38:AZ59" si="15">BA38+BB38+BC38+BD38+BE38+BF38+BG38+BH38+BI38+BJ38</f>
        <v>20000000</v>
      </c>
      <c r="BA38" s="52"/>
      <c r="BB38" s="52"/>
      <c r="BC38" s="52"/>
      <c r="BD38" s="52">
        <v>20000000</v>
      </c>
      <c r="BE38" s="52"/>
      <c r="BF38" s="52"/>
      <c r="BG38" s="52"/>
      <c r="BH38" s="52"/>
      <c r="BI38" s="52"/>
      <c r="BJ38" s="52"/>
      <c r="BK38" s="52">
        <f t="shared" ref="BK38:BK59" si="16">BL38+BM38+BN38+BO38+BP38+BQ38+BR38+BS38+BT38+BU38</f>
        <v>20000000</v>
      </c>
      <c r="BL38" s="52"/>
      <c r="BM38" s="52"/>
      <c r="BN38" s="52"/>
      <c r="BO38" s="52">
        <v>20000000</v>
      </c>
      <c r="BP38" s="52"/>
      <c r="BQ38" s="52"/>
      <c r="BR38" s="52"/>
      <c r="BS38" s="52"/>
      <c r="BT38" s="52"/>
      <c r="BU38" s="53"/>
      <c r="BV38" s="54">
        <f t="shared" ref="BV38:BV59" si="17">AD38+AO38+AZ38+BK38</f>
        <v>80000000</v>
      </c>
      <c r="BW38" s="55"/>
    </row>
    <row r="39" spans="1:75" s="190" customFormat="1" ht="78.75" customHeight="1" x14ac:dyDescent="0.2">
      <c r="A39" s="206">
        <v>1</v>
      </c>
      <c r="B39" s="215" t="s">
        <v>19</v>
      </c>
      <c r="C39" s="17" t="s">
        <v>453</v>
      </c>
      <c r="D39" s="17" t="s">
        <v>225</v>
      </c>
      <c r="E39" s="68">
        <v>8.7157362618207177</v>
      </c>
      <c r="F39" s="65">
        <v>2018</v>
      </c>
      <c r="G39" s="72" t="s">
        <v>462</v>
      </c>
      <c r="H39" s="16">
        <v>8.6</v>
      </c>
      <c r="I39" s="6">
        <v>19</v>
      </c>
      <c r="J39" s="6" t="s">
        <v>1645</v>
      </c>
      <c r="K39" s="15">
        <v>2</v>
      </c>
      <c r="L39" s="6" t="s">
        <v>458</v>
      </c>
      <c r="M39" s="208">
        <v>12</v>
      </c>
      <c r="N39" s="206">
        <v>1905</v>
      </c>
      <c r="O39" s="207" t="s">
        <v>173</v>
      </c>
      <c r="P39" s="6" t="s">
        <v>536</v>
      </c>
      <c r="Q39" s="6">
        <v>1905014</v>
      </c>
      <c r="R39" s="6">
        <v>1905014</v>
      </c>
      <c r="S39" s="17" t="s">
        <v>123</v>
      </c>
      <c r="T39" s="6" t="s">
        <v>537</v>
      </c>
      <c r="U39" s="6">
        <v>190501400</v>
      </c>
      <c r="V39" s="6">
        <v>190501400</v>
      </c>
      <c r="W39" s="48" t="s">
        <v>430</v>
      </c>
      <c r="X39" s="49" t="s">
        <v>8</v>
      </c>
      <c r="Y39" s="6">
        <v>12</v>
      </c>
      <c r="Z39" s="6">
        <v>12</v>
      </c>
      <c r="AA39" s="6">
        <v>12</v>
      </c>
      <c r="AB39" s="6">
        <v>12</v>
      </c>
      <c r="AC39" s="6">
        <v>12</v>
      </c>
      <c r="AD39" s="50">
        <f t="shared" si="13"/>
        <v>45000000</v>
      </c>
      <c r="AE39" s="52"/>
      <c r="AF39" s="52"/>
      <c r="AG39" s="52"/>
      <c r="AH39" s="52">
        <v>45000000</v>
      </c>
      <c r="AI39" s="52"/>
      <c r="AJ39" s="52"/>
      <c r="AK39" s="52"/>
      <c r="AL39" s="52"/>
      <c r="AM39" s="52"/>
      <c r="AN39" s="52"/>
      <c r="AO39" s="52">
        <f t="shared" si="14"/>
        <v>45000000</v>
      </c>
      <c r="AP39" s="52"/>
      <c r="AQ39" s="52"/>
      <c r="AR39" s="52"/>
      <c r="AS39" s="52">
        <v>45000000</v>
      </c>
      <c r="AT39" s="64"/>
      <c r="AU39" s="52"/>
      <c r="AV39" s="52"/>
      <c r="AW39" s="52"/>
      <c r="AX39" s="52"/>
      <c r="AY39" s="52"/>
      <c r="AZ39" s="52">
        <f t="shared" si="15"/>
        <v>45000000</v>
      </c>
      <c r="BA39" s="52"/>
      <c r="BB39" s="52"/>
      <c r="BC39" s="52"/>
      <c r="BD39" s="52">
        <v>45000000</v>
      </c>
      <c r="BE39" s="52"/>
      <c r="BF39" s="52"/>
      <c r="BG39" s="52"/>
      <c r="BH39" s="52"/>
      <c r="BI39" s="52"/>
      <c r="BJ39" s="52"/>
      <c r="BK39" s="52">
        <f t="shared" si="16"/>
        <v>45000000</v>
      </c>
      <c r="BL39" s="52"/>
      <c r="BM39" s="52"/>
      <c r="BN39" s="52"/>
      <c r="BO39" s="52">
        <v>45000000</v>
      </c>
      <c r="BP39" s="52"/>
      <c r="BQ39" s="52"/>
      <c r="BR39" s="52"/>
      <c r="BS39" s="52"/>
      <c r="BT39" s="52"/>
      <c r="BU39" s="53"/>
      <c r="BV39" s="54">
        <f t="shared" si="17"/>
        <v>180000000</v>
      </c>
      <c r="BW39" s="55"/>
    </row>
    <row r="40" spans="1:75" s="190" customFormat="1" ht="110.25" customHeight="1" x14ac:dyDescent="0.2">
      <c r="A40" s="206">
        <v>1</v>
      </c>
      <c r="B40" s="215" t="s">
        <v>19</v>
      </c>
      <c r="C40" s="17" t="s">
        <v>453</v>
      </c>
      <c r="D40" s="17" t="s">
        <v>230</v>
      </c>
      <c r="E40" s="69">
        <v>13</v>
      </c>
      <c r="F40" s="65">
        <v>2018</v>
      </c>
      <c r="G40" s="70" t="s">
        <v>462</v>
      </c>
      <c r="H40" s="71">
        <v>13</v>
      </c>
      <c r="I40" s="6">
        <v>19</v>
      </c>
      <c r="J40" s="6" t="s">
        <v>1645</v>
      </c>
      <c r="K40" s="15">
        <v>2</v>
      </c>
      <c r="L40" s="6" t="s">
        <v>458</v>
      </c>
      <c r="M40" s="208">
        <v>12</v>
      </c>
      <c r="N40" s="206">
        <v>1905</v>
      </c>
      <c r="O40" s="207" t="s">
        <v>173</v>
      </c>
      <c r="P40" s="6" t="s">
        <v>538</v>
      </c>
      <c r="Q40" s="6">
        <v>1905015</v>
      </c>
      <c r="R40" s="6">
        <v>1905015</v>
      </c>
      <c r="S40" s="17" t="s">
        <v>105</v>
      </c>
      <c r="T40" s="6" t="s">
        <v>539</v>
      </c>
      <c r="U40" s="6">
        <v>190501503</v>
      </c>
      <c r="V40" s="6">
        <v>190501503</v>
      </c>
      <c r="W40" s="48" t="s">
        <v>540</v>
      </c>
      <c r="X40" s="49" t="s">
        <v>8</v>
      </c>
      <c r="Y40" s="6">
        <v>15</v>
      </c>
      <c r="Z40" s="6">
        <v>15</v>
      </c>
      <c r="AA40" s="6">
        <v>15</v>
      </c>
      <c r="AB40" s="6">
        <v>15</v>
      </c>
      <c r="AC40" s="6">
        <v>15</v>
      </c>
      <c r="AD40" s="50">
        <f t="shared" si="13"/>
        <v>100126107.14</v>
      </c>
      <c r="AE40" s="52"/>
      <c r="AF40" s="52"/>
      <c r="AG40" s="52"/>
      <c r="AH40" s="52">
        <v>100126107.14</v>
      </c>
      <c r="AI40" s="52"/>
      <c r="AJ40" s="52"/>
      <c r="AK40" s="52"/>
      <c r="AL40" s="52"/>
      <c r="AM40" s="52"/>
      <c r="AN40" s="52"/>
      <c r="AO40" s="52">
        <f t="shared" si="14"/>
        <v>80000000</v>
      </c>
      <c r="AP40" s="52"/>
      <c r="AQ40" s="52"/>
      <c r="AR40" s="52"/>
      <c r="AS40" s="52">
        <v>80000000</v>
      </c>
      <c r="AT40" s="64"/>
      <c r="AU40" s="52"/>
      <c r="AV40" s="52"/>
      <c r="AW40" s="52"/>
      <c r="AX40" s="52"/>
      <c r="AY40" s="52"/>
      <c r="AZ40" s="52">
        <f t="shared" si="15"/>
        <v>80000000</v>
      </c>
      <c r="BA40" s="52"/>
      <c r="BB40" s="52"/>
      <c r="BC40" s="52"/>
      <c r="BD40" s="52">
        <v>80000000</v>
      </c>
      <c r="BE40" s="52"/>
      <c r="BF40" s="52"/>
      <c r="BG40" s="52"/>
      <c r="BH40" s="52"/>
      <c r="BI40" s="52"/>
      <c r="BJ40" s="52"/>
      <c r="BK40" s="52">
        <f t="shared" si="16"/>
        <v>80000000</v>
      </c>
      <c r="BL40" s="52"/>
      <c r="BM40" s="52"/>
      <c r="BN40" s="52"/>
      <c r="BO40" s="52">
        <v>80000000</v>
      </c>
      <c r="BP40" s="52"/>
      <c r="BQ40" s="52"/>
      <c r="BR40" s="52"/>
      <c r="BS40" s="52"/>
      <c r="BT40" s="52"/>
      <c r="BU40" s="53"/>
      <c r="BV40" s="54">
        <f t="shared" si="17"/>
        <v>340126107.13999999</v>
      </c>
      <c r="BW40" s="55"/>
    </row>
    <row r="41" spans="1:75" s="190" customFormat="1" ht="47.25" customHeight="1" x14ac:dyDescent="0.2">
      <c r="A41" s="206">
        <v>1</v>
      </c>
      <c r="B41" s="215" t="s">
        <v>19</v>
      </c>
      <c r="C41" s="17" t="s">
        <v>453</v>
      </c>
      <c r="D41" s="17" t="s">
        <v>253</v>
      </c>
      <c r="E41" s="16">
        <v>0</v>
      </c>
      <c r="F41" s="7">
        <v>2018</v>
      </c>
      <c r="G41" s="17" t="s">
        <v>462</v>
      </c>
      <c r="H41" s="16">
        <v>0</v>
      </c>
      <c r="I41" s="6">
        <v>19</v>
      </c>
      <c r="J41" s="6" t="s">
        <v>1645</v>
      </c>
      <c r="K41" s="15">
        <v>2</v>
      </c>
      <c r="L41" s="6" t="s">
        <v>458</v>
      </c>
      <c r="M41" s="208">
        <v>12</v>
      </c>
      <c r="N41" s="206">
        <v>1905</v>
      </c>
      <c r="O41" s="207" t="s">
        <v>173</v>
      </c>
      <c r="P41" s="6" t="s">
        <v>541</v>
      </c>
      <c r="Q41" s="6">
        <v>1905019</v>
      </c>
      <c r="R41" s="6">
        <v>1905019</v>
      </c>
      <c r="S41" s="17" t="s">
        <v>254</v>
      </c>
      <c r="T41" s="6" t="s">
        <v>542</v>
      </c>
      <c r="U41" s="6">
        <v>190501900</v>
      </c>
      <c r="V41" s="6">
        <v>190501900</v>
      </c>
      <c r="W41" s="48" t="s">
        <v>543</v>
      </c>
      <c r="X41" s="49" t="s">
        <v>8</v>
      </c>
      <c r="Y41" s="6">
        <v>60</v>
      </c>
      <c r="Z41" s="6">
        <v>60</v>
      </c>
      <c r="AA41" s="6">
        <v>60</v>
      </c>
      <c r="AB41" s="6">
        <v>60</v>
      </c>
      <c r="AC41" s="6">
        <v>60</v>
      </c>
      <c r="AD41" s="50">
        <f t="shared" si="13"/>
        <v>20000000</v>
      </c>
      <c r="AE41" s="52"/>
      <c r="AF41" s="52"/>
      <c r="AG41" s="52"/>
      <c r="AH41" s="52">
        <v>20000000</v>
      </c>
      <c r="AI41" s="52"/>
      <c r="AJ41" s="52"/>
      <c r="AK41" s="52"/>
      <c r="AL41" s="52"/>
      <c r="AM41" s="52"/>
      <c r="AN41" s="52"/>
      <c r="AO41" s="52">
        <f t="shared" si="14"/>
        <v>20000000</v>
      </c>
      <c r="AP41" s="52"/>
      <c r="AQ41" s="52"/>
      <c r="AR41" s="52"/>
      <c r="AS41" s="52">
        <v>20000000</v>
      </c>
      <c r="AT41" s="64"/>
      <c r="AU41" s="52"/>
      <c r="AV41" s="52"/>
      <c r="AW41" s="52"/>
      <c r="AX41" s="52"/>
      <c r="AY41" s="52"/>
      <c r="AZ41" s="52">
        <f t="shared" si="15"/>
        <v>20000000</v>
      </c>
      <c r="BA41" s="52"/>
      <c r="BB41" s="52"/>
      <c r="BC41" s="52"/>
      <c r="BD41" s="52">
        <v>20000000</v>
      </c>
      <c r="BE41" s="52"/>
      <c r="BF41" s="52"/>
      <c r="BG41" s="52"/>
      <c r="BH41" s="52"/>
      <c r="BI41" s="52"/>
      <c r="BJ41" s="52"/>
      <c r="BK41" s="52">
        <f t="shared" si="16"/>
        <v>30000000</v>
      </c>
      <c r="BL41" s="52"/>
      <c r="BM41" s="52"/>
      <c r="BN41" s="52"/>
      <c r="BO41" s="52">
        <v>30000000</v>
      </c>
      <c r="BP41" s="52"/>
      <c r="BQ41" s="52"/>
      <c r="BR41" s="52"/>
      <c r="BS41" s="52"/>
      <c r="BT41" s="52"/>
      <c r="BU41" s="53"/>
      <c r="BV41" s="54">
        <f t="shared" si="17"/>
        <v>90000000</v>
      </c>
      <c r="BW41" s="55"/>
    </row>
    <row r="42" spans="1:75" s="190" customFormat="1" ht="141.75" customHeight="1" x14ac:dyDescent="0.2">
      <c r="A42" s="206">
        <v>1</v>
      </c>
      <c r="B42" s="215" t="s">
        <v>19</v>
      </c>
      <c r="C42" s="17" t="s">
        <v>453</v>
      </c>
      <c r="D42" s="17" t="s">
        <v>233</v>
      </c>
      <c r="E42" s="16">
        <v>81.5</v>
      </c>
      <c r="F42" s="7">
        <v>2018</v>
      </c>
      <c r="G42" s="17" t="s">
        <v>481</v>
      </c>
      <c r="H42" s="16">
        <v>71.12</v>
      </c>
      <c r="I42" s="6">
        <v>19</v>
      </c>
      <c r="J42" s="6" t="s">
        <v>1645</v>
      </c>
      <c r="K42" s="15">
        <v>2</v>
      </c>
      <c r="L42" s="6" t="s">
        <v>458</v>
      </c>
      <c r="M42" s="208">
        <v>12</v>
      </c>
      <c r="N42" s="206">
        <v>1905</v>
      </c>
      <c r="O42" s="207" t="s">
        <v>173</v>
      </c>
      <c r="P42" s="6" t="s">
        <v>544</v>
      </c>
      <c r="Q42" s="6">
        <v>1905020</v>
      </c>
      <c r="R42" s="6">
        <v>1905020</v>
      </c>
      <c r="S42" s="17" t="s">
        <v>263</v>
      </c>
      <c r="T42" s="6" t="s">
        <v>545</v>
      </c>
      <c r="U42" s="6">
        <v>190502000</v>
      </c>
      <c r="V42" s="6">
        <v>190502000</v>
      </c>
      <c r="W42" s="48" t="s">
        <v>546</v>
      </c>
      <c r="X42" s="49" t="s">
        <v>8</v>
      </c>
      <c r="Y42" s="6">
        <v>12</v>
      </c>
      <c r="Z42" s="6">
        <v>12</v>
      </c>
      <c r="AA42" s="6">
        <v>12</v>
      </c>
      <c r="AB42" s="6">
        <v>12</v>
      </c>
      <c r="AC42" s="6">
        <v>12</v>
      </c>
      <c r="AD42" s="50">
        <f t="shared" si="13"/>
        <v>40000000</v>
      </c>
      <c r="AE42" s="52"/>
      <c r="AF42" s="52"/>
      <c r="AG42" s="52"/>
      <c r="AH42" s="52">
        <v>40000000</v>
      </c>
      <c r="AI42" s="52"/>
      <c r="AJ42" s="52"/>
      <c r="AK42" s="52"/>
      <c r="AL42" s="52"/>
      <c r="AM42" s="52"/>
      <c r="AN42" s="52"/>
      <c r="AO42" s="52">
        <f t="shared" si="14"/>
        <v>40000000</v>
      </c>
      <c r="AP42" s="52"/>
      <c r="AQ42" s="52"/>
      <c r="AR42" s="52"/>
      <c r="AS42" s="52">
        <v>40000000</v>
      </c>
      <c r="AT42" s="64"/>
      <c r="AU42" s="52"/>
      <c r="AV42" s="52"/>
      <c r="AW42" s="52"/>
      <c r="AX42" s="52"/>
      <c r="AY42" s="52"/>
      <c r="AZ42" s="52">
        <f t="shared" si="15"/>
        <v>41850000</v>
      </c>
      <c r="BA42" s="52"/>
      <c r="BB42" s="52"/>
      <c r="BC42" s="52"/>
      <c r="BD42" s="52">
        <v>41850000</v>
      </c>
      <c r="BE42" s="52"/>
      <c r="BF42" s="52"/>
      <c r="BG42" s="52"/>
      <c r="BH42" s="52"/>
      <c r="BI42" s="52"/>
      <c r="BJ42" s="52"/>
      <c r="BK42" s="52">
        <f t="shared" si="16"/>
        <v>41850000</v>
      </c>
      <c r="BL42" s="52"/>
      <c r="BM42" s="52"/>
      <c r="BN42" s="52"/>
      <c r="BO42" s="52">
        <v>41850000</v>
      </c>
      <c r="BP42" s="52"/>
      <c r="BQ42" s="52"/>
      <c r="BR42" s="52"/>
      <c r="BS42" s="52"/>
      <c r="BT42" s="52"/>
      <c r="BU42" s="53"/>
      <c r="BV42" s="54">
        <f t="shared" si="17"/>
        <v>163700000</v>
      </c>
      <c r="BW42" s="55"/>
    </row>
    <row r="43" spans="1:75" s="190" customFormat="1" ht="165.75" customHeight="1" x14ac:dyDescent="0.2">
      <c r="A43" s="206">
        <v>1</v>
      </c>
      <c r="B43" s="215" t="s">
        <v>19</v>
      </c>
      <c r="C43" s="56" t="s">
        <v>453</v>
      </c>
      <c r="D43" s="17" t="s">
        <v>174</v>
      </c>
      <c r="E43" s="16" t="s">
        <v>547</v>
      </c>
      <c r="F43" s="7" t="s">
        <v>548</v>
      </c>
      <c r="G43" s="17" t="s">
        <v>549</v>
      </c>
      <c r="H43" s="16" t="s">
        <v>550</v>
      </c>
      <c r="I43" s="6">
        <v>19</v>
      </c>
      <c r="J43" s="6" t="s">
        <v>1645</v>
      </c>
      <c r="K43" s="15">
        <v>2</v>
      </c>
      <c r="L43" s="6" t="s">
        <v>458</v>
      </c>
      <c r="M43" s="208">
        <v>12</v>
      </c>
      <c r="N43" s="206">
        <v>1905</v>
      </c>
      <c r="O43" s="207" t="s">
        <v>173</v>
      </c>
      <c r="P43" s="6" t="s">
        <v>551</v>
      </c>
      <c r="Q43" s="6">
        <v>1905021</v>
      </c>
      <c r="R43" s="6">
        <v>1905021</v>
      </c>
      <c r="S43" s="17" t="s">
        <v>175</v>
      </c>
      <c r="T43" s="6" t="s">
        <v>552</v>
      </c>
      <c r="U43" s="6">
        <v>190502100</v>
      </c>
      <c r="V43" s="6">
        <v>190502100</v>
      </c>
      <c r="W43" s="48" t="s">
        <v>553</v>
      </c>
      <c r="X43" s="49" t="s">
        <v>8</v>
      </c>
      <c r="Y43" s="6">
        <v>12</v>
      </c>
      <c r="Z43" s="6">
        <v>12</v>
      </c>
      <c r="AA43" s="6">
        <v>12</v>
      </c>
      <c r="AB43" s="6">
        <v>12</v>
      </c>
      <c r="AC43" s="6">
        <v>12</v>
      </c>
      <c r="AD43" s="50">
        <f t="shared" si="13"/>
        <v>113000000</v>
      </c>
      <c r="AE43" s="52">
        <v>25000000</v>
      </c>
      <c r="AF43" s="52"/>
      <c r="AG43" s="52"/>
      <c r="AH43" s="52">
        <v>88000000</v>
      </c>
      <c r="AI43" s="52"/>
      <c r="AJ43" s="52"/>
      <c r="AK43" s="52"/>
      <c r="AL43" s="52"/>
      <c r="AM43" s="52"/>
      <c r="AN43" s="52"/>
      <c r="AO43" s="52">
        <f t="shared" si="14"/>
        <v>123200000</v>
      </c>
      <c r="AP43" s="52">
        <v>15200000</v>
      </c>
      <c r="AQ43" s="52"/>
      <c r="AR43" s="52"/>
      <c r="AS43" s="52">
        <v>108000000</v>
      </c>
      <c r="AT43" s="64"/>
      <c r="AU43" s="52"/>
      <c r="AV43" s="52"/>
      <c r="AW43" s="52"/>
      <c r="AX43" s="52"/>
      <c r="AY43" s="52"/>
      <c r="AZ43" s="52">
        <f t="shared" si="15"/>
        <v>138000000</v>
      </c>
      <c r="BA43" s="52">
        <v>30000000</v>
      </c>
      <c r="BB43" s="52"/>
      <c r="BC43" s="52"/>
      <c r="BD43" s="52">
        <v>108000000</v>
      </c>
      <c r="BE43" s="52"/>
      <c r="BF43" s="52"/>
      <c r="BG43" s="52"/>
      <c r="BH43" s="52"/>
      <c r="BI43" s="52"/>
      <c r="BJ43" s="52"/>
      <c r="BK43" s="52">
        <f t="shared" si="16"/>
        <v>182582400</v>
      </c>
      <c r="BL43" s="52">
        <v>74582400</v>
      </c>
      <c r="BM43" s="52"/>
      <c r="BN43" s="52"/>
      <c r="BO43" s="52">
        <v>108000000</v>
      </c>
      <c r="BP43" s="52"/>
      <c r="BQ43" s="52"/>
      <c r="BR43" s="52"/>
      <c r="BS43" s="52"/>
      <c r="BT43" s="52"/>
      <c r="BU43" s="53"/>
      <c r="BV43" s="54">
        <f t="shared" si="17"/>
        <v>556782400</v>
      </c>
      <c r="BW43" s="77"/>
    </row>
    <row r="44" spans="1:75" s="190" customFormat="1" ht="147" customHeight="1" x14ac:dyDescent="0.2">
      <c r="A44" s="206">
        <v>1</v>
      </c>
      <c r="B44" s="215" t="s">
        <v>19</v>
      </c>
      <c r="C44" s="17" t="s">
        <v>453</v>
      </c>
      <c r="D44" s="17" t="s">
        <v>1627</v>
      </c>
      <c r="E44" s="16" t="s">
        <v>554</v>
      </c>
      <c r="F44" s="7" t="s">
        <v>555</v>
      </c>
      <c r="G44" s="17" t="s">
        <v>556</v>
      </c>
      <c r="H44" s="16" t="s">
        <v>557</v>
      </c>
      <c r="I44" s="6">
        <v>19</v>
      </c>
      <c r="J44" s="6" t="s">
        <v>1645</v>
      </c>
      <c r="K44" s="15">
        <v>2</v>
      </c>
      <c r="L44" s="6" t="s">
        <v>458</v>
      </c>
      <c r="M44" s="208">
        <v>12</v>
      </c>
      <c r="N44" s="206">
        <v>1905</v>
      </c>
      <c r="O44" s="207" t="s">
        <v>173</v>
      </c>
      <c r="P44" s="6" t="s">
        <v>558</v>
      </c>
      <c r="Q44" s="6">
        <v>1905022</v>
      </c>
      <c r="R44" s="6">
        <v>1905022</v>
      </c>
      <c r="S44" s="17" t="s">
        <v>176</v>
      </c>
      <c r="T44" s="6" t="s">
        <v>559</v>
      </c>
      <c r="U44" s="6">
        <v>190502200</v>
      </c>
      <c r="V44" s="6">
        <v>190502200</v>
      </c>
      <c r="W44" s="48" t="s">
        <v>560</v>
      </c>
      <c r="X44" s="49" t="s">
        <v>8</v>
      </c>
      <c r="Y44" s="6">
        <v>12</v>
      </c>
      <c r="Z44" s="6">
        <v>12</v>
      </c>
      <c r="AA44" s="6">
        <v>12</v>
      </c>
      <c r="AB44" s="6">
        <v>12</v>
      </c>
      <c r="AC44" s="6">
        <v>12</v>
      </c>
      <c r="AD44" s="50">
        <f t="shared" si="13"/>
        <v>89477635</v>
      </c>
      <c r="AE44" s="52">
        <v>29477635</v>
      </c>
      <c r="AF44" s="52"/>
      <c r="AG44" s="52"/>
      <c r="AH44" s="52">
        <v>60000000</v>
      </c>
      <c r="AI44" s="52"/>
      <c r="AJ44" s="52"/>
      <c r="AK44" s="52"/>
      <c r="AL44" s="52"/>
      <c r="AM44" s="52"/>
      <c r="AN44" s="52"/>
      <c r="AO44" s="52">
        <f t="shared" si="14"/>
        <v>75200000</v>
      </c>
      <c r="AP44" s="52">
        <v>15200000</v>
      </c>
      <c r="AQ44" s="52"/>
      <c r="AR44" s="52"/>
      <c r="AS44" s="52">
        <v>60000000</v>
      </c>
      <c r="AT44" s="64"/>
      <c r="AU44" s="52"/>
      <c r="AV44" s="52"/>
      <c r="AW44" s="52"/>
      <c r="AX44" s="52"/>
      <c r="AY44" s="52"/>
      <c r="AZ44" s="52">
        <f t="shared" si="15"/>
        <v>121766400</v>
      </c>
      <c r="BA44" s="52">
        <v>31766400</v>
      </c>
      <c r="BB44" s="52"/>
      <c r="BC44" s="52"/>
      <c r="BD44" s="52">
        <v>90000000</v>
      </c>
      <c r="BE44" s="52"/>
      <c r="BF44" s="52"/>
      <c r="BG44" s="52"/>
      <c r="BH44" s="52"/>
      <c r="BI44" s="52"/>
      <c r="BJ44" s="52"/>
      <c r="BK44" s="52">
        <f t="shared" si="16"/>
        <v>140000000</v>
      </c>
      <c r="BL44" s="52">
        <v>50000000</v>
      </c>
      <c r="BM44" s="52"/>
      <c r="BN44" s="52"/>
      <c r="BO44" s="52">
        <v>90000000</v>
      </c>
      <c r="BP44" s="52"/>
      <c r="BQ44" s="52"/>
      <c r="BR44" s="52"/>
      <c r="BS44" s="52"/>
      <c r="BT44" s="52"/>
      <c r="BU44" s="53"/>
      <c r="BV44" s="54">
        <f t="shared" si="17"/>
        <v>426444035</v>
      </c>
      <c r="BW44" s="77"/>
    </row>
    <row r="45" spans="1:75" s="190" customFormat="1" ht="141.75" customHeight="1" x14ac:dyDescent="0.2">
      <c r="A45" s="206">
        <v>1</v>
      </c>
      <c r="B45" s="215" t="s">
        <v>19</v>
      </c>
      <c r="C45" s="56" t="s">
        <v>453</v>
      </c>
      <c r="D45" s="17" t="s">
        <v>264</v>
      </c>
      <c r="E45" s="68" t="s">
        <v>561</v>
      </c>
      <c r="F45" s="7" t="s">
        <v>455</v>
      </c>
      <c r="G45" s="72" t="s">
        <v>562</v>
      </c>
      <c r="H45" s="16" t="s">
        <v>563</v>
      </c>
      <c r="I45" s="6">
        <v>19</v>
      </c>
      <c r="J45" s="6" t="s">
        <v>1645</v>
      </c>
      <c r="K45" s="15">
        <v>2</v>
      </c>
      <c r="L45" s="6" t="s">
        <v>458</v>
      </c>
      <c r="M45" s="208">
        <v>12</v>
      </c>
      <c r="N45" s="206">
        <v>1905</v>
      </c>
      <c r="O45" s="207" t="s">
        <v>173</v>
      </c>
      <c r="P45" s="6" t="s">
        <v>564</v>
      </c>
      <c r="Q45" s="6">
        <v>1905023</v>
      </c>
      <c r="R45" s="6">
        <v>1905023</v>
      </c>
      <c r="S45" s="17" t="s">
        <v>265</v>
      </c>
      <c r="T45" s="78" t="s">
        <v>565</v>
      </c>
      <c r="U45" s="6">
        <v>190502300</v>
      </c>
      <c r="V45" s="6">
        <v>190502300</v>
      </c>
      <c r="W45" s="48" t="s">
        <v>566</v>
      </c>
      <c r="X45" s="49" t="s">
        <v>8</v>
      </c>
      <c r="Y45" s="6">
        <v>12</v>
      </c>
      <c r="Z45" s="6">
        <v>12</v>
      </c>
      <c r="AA45" s="6">
        <v>12</v>
      </c>
      <c r="AB45" s="6">
        <v>12</v>
      </c>
      <c r="AC45" s="6">
        <v>12</v>
      </c>
      <c r="AD45" s="50">
        <f t="shared" si="13"/>
        <v>110000000</v>
      </c>
      <c r="AE45" s="52"/>
      <c r="AF45" s="52"/>
      <c r="AG45" s="52"/>
      <c r="AH45" s="52">
        <v>110000000</v>
      </c>
      <c r="AI45" s="52"/>
      <c r="AJ45" s="52"/>
      <c r="AK45" s="52"/>
      <c r="AL45" s="52"/>
      <c r="AM45" s="52"/>
      <c r="AN45" s="52"/>
      <c r="AO45" s="52">
        <f t="shared" si="14"/>
        <v>110000000</v>
      </c>
      <c r="AP45" s="52"/>
      <c r="AQ45" s="52"/>
      <c r="AR45" s="52"/>
      <c r="AS45" s="52">
        <v>110000000</v>
      </c>
      <c r="AT45" s="64"/>
      <c r="AU45" s="52"/>
      <c r="AV45" s="52"/>
      <c r="AW45" s="52"/>
      <c r="AX45" s="52"/>
      <c r="AY45" s="52"/>
      <c r="AZ45" s="52">
        <f t="shared" si="15"/>
        <v>110000000</v>
      </c>
      <c r="BA45" s="52"/>
      <c r="BB45" s="52"/>
      <c r="BC45" s="52"/>
      <c r="BD45" s="52">
        <v>110000000</v>
      </c>
      <c r="BE45" s="52"/>
      <c r="BF45" s="52"/>
      <c r="BG45" s="52"/>
      <c r="BH45" s="52"/>
      <c r="BI45" s="52"/>
      <c r="BJ45" s="52"/>
      <c r="BK45" s="52">
        <f t="shared" si="16"/>
        <v>110000000</v>
      </c>
      <c r="BL45" s="52"/>
      <c r="BM45" s="52"/>
      <c r="BN45" s="52"/>
      <c r="BO45" s="52">
        <v>110000000</v>
      </c>
      <c r="BP45" s="52"/>
      <c r="BQ45" s="52"/>
      <c r="BR45" s="52"/>
      <c r="BS45" s="52"/>
      <c r="BT45" s="52"/>
      <c r="BU45" s="53"/>
      <c r="BV45" s="54">
        <f t="shared" si="17"/>
        <v>440000000</v>
      </c>
      <c r="BW45" s="55"/>
    </row>
    <row r="46" spans="1:75" s="190" customFormat="1" ht="157.5" customHeight="1" x14ac:dyDescent="0.2">
      <c r="A46" s="206">
        <v>1</v>
      </c>
      <c r="B46" s="215" t="s">
        <v>19</v>
      </c>
      <c r="C46" s="17" t="s">
        <v>453</v>
      </c>
      <c r="D46" s="17" t="s">
        <v>244</v>
      </c>
      <c r="E46" s="16">
        <v>89.22</v>
      </c>
      <c r="F46" s="7">
        <v>2018</v>
      </c>
      <c r="G46" s="17" t="s">
        <v>518</v>
      </c>
      <c r="H46" s="16">
        <v>100</v>
      </c>
      <c r="I46" s="6">
        <v>19</v>
      </c>
      <c r="J46" s="6" t="s">
        <v>1645</v>
      </c>
      <c r="K46" s="15">
        <v>2</v>
      </c>
      <c r="L46" s="6" t="s">
        <v>458</v>
      </c>
      <c r="M46" s="208">
        <v>12</v>
      </c>
      <c r="N46" s="206">
        <v>1905</v>
      </c>
      <c r="O46" s="207" t="s">
        <v>173</v>
      </c>
      <c r="P46" s="6" t="s">
        <v>567</v>
      </c>
      <c r="Q46" s="6">
        <v>1905025</v>
      </c>
      <c r="R46" s="6">
        <v>1905025</v>
      </c>
      <c r="S46" s="17" t="s">
        <v>272</v>
      </c>
      <c r="T46" s="79" t="s">
        <v>568</v>
      </c>
      <c r="U46" s="6">
        <v>190502500</v>
      </c>
      <c r="V46" s="6">
        <v>190502500</v>
      </c>
      <c r="W46" s="48" t="s">
        <v>569</v>
      </c>
      <c r="X46" s="49" t="s">
        <v>8</v>
      </c>
      <c r="Y46" s="6">
        <v>12</v>
      </c>
      <c r="Z46" s="6">
        <v>12</v>
      </c>
      <c r="AA46" s="6">
        <v>12</v>
      </c>
      <c r="AB46" s="6">
        <v>12</v>
      </c>
      <c r="AC46" s="6">
        <v>12</v>
      </c>
      <c r="AD46" s="50">
        <f t="shared" si="13"/>
        <v>76000000</v>
      </c>
      <c r="AE46" s="52"/>
      <c r="AF46" s="52"/>
      <c r="AG46" s="52"/>
      <c r="AH46" s="52">
        <v>76000000</v>
      </c>
      <c r="AI46" s="52"/>
      <c r="AJ46" s="52"/>
      <c r="AK46" s="52"/>
      <c r="AL46" s="52"/>
      <c r="AM46" s="52"/>
      <c r="AN46" s="52"/>
      <c r="AO46" s="52">
        <f t="shared" si="14"/>
        <v>88414100</v>
      </c>
      <c r="AP46" s="52"/>
      <c r="AQ46" s="52"/>
      <c r="AR46" s="52"/>
      <c r="AS46" s="52">
        <v>88414100</v>
      </c>
      <c r="AT46" s="64"/>
      <c r="AU46" s="52"/>
      <c r="AV46" s="52"/>
      <c r="AW46" s="52"/>
      <c r="AX46" s="52"/>
      <c r="AY46" s="52"/>
      <c r="AZ46" s="52">
        <f t="shared" si="15"/>
        <v>108715500</v>
      </c>
      <c r="BA46" s="52"/>
      <c r="BB46" s="52"/>
      <c r="BC46" s="52"/>
      <c r="BD46" s="52">
        <v>108715500</v>
      </c>
      <c r="BE46" s="52"/>
      <c r="BF46" s="52"/>
      <c r="BG46" s="52"/>
      <c r="BH46" s="52"/>
      <c r="BI46" s="52"/>
      <c r="BJ46" s="52"/>
      <c r="BK46" s="52">
        <f t="shared" si="16"/>
        <v>108715500</v>
      </c>
      <c r="BL46" s="52"/>
      <c r="BM46" s="52"/>
      <c r="BN46" s="52"/>
      <c r="BO46" s="52">
        <v>108715500</v>
      </c>
      <c r="BP46" s="52"/>
      <c r="BQ46" s="52"/>
      <c r="BR46" s="52"/>
      <c r="BS46" s="52"/>
      <c r="BT46" s="52"/>
      <c r="BU46" s="53"/>
      <c r="BV46" s="54">
        <f t="shared" si="17"/>
        <v>381845100</v>
      </c>
      <c r="BW46" s="55"/>
    </row>
    <row r="47" spans="1:75" s="190" customFormat="1" ht="150" customHeight="1" x14ac:dyDescent="0.2">
      <c r="A47" s="206">
        <v>1</v>
      </c>
      <c r="B47" s="215" t="s">
        <v>19</v>
      </c>
      <c r="C47" s="17" t="s">
        <v>453</v>
      </c>
      <c r="D47" s="17" t="s">
        <v>268</v>
      </c>
      <c r="E47" s="16" t="s">
        <v>570</v>
      </c>
      <c r="F47" s="7" t="s">
        <v>571</v>
      </c>
      <c r="G47" s="17" t="s">
        <v>572</v>
      </c>
      <c r="H47" s="16" t="s">
        <v>573</v>
      </c>
      <c r="I47" s="6">
        <v>19</v>
      </c>
      <c r="J47" s="6" t="s">
        <v>1645</v>
      </c>
      <c r="K47" s="15">
        <v>2</v>
      </c>
      <c r="L47" s="6" t="s">
        <v>458</v>
      </c>
      <c r="M47" s="208">
        <v>12</v>
      </c>
      <c r="N47" s="206">
        <v>1905</v>
      </c>
      <c r="O47" s="207" t="s">
        <v>173</v>
      </c>
      <c r="P47" s="6" t="s">
        <v>574</v>
      </c>
      <c r="Q47" s="6">
        <v>1905026</v>
      </c>
      <c r="R47" s="6">
        <v>1905026</v>
      </c>
      <c r="S47" s="17" t="s">
        <v>269</v>
      </c>
      <c r="T47" s="79" t="s">
        <v>575</v>
      </c>
      <c r="U47" s="6">
        <v>190502600</v>
      </c>
      <c r="V47" s="6">
        <v>190502600</v>
      </c>
      <c r="W47" s="48" t="s">
        <v>576</v>
      </c>
      <c r="X47" s="49" t="s">
        <v>8</v>
      </c>
      <c r="Y47" s="6">
        <v>12</v>
      </c>
      <c r="Z47" s="6">
        <v>12</v>
      </c>
      <c r="AA47" s="6">
        <v>12</v>
      </c>
      <c r="AB47" s="6">
        <v>12</v>
      </c>
      <c r="AC47" s="6">
        <v>12</v>
      </c>
      <c r="AD47" s="50">
        <f t="shared" si="13"/>
        <v>3437367586.6100001</v>
      </c>
      <c r="AE47" s="52">
        <v>2929870740</v>
      </c>
      <c r="AF47" s="52"/>
      <c r="AG47" s="52"/>
      <c r="AH47" s="52">
        <v>160000000</v>
      </c>
      <c r="AI47" s="52"/>
      <c r="AJ47" s="52"/>
      <c r="AK47" s="52"/>
      <c r="AL47" s="52"/>
      <c r="AM47" s="52"/>
      <c r="AN47" s="1">
        <f>170092678-815624.25-0.14+155911553+22308240</f>
        <v>347496846.61000001</v>
      </c>
      <c r="AO47" s="52">
        <f t="shared" si="14"/>
        <v>1727201278.3499999</v>
      </c>
      <c r="AP47" s="52">
        <v>1383634891.3499999</v>
      </c>
      <c r="AQ47" s="52"/>
      <c r="AR47" s="52"/>
      <c r="AS47" s="52">
        <v>160000000</v>
      </c>
      <c r="AT47" s="64"/>
      <c r="AU47" s="52"/>
      <c r="AV47" s="52"/>
      <c r="AW47" s="52"/>
      <c r="AX47" s="52"/>
      <c r="AY47" s="52">
        <v>183566387</v>
      </c>
      <c r="AZ47" s="52">
        <f t="shared" si="15"/>
        <v>3255441731.4699998</v>
      </c>
      <c r="BA47" s="52">
        <v>2906368352.4699998</v>
      </c>
      <c r="BB47" s="52"/>
      <c r="BC47" s="52"/>
      <c r="BD47" s="52">
        <v>160000000</v>
      </c>
      <c r="BE47" s="52"/>
      <c r="BF47" s="52"/>
      <c r="BG47" s="52"/>
      <c r="BH47" s="52"/>
      <c r="BI47" s="52"/>
      <c r="BJ47" s="52">
        <v>189073379</v>
      </c>
      <c r="BK47" s="52">
        <f t="shared" si="16"/>
        <v>5298425661.6400003</v>
      </c>
      <c r="BL47" s="52">
        <v>4943680081.6400003</v>
      </c>
      <c r="BM47" s="52"/>
      <c r="BN47" s="52"/>
      <c r="BO47" s="52">
        <v>160000000</v>
      </c>
      <c r="BP47" s="52"/>
      <c r="BQ47" s="52"/>
      <c r="BR47" s="52"/>
      <c r="BS47" s="52"/>
      <c r="BT47" s="52"/>
      <c r="BU47" s="53">
        <v>194745580</v>
      </c>
      <c r="BV47" s="54">
        <f t="shared" si="17"/>
        <v>13718436258.07</v>
      </c>
      <c r="BW47" s="55"/>
    </row>
    <row r="48" spans="1:75" s="190" customFormat="1" ht="141.75" customHeight="1" x14ac:dyDescent="0.2">
      <c r="A48" s="206">
        <v>1</v>
      </c>
      <c r="B48" s="215" t="s">
        <v>19</v>
      </c>
      <c r="C48" s="17" t="s">
        <v>453</v>
      </c>
      <c r="D48" s="17" t="s">
        <v>266</v>
      </c>
      <c r="E48" s="16" t="s">
        <v>532</v>
      </c>
      <c r="F48" s="7" t="s">
        <v>475</v>
      </c>
      <c r="G48" s="17" t="s">
        <v>533</v>
      </c>
      <c r="H48" s="16" t="s">
        <v>532</v>
      </c>
      <c r="I48" s="6">
        <v>19</v>
      </c>
      <c r="J48" s="6" t="s">
        <v>1645</v>
      </c>
      <c r="K48" s="15">
        <v>2</v>
      </c>
      <c r="L48" s="6" t="s">
        <v>458</v>
      </c>
      <c r="M48" s="208">
        <v>12</v>
      </c>
      <c r="N48" s="206">
        <v>1905</v>
      </c>
      <c r="O48" s="207" t="s">
        <v>173</v>
      </c>
      <c r="P48" s="6" t="s">
        <v>577</v>
      </c>
      <c r="Q48" s="6">
        <v>1905027</v>
      </c>
      <c r="R48" s="6">
        <v>1905027</v>
      </c>
      <c r="S48" s="17" t="s">
        <v>270</v>
      </c>
      <c r="T48" s="79" t="s">
        <v>578</v>
      </c>
      <c r="U48" s="6">
        <v>190502700</v>
      </c>
      <c r="V48" s="6">
        <v>190502700</v>
      </c>
      <c r="W48" s="48" t="s">
        <v>579</v>
      </c>
      <c r="X48" s="49" t="s">
        <v>8</v>
      </c>
      <c r="Y48" s="6">
        <v>12</v>
      </c>
      <c r="Z48" s="6">
        <v>12</v>
      </c>
      <c r="AA48" s="6">
        <v>12</v>
      </c>
      <c r="AB48" s="6">
        <v>12</v>
      </c>
      <c r="AC48" s="6">
        <v>12</v>
      </c>
      <c r="AD48" s="50">
        <f t="shared" si="13"/>
        <v>60000000</v>
      </c>
      <c r="AE48" s="52"/>
      <c r="AF48" s="52"/>
      <c r="AG48" s="52"/>
      <c r="AH48" s="52">
        <v>60000000</v>
      </c>
      <c r="AI48" s="52"/>
      <c r="AJ48" s="52"/>
      <c r="AK48" s="52"/>
      <c r="AL48" s="52"/>
      <c r="AM48" s="52"/>
      <c r="AN48" s="1"/>
      <c r="AO48" s="52">
        <f t="shared" si="14"/>
        <v>80000000</v>
      </c>
      <c r="AP48" s="52"/>
      <c r="AQ48" s="52"/>
      <c r="AR48" s="52"/>
      <c r="AS48" s="52">
        <v>80000000</v>
      </c>
      <c r="AT48" s="64"/>
      <c r="AU48" s="52"/>
      <c r="AV48" s="52"/>
      <c r="AW48" s="52"/>
      <c r="AX48" s="52"/>
      <c r="AY48" s="52"/>
      <c r="AZ48" s="52">
        <f t="shared" si="15"/>
        <v>80000000</v>
      </c>
      <c r="BA48" s="52"/>
      <c r="BB48" s="52"/>
      <c r="BC48" s="52"/>
      <c r="BD48" s="52">
        <v>80000000</v>
      </c>
      <c r="BE48" s="52"/>
      <c r="BF48" s="52"/>
      <c r="BG48" s="52"/>
      <c r="BH48" s="52"/>
      <c r="BI48" s="52"/>
      <c r="BJ48" s="52"/>
      <c r="BK48" s="52">
        <f t="shared" si="16"/>
        <v>80000000</v>
      </c>
      <c r="BL48" s="52"/>
      <c r="BM48" s="52"/>
      <c r="BN48" s="52"/>
      <c r="BO48" s="52">
        <v>80000000</v>
      </c>
      <c r="BP48" s="52"/>
      <c r="BQ48" s="52"/>
      <c r="BR48" s="52"/>
      <c r="BS48" s="52"/>
      <c r="BT48" s="52"/>
      <c r="BU48" s="53"/>
      <c r="BV48" s="54">
        <f t="shared" si="17"/>
        <v>300000000</v>
      </c>
      <c r="BW48" s="55"/>
    </row>
    <row r="49" spans="1:75" s="190" customFormat="1" ht="189" customHeight="1" x14ac:dyDescent="0.2">
      <c r="A49" s="206">
        <v>1</v>
      </c>
      <c r="B49" s="215" t="s">
        <v>19</v>
      </c>
      <c r="C49" s="17" t="s">
        <v>453</v>
      </c>
      <c r="D49" s="17" t="s">
        <v>223</v>
      </c>
      <c r="E49" s="16">
        <v>1.5</v>
      </c>
      <c r="F49" s="65">
        <v>2018</v>
      </c>
      <c r="G49" s="17" t="s">
        <v>491</v>
      </c>
      <c r="H49" s="16">
        <v>1</v>
      </c>
      <c r="I49" s="6">
        <v>19</v>
      </c>
      <c r="J49" s="6" t="s">
        <v>1645</v>
      </c>
      <c r="K49" s="15">
        <v>2</v>
      </c>
      <c r="L49" s="6" t="s">
        <v>458</v>
      </c>
      <c r="M49" s="208">
        <v>12</v>
      </c>
      <c r="N49" s="206">
        <v>1905</v>
      </c>
      <c r="O49" s="207" t="s">
        <v>173</v>
      </c>
      <c r="P49" s="6" t="s">
        <v>580</v>
      </c>
      <c r="Q49" s="6">
        <v>1905028</v>
      </c>
      <c r="R49" s="6">
        <v>1905028</v>
      </c>
      <c r="S49" s="17" t="s">
        <v>251</v>
      </c>
      <c r="T49" s="79" t="s">
        <v>581</v>
      </c>
      <c r="U49" s="6">
        <v>190502800</v>
      </c>
      <c r="V49" s="6">
        <v>190502800</v>
      </c>
      <c r="W49" s="48" t="s">
        <v>582</v>
      </c>
      <c r="X49" s="49" t="s">
        <v>8</v>
      </c>
      <c r="Y49" s="6">
        <v>12</v>
      </c>
      <c r="Z49" s="6">
        <v>12</v>
      </c>
      <c r="AA49" s="6">
        <v>12</v>
      </c>
      <c r="AB49" s="6">
        <v>12</v>
      </c>
      <c r="AC49" s="6">
        <v>12</v>
      </c>
      <c r="AD49" s="50">
        <f t="shared" si="13"/>
        <v>40000000</v>
      </c>
      <c r="AE49" s="52"/>
      <c r="AF49" s="52"/>
      <c r="AG49" s="52"/>
      <c r="AH49" s="52">
        <v>40000000</v>
      </c>
      <c r="AI49" s="52"/>
      <c r="AJ49" s="52"/>
      <c r="AK49" s="52"/>
      <c r="AL49" s="52"/>
      <c r="AM49" s="52"/>
      <c r="AN49" s="52"/>
      <c r="AO49" s="52">
        <f t="shared" si="14"/>
        <v>40000000</v>
      </c>
      <c r="AP49" s="52"/>
      <c r="AQ49" s="52"/>
      <c r="AR49" s="52"/>
      <c r="AS49" s="52">
        <v>40000000</v>
      </c>
      <c r="AT49" s="64"/>
      <c r="AU49" s="52"/>
      <c r="AV49" s="52"/>
      <c r="AW49" s="52"/>
      <c r="AX49" s="52"/>
      <c r="AY49" s="52"/>
      <c r="AZ49" s="52">
        <f t="shared" si="15"/>
        <v>40000000</v>
      </c>
      <c r="BA49" s="52"/>
      <c r="BB49" s="52"/>
      <c r="BC49" s="52"/>
      <c r="BD49" s="52">
        <v>40000000</v>
      </c>
      <c r="BE49" s="52"/>
      <c r="BF49" s="52"/>
      <c r="BG49" s="52"/>
      <c r="BH49" s="52"/>
      <c r="BI49" s="52"/>
      <c r="BJ49" s="52"/>
      <c r="BK49" s="52">
        <f t="shared" si="16"/>
        <v>40000000</v>
      </c>
      <c r="BL49" s="52"/>
      <c r="BM49" s="52"/>
      <c r="BN49" s="52"/>
      <c r="BO49" s="52">
        <v>40000000</v>
      </c>
      <c r="BP49" s="52"/>
      <c r="BQ49" s="52"/>
      <c r="BR49" s="52"/>
      <c r="BS49" s="52"/>
      <c r="BT49" s="52"/>
      <c r="BU49" s="53"/>
      <c r="BV49" s="54">
        <f t="shared" si="17"/>
        <v>160000000</v>
      </c>
      <c r="BW49" s="55"/>
    </row>
    <row r="50" spans="1:75" s="190" customFormat="1" ht="78.75" customHeight="1" x14ac:dyDescent="0.2">
      <c r="A50" s="206">
        <v>1</v>
      </c>
      <c r="B50" s="215" t="s">
        <v>19</v>
      </c>
      <c r="C50" s="17" t="s">
        <v>453</v>
      </c>
      <c r="D50" s="17" t="s">
        <v>226</v>
      </c>
      <c r="E50" s="16">
        <v>0</v>
      </c>
      <c r="F50" s="7">
        <v>2018</v>
      </c>
      <c r="G50" s="17" t="s">
        <v>462</v>
      </c>
      <c r="H50" s="16">
        <v>0</v>
      </c>
      <c r="I50" s="6">
        <v>19</v>
      </c>
      <c r="J50" s="6" t="s">
        <v>1645</v>
      </c>
      <c r="K50" s="15">
        <v>2</v>
      </c>
      <c r="L50" s="6" t="s">
        <v>458</v>
      </c>
      <c r="M50" s="208">
        <v>12</v>
      </c>
      <c r="N50" s="206">
        <v>1905</v>
      </c>
      <c r="O50" s="207" t="s">
        <v>173</v>
      </c>
      <c r="P50" s="6" t="s">
        <v>583</v>
      </c>
      <c r="Q50" s="6">
        <v>1905029</v>
      </c>
      <c r="R50" s="6" t="s">
        <v>1676</v>
      </c>
      <c r="S50" s="17" t="s">
        <v>271</v>
      </c>
      <c r="T50" s="79" t="s">
        <v>584</v>
      </c>
      <c r="U50" s="6">
        <v>190502900</v>
      </c>
      <c r="V50" s="6" t="s">
        <v>1677</v>
      </c>
      <c r="W50" s="48" t="s">
        <v>585</v>
      </c>
      <c r="X50" s="49" t="s">
        <v>8</v>
      </c>
      <c r="Y50" s="6">
        <v>60</v>
      </c>
      <c r="Z50" s="6">
        <v>60</v>
      </c>
      <c r="AA50" s="6">
        <v>60</v>
      </c>
      <c r="AB50" s="6">
        <v>60</v>
      </c>
      <c r="AC50" s="6">
        <v>60</v>
      </c>
      <c r="AD50" s="50">
        <f t="shared" si="13"/>
        <v>20000000</v>
      </c>
      <c r="AE50" s="52"/>
      <c r="AF50" s="52"/>
      <c r="AG50" s="52"/>
      <c r="AH50" s="52">
        <v>20000000</v>
      </c>
      <c r="AI50" s="52"/>
      <c r="AJ50" s="52"/>
      <c r="AK50" s="52"/>
      <c r="AL50" s="52"/>
      <c r="AM50" s="52"/>
      <c r="AN50" s="52">
        <v>0</v>
      </c>
      <c r="AO50" s="52">
        <f t="shared" si="14"/>
        <v>20000000</v>
      </c>
      <c r="AP50" s="52"/>
      <c r="AQ50" s="52"/>
      <c r="AR50" s="52"/>
      <c r="AS50" s="52">
        <v>20000000</v>
      </c>
      <c r="AT50" s="64"/>
      <c r="AU50" s="52"/>
      <c r="AV50" s="52"/>
      <c r="AW50" s="52"/>
      <c r="AX50" s="52"/>
      <c r="AY50" s="52"/>
      <c r="AZ50" s="52">
        <f t="shared" si="15"/>
        <v>20000000</v>
      </c>
      <c r="BA50" s="52"/>
      <c r="BB50" s="52"/>
      <c r="BC50" s="52"/>
      <c r="BD50" s="52">
        <v>20000000</v>
      </c>
      <c r="BE50" s="52"/>
      <c r="BF50" s="52"/>
      <c r="BG50" s="52"/>
      <c r="BH50" s="52"/>
      <c r="BI50" s="52"/>
      <c r="BJ50" s="52"/>
      <c r="BK50" s="52">
        <f t="shared" si="16"/>
        <v>20000000</v>
      </c>
      <c r="BL50" s="52"/>
      <c r="BM50" s="52"/>
      <c r="BN50" s="52"/>
      <c r="BO50" s="52">
        <v>20000000</v>
      </c>
      <c r="BP50" s="52"/>
      <c r="BQ50" s="52"/>
      <c r="BR50" s="52"/>
      <c r="BS50" s="52"/>
      <c r="BT50" s="52"/>
      <c r="BU50" s="53"/>
      <c r="BV50" s="54">
        <f t="shared" si="17"/>
        <v>80000000</v>
      </c>
      <c r="BW50" s="55"/>
    </row>
    <row r="51" spans="1:75" s="190" customFormat="1" ht="173.25" customHeight="1" x14ac:dyDescent="0.2">
      <c r="A51" s="206">
        <v>1</v>
      </c>
      <c r="B51" s="215" t="s">
        <v>19</v>
      </c>
      <c r="C51" s="17" t="s">
        <v>453</v>
      </c>
      <c r="D51" s="17" t="s">
        <v>223</v>
      </c>
      <c r="E51" s="16">
        <v>1.5</v>
      </c>
      <c r="F51" s="65">
        <v>2018</v>
      </c>
      <c r="G51" s="17" t="s">
        <v>491</v>
      </c>
      <c r="H51" s="16">
        <v>1</v>
      </c>
      <c r="I51" s="6">
        <v>19</v>
      </c>
      <c r="J51" s="6" t="s">
        <v>1645</v>
      </c>
      <c r="K51" s="15">
        <v>2</v>
      </c>
      <c r="L51" s="6" t="s">
        <v>458</v>
      </c>
      <c r="M51" s="208">
        <v>12</v>
      </c>
      <c r="N51" s="206">
        <v>1905</v>
      </c>
      <c r="O51" s="207" t="s">
        <v>173</v>
      </c>
      <c r="P51" s="6" t="s">
        <v>586</v>
      </c>
      <c r="Q51" s="6">
        <v>1905031</v>
      </c>
      <c r="R51" s="6">
        <v>1905031</v>
      </c>
      <c r="S51" s="17" t="s">
        <v>252</v>
      </c>
      <c r="T51" s="79" t="s">
        <v>587</v>
      </c>
      <c r="U51" s="6">
        <v>190503100</v>
      </c>
      <c r="V51" s="6">
        <v>190503100</v>
      </c>
      <c r="W51" s="48" t="s">
        <v>588</v>
      </c>
      <c r="X51" s="49" t="s">
        <v>8</v>
      </c>
      <c r="Y51" s="6">
        <v>12</v>
      </c>
      <c r="Z51" s="6">
        <v>12</v>
      </c>
      <c r="AA51" s="6">
        <v>12</v>
      </c>
      <c r="AB51" s="6">
        <v>12</v>
      </c>
      <c r="AC51" s="6">
        <v>12</v>
      </c>
      <c r="AD51" s="50">
        <f t="shared" si="13"/>
        <v>1500126107.49</v>
      </c>
      <c r="AE51" s="52"/>
      <c r="AF51" s="52"/>
      <c r="AG51" s="52"/>
      <c r="AH51" s="52">
        <v>1500126107.49</v>
      </c>
      <c r="AI51" s="52"/>
      <c r="AJ51" s="52"/>
      <c r="AK51" s="52"/>
      <c r="AL51" s="52"/>
      <c r="AM51" s="52"/>
      <c r="AN51" s="52"/>
      <c r="AO51" s="52">
        <f t="shared" si="14"/>
        <v>1448850000</v>
      </c>
      <c r="AP51" s="52"/>
      <c r="AQ51" s="52"/>
      <c r="AR51" s="52"/>
      <c r="AS51" s="52">
        <v>1448850000</v>
      </c>
      <c r="AT51" s="64"/>
      <c r="AU51" s="52"/>
      <c r="AV51" s="52"/>
      <c r="AW51" s="52"/>
      <c r="AX51" s="52"/>
      <c r="AY51" s="52"/>
      <c r="AZ51" s="52">
        <f t="shared" si="15"/>
        <v>1487000000</v>
      </c>
      <c r="BA51" s="52"/>
      <c r="BB51" s="52"/>
      <c r="BC51" s="52"/>
      <c r="BD51" s="52">
        <v>1487000000</v>
      </c>
      <c r="BE51" s="52"/>
      <c r="BF51" s="52"/>
      <c r="BG51" s="52"/>
      <c r="BH51" s="52"/>
      <c r="BI51" s="52"/>
      <c r="BJ51" s="52"/>
      <c r="BK51" s="52">
        <f t="shared" si="16"/>
        <v>1528000000</v>
      </c>
      <c r="BL51" s="52"/>
      <c r="BM51" s="52"/>
      <c r="BN51" s="52"/>
      <c r="BO51" s="52">
        <v>1528000000</v>
      </c>
      <c r="BP51" s="52"/>
      <c r="BQ51" s="52"/>
      <c r="BR51" s="52"/>
      <c r="BS51" s="52"/>
      <c r="BT51" s="52"/>
      <c r="BU51" s="53"/>
      <c r="BV51" s="54">
        <f t="shared" si="17"/>
        <v>5963976107.4899998</v>
      </c>
      <c r="BW51" s="55"/>
    </row>
    <row r="52" spans="1:75" s="190" customFormat="1" ht="110.25" customHeight="1" x14ac:dyDescent="0.2">
      <c r="A52" s="206">
        <v>1</v>
      </c>
      <c r="B52" s="215" t="s">
        <v>19</v>
      </c>
      <c r="C52" s="17" t="s">
        <v>453</v>
      </c>
      <c r="D52" s="17" t="s">
        <v>273</v>
      </c>
      <c r="E52" s="68">
        <v>99.565217391304301</v>
      </c>
      <c r="F52" s="7">
        <v>2018</v>
      </c>
      <c r="G52" s="17" t="s">
        <v>462</v>
      </c>
      <c r="H52" s="16">
        <v>99.57</v>
      </c>
      <c r="I52" s="6">
        <v>19</v>
      </c>
      <c r="J52" s="6" t="s">
        <v>1645</v>
      </c>
      <c r="K52" s="15">
        <v>2</v>
      </c>
      <c r="L52" s="6" t="s">
        <v>458</v>
      </c>
      <c r="M52" s="208">
        <v>12</v>
      </c>
      <c r="N52" s="206">
        <v>1905</v>
      </c>
      <c r="O52" s="207" t="s">
        <v>173</v>
      </c>
      <c r="P52" s="6" t="s">
        <v>528</v>
      </c>
      <c r="Q52" s="6" t="s">
        <v>77</v>
      </c>
      <c r="R52" s="6">
        <v>1905009</v>
      </c>
      <c r="S52" s="17" t="s">
        <v>529</v>
      </c>
      <c r="T52" s="6" t="s">
        <v>530</v>
      </c>
      <c r="U52" s="6" t="s">
        <v>77</v>
      </c>
      <c r="V52" s="6">
        <v>190500900</v>
      </c>
      <c r="W52" s="48" t="s">
        <v>531</v>
      </c>
      <c r="X52" s="49" t="s">
        <v>8</v>
      </c>
      <c r="Y52" s="6">
        <v>1</v>
      </c>
      <c r="Z52" s="6">
        <v>1</v>
      </c>
      <c r="AA52" s="6">
        <v>1</v>
      </c>
      <c r="AB52" s="6">
        <v>1</v>
      </c>
      <c r="AC52" s="6">
        <v>1</v>
      </c>
      <c r="AD52" s="50">
        <f t="shared" si="13"/>
        <v>300000000</v>
      </c>
      <c r="AE52" s="52">
        <v>300000000</v>
      </c>
      <c r="AF52" s="52"/>
      <c r="AG52" s="52"/>
      <c r="AH52" s="52"/>
      <c r="AI52" s="52"/>
      <c r="AJ52" s="52"/>
      <c r="AK52" s="52"/>
      <c r="AL52" s="52"/>
      <c r="AM52" s="52"/>
      <c r="AN52" s="52"/>
      <c r="AO52" s="52">
        <f t="shared" si="14"/>
        <v>300000000</v>
      </c>
      <c r="AP52" s="52">
        <v>300000000</v>
      </c>
      <c r="AQ52" s="52"/>
      <c r="AR52" s="52"/>
      <c r="AS52" s="52"/>
      <c r="AT52" s="64"/>
      <c r="AU52" s="52"/>
      <c r="AV52" s="52"/>
      <c r="AW52" s="52"/>
      <c r="AX52" s="52"/>
      <c r="AY52" s="52"/>
      <c r="AZ52" s="52">
        <f t="shared" si="15"/>
        <v>300000000</v>
      </c>
      <c r="BA52" s="52">
        <v>300000000</v>
      </c>
      <c r="BB52" s="52"/>
      <c r="BC52" s="52"/>
      <c r="BD52" s="52"/>
      <c r="BE52" s="52"/>
      <c r="BF52" s="52"/>
      <c r="BG52" s="52"/>
      <c r="BH52" s="52"/>
      <c r="BI52" s="52"/>
      <c r="BJ52" s="52"/>
      <c r="BK52" s="52">
        <f t="shared" si="16"/>
        <v>300000000</v>
      </c>
      <c r="BL52" s="52">
        <v>300000000</v>
      </c>
      <c r="BM52" s="52"/>
      <c r="BN52" s="52"/>
      <c r="BO52" s="52"/>
      <c r="BP52" s="52"/>
      <c r="BQ52" s="52"/>
      <c r="BR52" s="52"/>
      <c r="BS52" s="52"/>
      <c r="BT52" s="52"/>
      <c r="BU52" s="53"/>
      <c r="BV52" s="54">
        <f t="shared" si="17"/>
        <v>1200000000</v>
      </c>
      <c r="BW52" s="55"/>
    </row>
    <row r="53" spans="1:75" s="190" customFormat="1" ht="204.75" customHeight="1" x14ac:dyDescent="0.2">
      <c r="A53" s="206">
        <v>1</v>
      </c>
      <c r="B53" s="215" t="s">
        <v>19</v>
      </c>
      <c r="C53" s="17" t="s">
        <v>453</v>
      </c>
      <c r="D53" s="17" t="s">
        <v>255</v>
      </c>
      <c r="E53" s="69" t="s">
        <v>589</v>
      </c>
      <c r="F53" s="7" t="s">
        <v>455</v>
      </c>
      <c r="G53" s="17" t="s">
        <v>590</v>
      </c>
      <c r="H53" s="16" t="s">
        <v>591</v>
      </c>
      <c r="I53" s="6">
        <v>19</v>
      </c>
      <c r="J53" s="6" t="s">
        <v>1645</v>
      </c>
      <c r="K53" s="15">
        <v>2</v>
      </c>
      <c r="L53" s="6" t="s">
        <v>458</v>
      </c>
      <c r="M53" s="208">
        <v>12</v>
      </c>
      <c r="N53" s="206">
        <v>1905</v>
      </c>
      <c r="O53" s="207" t="s">
        <v>173</v>
      </c>
      <c r="P53" s="6" t="s">
        <v>592</v>
      </c>
      <c r="Q53" s="6" t="s">
        <v>77</v>
      </c>
      <c r="R53" s="6">
        <v>1905021</v>
      </c>
      <c r="S53" s="17" t="s">
        <v>262</v>
      </c>
      <c r="T53" s="79" t="s">
        <v>593</v>
      </c>
      <c r="U53" s="6" t="s">
        <v>77</v>
      </c>
      <c r="V53" s="6">
        <v>190502100</v>
      </c>
      <c r="W53" s="48" t="s">
        <v>594</v>
      </c>
      <c r="X53" s="49" t="s">
        <v>8</v>
      </c>
      <c r="Y53" s="6">
        <v>11</v>
      </c>
      <c r="Z53" s="6">
        <v>11</v>
      </c>
      <c r="AA53" s="6">
        <v>11</v>
      </c>
      <c r="AB53" s="6">
        <v>11</v>
      </c>
      <c r="AC53" s="6">
        <v>11</v>
      </c>
      <c r="AD53" s="50">
        <f t="shared" si="13"/>
        <v>80000000</v>
      </c>
      <c r="AE53" s="52"/>
      <c r="AF53" s="52"/>
      <c r="AG53" s="52"/>
      <c r="AH53" s="52">
        <v>80000000</v>
      </c>
      <c r="AI53" s="52"/>
      <c r="AJ53" s="52"/>
      <c r="AK53" s="52"/>
      <c r="AL53" s="52"/>
      <c r="AM53" s="52"/>
      <c r="AN53" s="52"/>
      <c r="AO53" s="52">
        <f t="shared" si="14"/>
        <v>80000000</v>
      </c>
      <c r="AP53" s="52"/>
      <c r="AQ53" s="52"/>
      <c r="AR53" s="52"/>
      <c r="AS53" s="52">
        <v>80000000</v>
      </c>
      <c r="AT53" s="64"/>
      <c r="AU53" s="52"/>
      <c r="AV53" s="52"/>
      <c r="AW53" s="52"/>
      <c r="AX53" s="52"/>
      <c r="AY53" s="52"/>
      <c r="AZ53" s="52">
        <f t="shared" si="15"/>
        <v>110000000</v>
      </c>
      <c r="BA53" s="52"/>
      <c r="BB53" s="52"/>
      <c r="BC53" s="52"/>
      <c r="BD53" s="52">
        <v>110000000</v>
      </c>
      <c r="BE53" s="52"/>
      <c r="BF53" s="52"/>
      <c r="BG53" s="52"/>
      <c r="BH53" s="52"/>
      <c r="BI53" s="52"/>
      <c r="BJ53" s="52"/>
      <c r="BK53" s="52">
        <f t="shared" si="16"/>
        <v>120000000</v>
      </c>
      <c r="BL53" s="52"/>
      <c r="BM53" s="52"/>
      <c r="BN53" s="52"/>
      <c r="BO53" s="52">
        <v>120000000</v>
      </c>
      <c r="BP53" s="52"/>
      <c r="BQ53" s="52"/>
      <c r="BR53" s="52"/>
      <c r="BS53" s="52"/>
      <c r="BT53" s="52"/>
      <c r="BU53" s="53"/>
      <c r="BV53" s="54">
        <f t="shared" si="17"/>
        <v>390000000</v>
      </c>
      <c r="BW53" s="55"/>
    </row>
    <row r="54" spans="1:75" s="190" customFormat="1" ht="141.75" customHeight="1" x14ac:dyDescent="0.2">
      <c r="A54" s="206">
        <v>1</v>
      </c>
      <c r="B54" s="215" t="s">
        <v>19</v>
      </c>
      <c r="C54" s="17" t="s">
        <v>453</v>
      </c>
      <c r="D54" s="17" t="s">
        <v>225</v>
      </c>
      <c r="E54" s="68">
        <v>8.7157362618207177</v>
      </c>
      <c r="F54" s="65">
        <v>2018</v>
      </c>
      <c r="G54" s="72" t="s">
        <v>462</v>
      </c>
      <c r="H54" s="16">
        <v>8.6</v>
      </c>
      <c r="I54" s="6">
        <v>19</v>
      </c>
      <c r="J54" s="6" t="s">
        <v>1645</v>
      </c>
      <c r="K54" s="15">
        <v>2</v>
      </c>
      <c r="L54" s="6" t="s">
        <v>458</v>
      </c>
      <c r="M54" s="208">
        <v>12</v>
      </c>
      <c r="N54" s="206">
        <v>1905</v>
      </c>
      <c r="O54" s="207" t="s">
        <v>173</v>
      </c>
      <c r="P54" s="6" t="s">
        <v>595</v>
      </c>
      <c r="Q54" s="6" t="s">
        <v>77</v>
      </c>
      <c r="R54" s="6">
        <v>1905024</v>
      </c>
      <c r="S54" s="17" t="s">
        <v>258</v>
      </c>
      <c r="T54" s="79" t="s">
        <v>596</v>
      </c>
      <c r="U54" s="6" t="s">
        <v>77</v>
      </c>
      <c r="V54" s="6">
        <v>190502400</v>
      </c>
      <c r="W54" s="48" t="s">
        <v>597</v>
      </c>
      <c r="X54" s="49" t="s">
        <v>9</v>
      </c>
      <c r="Y54" s="6">
        <v>11</v>
      </c>
      <c r="Z54" s="6">
        <v>1</v>
      </c>
      <c r="AA54" s="6">
        <v>3</v>
      </c>
      <c r="AB54" s="6">
        <v>4</v>
      </c>
      <c r="AC54" s="6">
        <v>3</v>
      </c>
      <c r="AD54" s="50">
        <f t="shared" si="13"/>
        <v>70000000</v>
      </c>
      <c r="AE54" s="52"/>
      <c r="AF54" s="52"/>
      <c r="AG54" s="52"/>
      <c r="AH54" s="52">
        <v>70000000</v>
      </c>
      <c r="AI54" s="52"/>
      <c r="AJ54" s="52"/>
      <c r="AK54" s="52"/>
      <c r="AL54" s="52"/>
      <c r="AM54" s="52"/>
      <c r="AN54" s="52"/>
      <c r="AO54" s="52">
        <f t="shared" si="14"/>
        <v>70000000</v>
      </c>
      <c r="AP54" s="52"/>
      <c r="AQ54" s="52"/>
      <c r="AR54" s="52"/>
      <c r="AS54" s="52">
        <v>70000000</v>
      </c>
      <c r="AT54" s="64"/>
      <c r="AU54" s="52"/>
      <c r="AV54" s="52"/>
      <c r="AW54" s="52"/>
      <c r="AX54" s="52"/>
      <c r="AY54" s="52"/>
      <c r="AZ54" s="52">
        <f t="shared" si="15"/>
        <v>70000000</v>
      </c>
      <c r="BA54" s="52"/>
      <c r="BB54" s="52"/>
      <c r="BC54" s="52"/>
      <c r="BD54" s="52">
        <v>70000000</v>
      </c>
      <c r="BE54" s="52"/>
      <c r="BF54" s="52"/>
      <c r="BG54" s="52"/>
      <c r="BH54" s="52"/>
      <c r="BI54" s="52"/>
      <c r="BJ54" s="52"/>
      <c r="BK54" s="52">
        <f t="shared" si="16"/>
        <v>70000000</v>
      </c>
      <c r="BL54" s="52"/>
      <c r="BM54" s="52"/>
      <c r="BN54" s="52"/>
      <c r="BO54" s="52">
        <v>70000000</v>
      </c>
      <c r="BP54" s="52"/>
      <c r="BQ54" s="52"/>
      <c r="BR54" s="52"/>
      <c r="BS54" s="52"/>
      <c r="BT54" s="52"/>
      <c r="BU54" s="53"/>
      <c r="BV54" s="54">
        <f t="shared" si="17"/>
        <v>280000000</v>
      </c>
      <c r="BW54" s="55"/>
    </row>
    <row r="55" spans="1:75" s="190" customFormat="1" ht="189" customHeight="1" x14ac:dyDescent="0.2">
      <c r="A55" s="206">
        <v>1</v>
      </c>
      <c r="B55" s="215" t="s">
        <v>19</v>
      </c>
      <c r="C55" s="17" t="s">
        <v>453</v>
      </c>
      <c r="D55" s="17" t="s">
        <v>225</v>
      </c>
      <c r="E55" s="68">
        <v>8.7157362618207177</v>
      </c>
      <c r="F55" s="65">
        <v>2018</v>
      </c>
      <c r="G55" s="72" t="s">
        <v>462</v>
      </c>
      <c r="H55" s="16">
        <v>8.6</v>
      </c>
      <c r="I55" s="6">
        <v>19</v>
      </c>
      <c r="J55" s="6" t="s">
        <v>1645</v>
      </c>
      <c r="K55" s="15">
        <v>2</v>
      </c>
      <c r="L55" s="6" t="s">
        <v>458</v>
      </c>
      <c r="M55" s="208">
        <v>12</v>
      </c>
      <c r="N55" s="206">
        <v>1905</v>
      </c>
      <c r="O55" s="207" t="s">
        <v>173</v>
      </c>
      <c r="P55" s="6" t="s">
        <v>598</v>
      </c>
      <c r="Q55" s="6" t="s">
        <v>77</v>
      </c>
      <c r="R55" s="6">
        <v>1905024</v>
      </c>
      <c r="S55" s="17" t="s">
        <v>260</v>
      </c>
      <c r="T55" s="79" t="s">
        <v>599</v>
      </c>
      <c r="U55" s="6" t="s">
        <v>77</v>
      </c>
      <c r="V55" s="6">
        <v>190502400</v>
      </c>
      <c r="W55" s="48" t="s">
        <v>600</v>
      </c>
      <c r="X55" s="49" t="s">
        <v>8</v>
      </c>
      <c r="Y55" s="6">
        <v>12</v>
      </c>
      <c r="Z55" s="6">
        <v>12</v>
      </c>
      <c r="AA55" s="6">
        <v>12</v>
      </c>
      <c r="AB55" s="6">
        <v>12</v>
      </c>
      <c r="AC55" s="6">
        <v>12</v>
      </c>
      <c r="AD55" s="50">
        <f t="shared" si="13"/>
        <v>30000000</v>
      </c>
      <c r="AE55" s="52"/>
      <c r="AF55" s="52"/>
      <c r="AG55" s="52"/>
      <c r="AH55" s="52">
        <v>30000000</v>
      </c>
      <c r="AI55" s="52"/>
      <c r="AJ55" s="52"/>
      <c r="AK55" s="52"/>
      <c r="AL55" s="52"/>
      <c r="AM55" s="52"/>
      <c r="AN55" s="52"/>
      <c r="AO55" s="52">
        <f t="shared" si="14"/>
        <v>30000000</v>
      </c>
      <c r="AP55" s="52"/>
      <c r="AQ55" s="52"/>
      <c r="AR55" s="52"/>
      <c r="AS55" s="52">
        <v>30000000</v>
      </c>
      <c r="AT55" s="64"/>
      <c r="AU55" s="52"/>
      <c r="AV55" s="52"/>
      <c r="AW55" s="52"/>
      <c r="AX55" s="52"/>
      <c r="AY55" s="52"/>
      <c r="AZ55" s="52">
        <f t="shared" si="15"/>
        <v>30000000</v>
      </c>
      <c r="BA55" s="52"/>
      <c r="BB55" s="52"/>
      <c r="BC55" s="52"/>
      <c r="BD55" s="52">
        <v>30000000</v>
      </c>
      <c r="BE55" s="52"/>
      <c r="BF55" s="52"/>
      <c r="BG55" s="52"/>
      <c r="BH55" s="52"/>
      <c r="BI55" s="52"/>
      <c r="BJ55" s="52"/>
      <c r="BK55" s="52">
        <f t="shared" si="16"/>
        <v>40000000</v>
      </c>
      <c r="BL55" s="52"/>
      <c r="BM55" s="52"/>
      <c r="BN55" s="52"/>
      <c r="BO55" s="52">
        <v>40000000</v>
      </c>
      <c r="BP55" s="52"/>
      <c r="BQ55" s="52"/>
      <c r="BR55" s="52"/>
      <c r="BS55" s="52"/>
      <c r="BT55" s="52"/>
      <c r="BU55" s="53"/>
      <c r="BV55" s="54">
        <f t="shared" si="17"/>
        <v>130000000</v>
      </c>
      <c r="BW55" s="55"/>
    </row>
    <row r="56" spans="1:75" s="190" customFormat="1" ht="141.75" customHeight="1" x14ac:dyDescent="0.2">
      <c r="A56" s="206">
        <v>1</v>
      </c>
      <c r="B56" s="215" t="s">
        <v>19</v>
      </c>
      <c r="C56" s="17" t="s">
        <v>453</v>
      </c>
      <c r="D56" s="17" t="s">
        <v>259</v>
      </c>
      <c r="E56" s="16" t="s">
        <v>601</v>
      </c>
      <c r="F56" s="7" t="s">
        <v>455</v>
      </c>
      <c r="G56" s="17" t="s">
        <v>590</v>
      </c>
      <c r="H56" s="16" t="s">
        <v>601</v>
      </c>
      <c r="I56" s="6">
        <v>19</v>
      </c>
      <c r="J56" s="6" t="s">
        <v>1645</v>
      </c>
      <c r="K56" s="15">
        <v>2</v>
      </c>
      <c r="L56" s="6" t="s">
        <v>458</v>
      </c>
      <c r="M56" s="208">
        <v>12</v>
      </c>
      <c r="N56" s="206">
        <v>1905</v>
      </c>
      <c r="O56" s="207" t="s">
        <v>173</v>
      </c>
      <c r="P56" s="6" t="s">
        <v>602</v>
      </c>
      <c r="Q56" s="6" t="s">
        <v>77</v>
      </c>
      <c r="R56" s="6">
        <v>1905015</v>
      </c>
      <c r="S56" s="17" t="s">
        <v>1569</v>
      </c>
      <c r="T56" s="79" t="s">
        <v>603</v>
      </c>
      <c r="U56" s="6" t="s">
        <v>77</v>
      </c>
      <c r="V56" s="6">
        <v>190501500</v>
      </c>
      <c r="W56" s="48" t="s">
        <v>604</v>
      </c>
      <c r="X56" s="49" t="s">
        <v>9</v>
      </c>
      <c r="Y56" s="6">
        <v>12</v>
      </c>
      <c r="Z56" s="6">
        <v>2</v>
      </c>
      <c r="AA56" s="6">
        <v>4</v>
      </c>
      <c r="AB56" s="6">
        <v>4</v>
      </c>
      <c r="AC56" s="6">
        <v>2</v>
      </c>
      <c r="AD56" s="50">
        <f t="shared" si="13"/>
        <v>510110245</v>
      </c>
      <c r="AE56" s="52">
        <v>130000000</v>
      </c>
      <c r="AF56" s="52">
        <v>0</v>
      </c>
      <c r="AG56" s="52"/>
      <c r="AH56" s="52">
        <v>120000000</v>
      </c>
      <c r="AI56" s="52"/>
      <c r="AJ56" s="52"/>
      <c r="AK56" s="52"/>
      <c r="AL56" s="52"/>
      <c r="AM56" s="52"/>
      <c r="AN56" s="52">
        <v>260110245</v>
      </c>
      <c r="AO56" s="52">
        <f t="shared" si="14"/>
        <v>517913552.35000002</v>
      </c>
      <c r="AP56" s="52">
        <v>130000000</v>
      </c>
      <c r="AQ56" s="52"/>
      <c r="AR56" s="52"/>
      <c r="AS56" s="52">
        <v>120000000</v>
      </c>
      <c r="AT56" s="64"/>
      <c r="AU56" s="52"/>
      <c r="AV56" s="52"/>
      <c r="AW56" s="52"/>
      <c r="AX56" s="52"/>
      <c r="AY56" s="52">
        <v>267913552.34999999</v>
      </c>
      <c r="AZ56" s="52">
        <f t="shared" si="15"/>
        <v>525950958.92049998</v>
      </c>
      <c r="BA56" s="52">
        <v>130000000</v>
      </c>
      <c r="BB56" s="52"/>
      <c r="BC56" s="52"/>
      <c r="BD56" s="52">
        <v>120000000</v>
      </c>
      <c r="BE56" s="52"/>
      <c r="BF56" s="52"/>
      <c r="BG56" s="52"/>
      <c r="BH56" s="52"/>
      <c r="BI56" s="52"/>
      <c r="BJ56" s="52">
        <v>275950958.92049998</v>
      </c>
      <c r="BK56" s="52">
        <f t="shared" si="16"/>
        <v>544229487.688115</v>
      </c>
      <c r="BL56" s="52">
        <v>130000000</v>
      </c>
      <c r="BM56" s="52"/>
      <c r="BN56" s="52"/>
      <c r="BO56" s="52">
        <v>130000000</v>
      </c>
      <c r="BP56" s="52"/>
      <c r="BQ56" s="52"/>
      <c r="BR56" s="52"/>
      <c r="BS56" s="52"/>
      <c r="BT56" s="52"/>
      <c r="BU56" s="53">
        <v>284229487.688115</v>
      </c>
      <c r="BV56" s="54">
        <f t="shared" si="17"/>
        <v>2098204243.9586148</v>
      </c>
      <c r="BW56" s="55"/>
    </row>
    <row r="57" spans="1:75" s="190" customFormat="1" ht="110.25" customHeight="1" x14ac:dyDescent="0.2">
      <c r="A57" s="206">
        <v>1</v>
      </c>
      <c r="B57" s="215" t="s">
        <v>19</v>
      </c>
      <c r="C57" s="17" t="s">
        <v>453</v>
      </c>
      <c r="D57" s="17" t="s">
        <v>256</v>
      </c>
      <c r="E57" s="16">
        <v>0</v>
      </c>
      <c r="F57" s="65">
        <v>2018</v>
      </c>
      <c r="G57" s="17" t="s">
        <v>462</v>
      </c>
      <c r="H57" s="16">
        <v>0</v>
      </c>
      <c r="I57" s="6">
        <v>19</v>
      </c>
      <c r="J57" s="6" t="s">
        <v>1645</v>
      </c>
      <c r="K57" s="15">
        <v>2</v>
      </c>
      <c r="L57" s="6" t="s">
        <v>458</v>
      </c>
      <c r="M57" s="208">
        <v>12</v>
      </c>
      <c r="N57" s="206">
        <v>1905</v>
      </c>
      <c r="O57" s="207" t="s">
        <v>173</v>
      </c>
      <c r="P57" s="6" t="s">
        <v>605</v>
      </c>
      <c r="Q57" s="6" t="s">
        <v>77</v>
      </c>
      <c r="R57" s="6">
        <v>1905015</v>
      </c>
      <c r="S57" s="17" t="s">
        <v>257</v>
      </c>
      <c r="T57" s="79" t="s">
        <v>606</v>
      </c>
      <c r="U57" s="6" t="s">
        <v>77</v>
      </c>
      <c r="V57" s="6">
        <v>190501500</v>
      </c>
      <c r="W57" s="48" t="s">
        <v>1626</v>
      </c>
      <c r="X57" s="49" t="s">
        <v>8</v>
      </c>
      <c r="Y57" s="6">
        <v>1</v>
      </c>
      <c r="Z57" s="6">
        <v>1</v>
      </c>
      <c r="AA57" s="6">
        <v>1</v>
      </c>
      <c r="AB57" s="6">
        <v>1</v>
      </c>
      <c r="AC57" s="6">
        <v>1</v>
      </c>
      <c r="AD57" s="50">
        <f t="shared" si="13"/>
        <v>20000000</v>
      </c>
      <c r="AE57" s="52"/>
      <c r="AF57" s="52"/>
      <c r="AG57" s="52"/>
      <c r="AH57" s="52">
        <v>20000000</v>
      </c>
      <c r="AI57" s="52"/>
      <c r="AJ57" s="52"/>
      <c r="AK57" s="52"/>
      <c r="AL57" s="52"/>
      <c r="AM57" s="52"/>
      <c r="AN57" s="52">
        <v>0</v>
      </c>
      <c r="AO57" s="52">
        <f t="shared" si="14"/>
        <v>20000000</v>
      </c>
      <c r="AP57" s="52"/>
      <c r="AQ57" s="52"/>
      <c r="AR57" s="52"/>
      <c r="AS57" s="52">
        <v>20000000</v>
      </c>
      <c r="AT57" s="64"/>
      <c r="AU57" s="52"/>
      <c r="AV57" s="52"/>
      <c r="AW57" s="52"/>
      <c r="AX57" s="52"/>
      <c r="AY57" s="52"/>
      <c r="AZ57" s="52">
        <f t="shared" si="15"/>
        <v>20000000</v>
      </c>
      <c r="BA57" s="52"/>
      <c r="BB57" s="52"/>
      <c r="BC57" s="52"/>
      <c r="BD57" s="52">
        <v>20000000</v>
      </c>
      <c r="BE57" s="52"/>
      <c r="BF57" s="52"/>
      <c r="BG57" s="52"/>
      <c r="BH57" s="52"/>
      <c r="BI57" s="52"/>
      <c r="BJ57" s="52"/>
      <c r="BK57" s="52">
        <f t="shared" si="16"/>
        <v>64388119</v>
      </c>
      <c r="BL57" s="52"/>
      <c r="BM57" s="52"/>
      <c r="BN57" s="52"/>
      <c r="BO57" s="52">
        <v>64388119</v>
      </c>
      <c r="BP57" s="52"/>
      <c r="BQ57" s="52"/>
      <c r="BR57" s="52"/>
      <c r="BS57" s="52"/>
      <c r="BT57" s="52"/>
      <c r="BU57" s="53"/>
      <c r="BV57" s="54">
        <f t="shared" si="17"/>
        <v>124388119</v>
      </c>
      <c r="BW57" s="55"/>
    </row>
    <row r="58" spans="1:75" s="190" customFormat="1" ht="110.25" customHeight="1" x14ac:dyDescent="0.2">
      <c r="A58" s="206">
        <v>1</v>
      </c>
      <c r="B58" s="215" t="s">
        <v>19</v>
      </c>
      <c r="C58" s="17" t="s">
        <v>453</v>
      </c>
      <c r="D58" s="17" t="s">
        <v>239</v>
      </c>
      <c r="E58" s="16">
        <v>89</v>
      </c>
      <c r="F58" s="7">
        <v>2018</v>
      </c>
      <c r="G58" s="17" t="s">
        <v>514</v>
      </c>
      <c r="H58" s="16">
        <v>95</v>
      </c>
      <c r="I58" s="6">
        <v>19</v>
      </c>
      <c r="J58" s="6" t="s">
        <v>1645</v>
      </c>
      <c r="K58" s="15">
        <v>2</v>
      </c>
      <c r="L58" s="6" t="s">
        <v>458</v>
      </c>
      <c r="M58" s="208">
        <v>12</v>
      </c>
      <c r="N58" s="206">
        <v>1905</v>
      </c>
      <c r="O58" s="207" t="s">
        <v>173</v>
      </c>
      <c r="P58" s="6" t="s">
        <v>607</v>
      </c>
      <c r="Q58" s="6" t="s">
        <v>77</v>
      </c>
      <c r="R58" s="6">
        <v>1905024</v>
      </c>
      <c r="S58" s="17" t="s">
        <v>261</v>
      </c>
      <c r="T58" s="79" t="s">
        <v>608</v>
      </c>
      <c r="U58" s="6" t="s">
        <v>77</v>
      </c>
      <c r="V58" s="6">
        <v>190502401</v>
      </c>
      <c r="W58" s="48" t="s">
        <v>609</v>
      </c>
      <c r="X58" s="49" t="s">
        <v>9</v>
      </c>
      <c r="Y58" s="6">
        <v>12</v>
      </c>
      <c r="Z58" s="6">
        <v>2</v>
      </c>
      <c r="AA58" s="6">
        <v>4</v>
      </c>
      <c r="AB58" s="6">
        <v>4</v>
      </c>
      <c r="AC58" s="6">
        <v>2</v>
      </c>
      <c r="AD58" s="50">
        <f t="shared" si="13"/>
        <v>30000000</v>
      </c>
      <c r="AE58" s="52"/>
      <c r="AF58" s="52"/>
      <c r="AG58" s="52"/>
      <c r="AH58" s="52">
        <v>30000000</v>
      </c>
      <c r="AI58" s="52"/>
      <c r="AJ58" s="52"/>
      <c r="AK58" s="52"/>
      <c r="AL58" s="52"/>
      <c r="AM58" s="52"/>
      <c r="AN58" s="52"/>
      <c r="AO58" s="52">
        <f t="shared" si="14"/>
        <v>30000000</v>
      </c>
      <c r="AP58" s="52"/>
      <c r="AQ58" s="52"/>
      <c r="AR58" s="52"/>
      <c r="AS58" s="52">
        <v>30000000</v>
      </c>
      <c r="AT58" s="64"/>
      <c r="AU58" s="52"/>
      <c r="AV58" s="52"/>
      <c r="AW58" s="52"/>
      <c r="AX58" s="52"/>
      <c r="AY58" s="52"/>
      <c r="AZ58" s="52">
        <f t="shared" si="15"/>
        <v>30000000</v>
      </c>
      <c r="BA58" s="52"/>
      <c r="BB58" s="52"/>
      <c r="BC58" s="52"/>
      <c r="BD58" s="52">
        <v>30000000</v>
      </c>
      <c r="BE58" s="52"/>
      <c r="BF58" s="52"/>
      <c r="BG58" s="52"/>
      <c r="BH58" s="52"/>
      <c r="BI58" s="52"/>
      <c r="BJ58" s="52"/>
      <c r="BK58" s="52">
        <f t="shared" si="16"/>
        <v>30000000</v>
      </c>
      <c r="BL58" s="52"/>
      <c r="BM58" s="52"/>
      <c r="BN58" s="52"/>
      <c r="BO58" s="52">
        <v>30000000</v>
      </c>
      <c r="BP58" s="52"/>
      <c r="BQ58" s="52"/>
      <c r="BR58" s="52"/>
      <c r="BS58" s="52"/>
      <c r="BT58" s="52"/>
      <c r="BU58" s="53"/>
      <c r="BV58" s="54">
        <f t="shared" si="17"/>
        <v>120000000</v>
      </c>
      <c r="BW58" s="55"/>
    </row>
    <row r="59" spans="1:75" s="190" customFormat="1" ht="94.5" customHeight="1" x14ac:dyDescent="0.2">
      <c r="A59" s="206">
        <v>1</v>
      </c>
      <c r="B59" s="215" t="s">
        <v>19</v>
      </c>
      <c r="C59" s="17" t="s">
        <v>453</v>
      </c>
      <c r="D59" s="17" t="s">
        <v>233</v>
      </c>
      <c r="E59" s="16">
        <v>81.5</v>
      </c>
      <c r="F59" s="7">
        <v>2018</v>
      </c>
      <c r="G59" s="17" t="s">
        <v>481</v>
      </c>
      <c r="H59" s="16">
        <v>71.12</v>
      </c>
      <c r="I59" s="6">
        <v>19</v>
      </c>
      <c r="J59" s="6" t="s">
        <v>1645</v>
      </c>
      <c r="K59" s="15">
        <v>2</v>
      </c>
      <c r="L59" s="6" t="s">
        <v>458</v>
      </c>
      <c r="M59" s="208">
        <v>12</v>
      </c>
      <c r="N59" s="206">
        <v>1905</v>
      </c>
      <c r="O59" s="207" t="s">
        <v>173</v>
      </c>
      <c r="P59" s="6" t="s">
        <v>610</v>
      </c>
      <c r="Q59" s="6" t="s">
        <v>77</v>
      </c>
      <c r="R59" s="6">
        <v>1905015</v>
      </c>
      <c r="S59" s="17" t="s">
        <v>611</v>
      </c>
      <c r="T59" s="79" t="s">
        <v>612</v>
      </c>
      <c r="U59" s="6" t="s">
        <v>77</v>
      </c>
      <c r="V59" s="6">
        <v>190501502</v>
      </c>
      <c r="W59" s="48" t="s">
        <v>613</v>
      </c>
      <c r="X59" s="49" t="s">
        <v>8</v>
      </c>
      <c r="Y59" s="6">
        <v>1</v>
      </c>
      <c r="Z59" s="6">
        <v>1</v>
      </c>
      <c r="AA59" s="6">
        <v>1</v>
      </c>
      <c r="AB59" s="6">
        <v>1</v>
      </c>
      <c r="AC59" s="6">
        <v>1</v>
      </c>
      <c r="AD59" s="50">
        <f t="shared" si="13"/>
        <v>40000000</v>
      </c>
      <c r="AE59" s="52"/>
      <c r="AF59" s="52"/>
      <c r="AG59" s="52"/>
      <c r="AH59" s="52">
        <v>40000000</v>
      </c>
      <c r="AI59" s="52"/>
      <c r="AJ59" s="52"/>
      <c r="AK59" s="52"/>
      <c r="AL59" s="52"/>
      <c r="AM59" s="52"/>
      <c r="AN59" s="52"/>
      <c r="AO59" s="52">
        <f t="shared" si="14"/>
        <v>60000000</v>
      </c>
      <c r="AP59" s="52"/>
      <c r="AQ59" s="52"/>
      <c r="AR59" s="52"/>
      <c r="AS59" s="52">
        <v>60000000</v>
      </c>
      <c r="AT59" s="64"/>
      <c r="AU59" s="52"/>
      <c r="AV59" s="52"/>
      <c r="AW59" s="52"/>
      <c r="AX59" s="52"/>
      <c r="AY59" s="52"/>
      <c r="AZ59" s="52">
        <f t="shared" si="15"/>
        <v>40000000</v>
      </c>
      <c r="BA59" s="52"/>
      <c r="BB59" s="52"/>
      <c r="BC59" s="52"/>
      <c r="BD59" s="52">
        <v>40000000</v>
      </c>
      <c r="BE59" s="52"/>
      <c r="BF59" s="52"/>
      <c r="BG59" s="52"/>
      <c r="BH59" s="52"/>
      <c r="BI59" s="52"/>
      <c r="BJ59" s="52"/>
      <c r="BK59" s="52">
        <f t="shared" si="16"/>
        <v>40000000</v>
      </c>
      <c r="BL59" s="52"/>
      <c r="BM59" s="52"/>
      <c r="BN59" s="52"/>
      <c r="BO59" s="52">
        <v>40000000</v>
      </c>
      <c r="BP59" s="52"/>
      <c r="BQ59" s="52"/>
      <c r="BR59" s="52"/>
      <c r="BS59" s="52"/>
      <c r="BT59" s="52"/>
      <c r="BU59" s="53"/>
      <c r="BV59" s="54">
        <f t="shared" si="17"/>
        <v>180000000</v>
      </c>
      <c r="BW59" s="55"/>
    </row>
    <row r="60" spans="1:75" ht="26.25" customHeight="1" x14ac:dyDescent="0.2">
      <c r="A60" s="206"/>
      <c r="B60" s="215"/>
      <c r="C60" s="56"/>
      <c r="D60" s="17"/>
      <c r="E60" s="16"/>
      <c r="F60" s="6"/>
      <c r="G60" s="17"/>
      <c r="H60" s="16"/>
      <c r="I60" s="6"/>
      <c r="J60" s="6"/>
      <c r="K60" s="15"/>
      <c r="L60" s="6"/>
      <c r="M60" s="58">
        <v>13</v>
      </c>
      <c r="N60" s="58">
        <v>1906</v>
      </c>
      <c r="O60" s="59" t="s">
        <v>1644</v>
      </c>
      <c r="P60" s="59"/>
      <c r="Q60" s="60"/>
      <c r="R60" s="60"/>
      <c r="S60" s="60"/>
      <c r="T60" s="60"/>
      <c r="U60" s="60"/>
      <c r="V60" s="60"/>
      <c r="W60" s="43"/>
      <c r="X60" s="44"/>
      <c r="Y60" s="44"/>
      <c r="Z60" s="44"/>
      <c r="AA60" s="44"/>
      <c r="AB60" s="44"/>
      <c r="AC60" s="41"/>
      <c r="AD60" s="61">
        <f>SUM(AD61:AD72)</f>
        <v>57087047376.080002</v>
      </c>
      <c r="AE60" s="61">
        <f t="shared" ref="AE60:BV60" si="18">SUM(AE61:AE72)</f>
        <v>163590000</v>
      </c>
      <c r="AF60" s="61">
        <f t="shared" si="18"/>
        <v>26097225521.52</v>
      </c>
      <c r="AG60" s="61">
        <f t="shared" si="18"/>
        <v>1496346983</v>
      </c>
      <c r="AH60" s="61">
        <f t="shared" si="18"/>
        <v>698165093.87</v>
      </c>
      <c r="AI60" s="61">
        <f t="shared" si="18"/>
        <v>0</v>
      </c>
      <c r="AJ60" s="61">
        <f t="shared" si="18"/>
        <v>0</v>
      </c>
      <c r="AK60" s="61">
        <f t="shared" si="18"/>
        <v>26984928196</v>
      </c>
      <c r="AL60" s="61">
        <f t="shared" si="18"/>
        <v>0</v>
      </c>
      <c r="AM60" s="61">
        <f t="shared" si="18"/>
        <v>0</v>
      </c>
      <c r="AN60" s="61">
        <f t="shared" si="18"/>
        <v>1646791581.6900001</v>
      </c>
      <c r="AO60" s="61">
        <f t="shared" si="18"/>
        <v>38377142704.089996</v>
      </c>
      <c r="AP60" s="61">
        <f t="shared" si="18"/>
        <v>199590000</v>
      </c>
      <c r="AQ60" s="61">
        <f t="shared" si="18"/>
        <v>25681180859.09</v>
      </c>
      <c r="AR60" s="61">
        <f t="shared" si="18"/>
        <v>0</v>
      </c>
      <c r="AS60" s="61">
        <f t="shared" si="18"/>
        <v>1569105798</v>
      </c>
      <c r="AT60" s="61">
        <f t="shared" si="18"/>
        <v>0</v>
      </c>
      <c r="AU60" s="61">
        <f t="shared" si="18"/>
        <v>0</v>
      </c>
      <c r="AV60" s="61">
        <f t="shared" si="18"/>
        <v>9350627816</v>
      </c>
      <c r="AW60" s="61">
        <f t="shared" si="18"/>
        <v>0</v>
      </c>
      <c r="AX60" s="61">
        <f t="shared" si="18"/>
        <v>0</v>
      </c>
      <c r="AY60" s="61">
        <f t="shared" si="18"/>
        <v>1576638231</v>
      </c>
      <c r="AZ60" s="61">
        <f t="shared" si="18"/>
        <v>42225282553.560799</v>
      </c>
      <c r="BA60" s="61">
        <f t="shared" si="18"/>
        <v>200194000</v>
      </c>
      <c r="BB60" s="61">
        <f t="shared" si="18"/>
        <v>26451616283.764702</v>
      </c>
      <c r="BC60" s="61">
        <f t="shared" si="18"/>
        <v>0</v>
      </c>
      <c r="BD60" s="61">
        <f t="shared" si="18"/>
        <v>1616178969</v>
      </c>
      <c r="BE60" s="61">
        <f t="shared" si="18"/>
        <v>0</v>
      </c>
      <c r="BF60" s="61">
        <f t="shared" si="18"/>
        <v>0</v>
      </c>
      <c r="BG60" s="61">
        <f t="shared" si="18"/>
        <v>12333355924</v>
      </c>
      <c r="BH60" s="61">
        <f t="shared" si="18"/>
        <v>0</v>
      </c>
      <c r="BI60" s="61">
        <f t="shared" si="18"/>
        <v>0</v>
      </c>
      <c r="BJ60" s="61">
        <f t="shared" si="18"/>
        <v>1623937376.7960999</v>
      </c>
      <c r="BK60" s="61">
        <f t="shared" si="18"/>
        <v>30831671608</v>
      </c>
      <c r="BL60" s="61">
        <f t="shared" si="18"/>
        <v>249187000</v>
      </c>
      <c r="BM60" s="61">
        <f t="shared" si="18"/>
        <v>27245164770</v>
      </c>
      <c r="BN60" s="61">
        <f t="shared" si="18"/>
        <v>0</v>
      </c>
      <c r="BO60" s="61">
        <f t="shared" si="18"/>
        <v>1664664339</v>
      </c>
      <c r="BP60" s="61">
        <f t="shared" si="18"/>
        <v>0</v>
      </c>
      <c r="BQ60" s="61">
        <f t="shared" si="18"/>
        <v>0</v>
      </c>
      <c r="BR60" s="61">
        <f t="shared" si="18"/>
        <v>0</v>
      </c>
      <c r="BS60" s="61">
        <f t="shared" si="18"/>
        <v>0</v>
      </c>
      <c r="BT60" s="61">
        <f t="shared" si="18"/>
        <v>0</v>
      </c>
      <c r="BU60" s="62">
        <f t="shared" si="18"/>
        <v>1672655499</v>
      </c>
      <c r="BV60" s="61">
        <f t="shared" si="18"/>
        <v>168521144241.7308</v>
      </c>
      <c r="BW60" s="55"/>
    </row>
    <row r="61" spans="1:75" s="190" customFormat="1" ht="63" customHeight="1" x14ac:dyDescent="0.2">
      <c r="A61" s="206">
        <v>1</v>
      </c>
      <c r="B61" s="215" t="s">
        <v>19</v>
      </c>
      <c r="C61" s="17" t="s">
        <v>453</v>
      </c>
      <c r="D61" s="17" t="s">
        <v>614</v>
      </c>
      <c r="E61" s="16" t="s">
        <v>615</v>
      </c>
      <c r="F61" s="7" t="s">
        <v>455</v>
      </c>
      <c r="G61" s="17" t="s">
        <v>616</v>
      </c>
      <c r="H61" s="16" t="s">
        <v>617</v>
      </c>
      <c r="I61" s="6">
        <v>19</v>
      </c>
      <c r="J61" s="6" t="s">
        <v>1645</v>
      </c>
      <c r="K61" s="15">
        <v>2</v>
      </c>
      <c r="L61" s="6" t="s">
        <v>458</v>
      </c>
      <c r="M61" s="208">
        <v>13</v>
      </c>
      <c r="N61" s="206">
        <v>1906</v>
      </c>
      <c r="O61" s="207" t="s">
        <v>1644</v>
      </c>
      <c r="P61" s="6" t="s">
        <v>618</v>
      </c>
      <c r="Q61" s="6">
        <v>1906005</v>
      </c>
      <c r="R61" s="6">
        <v>1906005</v>
      </c>
      <c r="S61" s="17" t="s">
        <v>619</v>
      </c>
      <c r="T61" s="6" t="s">
        <v>620</v>
      </c>
      <c r="U61" s="6">
        <v>190600500</v>
      </c>
      <c r="V61" s="6">
        <v>190600500</v>
      </c>
      <c r="W61" s="48" t="s">
        <v>619</v>
      </c>
      <c r="X61" s="49" t="s">
        <v>9</v>
      </c>
      <c r="Y61" s="6">
        <v>11</v>
      </c>
      <c r="Z61" s="6">
        <v>2</v>
      </c>
      <c r="AA61" s="6">
        <v>2</v>
      </c>
      <c r="AB61" s="6">
        <v>4</v>
      </c>
      <c r="AC61" s="6">
        <v>3</v>
      </c>
      <c r="AD61" s="50">
        <f t="shared" ref="AD61:AD72" si="19">AE61+AF61+AG61+AH61+AI61+AJ61+AK61+AL61+AM61+AN61</f>
        <v>4000000000</v>
      </c>
      <c r="AE61" s="52"/>
      <c r="AF61" s="52"/>
      <c r="AG61" s="52"/>
      <c r="AH61" s="52"/>
      <c r="AI61" s="52"/>
      <c r="AJ61" s="52"/>
      <c r="AK61" s="52">
        <v>4000000000</v>
      </c>
      <c r="AL61" s="52"/>
      <c r="AM61" s="52"/>
      <c r="AN61" s="52"/>
      <c r="AO61" s="52">
        <f t="shared" ref="AO61:AO72" si="20">AP61+AQ61+AR61+AS61+AT61+AU61+AV61+AW61+AX61+AY61</f>
        <v>0</v>
      </c>
      <c r="AP61" s="52"/>
      <c r="AQ61" s="52"/>
      <c r="AR61" s="52"/>
      <c r="AS61" s="52"/>
      <c r="AT61" s="64"/>
      <c r="AU61" s="52"/>
      <c r="AV61" s="52"/>
      <c r="AW61" s="52"/>
      <c r="AX61" s="52"/>
      <c r="AY61" s="52"/>
      <c r="AZ61" s="52">
        <f t="shared" ref="AZ61:AZ72" si="21">BA61+BB61+BC61+BD61+BE61+BF61+BG61+BH61+BI61+BJ61</f>
        <v>0</v>
      </c>
      <c r="BA61" s="52"/>
      <c r="BB61" s="52"/>
      <c r="BC61" s="52"/>
      <c r="BD61" s="52"/>
      <c r="BE61" s="52"/>
      <c r="BF61" s="52"/>
      <c r="BG61" s="52"/>
      <c r="BH61" s="52"/>
      <c r="BI61" s="52"/>
      <c r="BJ61" s="52"/>
      <c r="BK61" s="52">
        <f t="shared" ref="BK61:BK72" si="22">BL61+BM61+BN61+BO61+BP61+BQ61+BR61+BS61+BT61+BU61</f>
        <v>0</v>
      </c>
      <c r="BL61" s="52"/>
      <c r="BM61" s="52"/>
      <c r="BN61" s="52"/>
      <c r="BO61" s="52"/>
      <c r="BP61" s="52"/>
      <c r="BQ61" s="52"/>
      <c r="BR61" s="52"/>
      <c r="BS61" s="52"/>
      <c r="BT61" s="52"/>
      <c r="BU61" s="53"/>
      <c r="BV61" s="54">
        <f t="shared" ref="BV61:BV72" si="23">AD61+AO61+AZ61+BK61</f>
        <v>4000000000</v>
      </c>
      <c r="BW61" s="55"/>
    </row>
    <row r="62" spans="1:75" s="190" customFormat="1" ht="63" customHeight="1" x14ac:dyDescent="0.2">
      <c r="A62" s="206">
        <v>1</v>
      </c>
      <c r="B62" s="215" t="s">
        <v>19</v>
      </c>
      <c r="C62" s="17" t="s">
        <v>453</v>
      </c>
      <c r="D62" s="17" t="s">
        <v>243</v>
      </c>
      <c r="E62" s="68">
        <v>99.679658302188997</v>
      </c>
      <c r="F62" s="7">
        <v>2018</v>
      </c>
      <c r="G62" s="72" t="s">
        <v>462</v>
      </c>
      <c r="H62" s="80">
        <v>99.68</v>
      </c>
      <c r="I62" s="6">
        <v>19</v>
      </c>
      <c r="J62" s="6" t="s">
        <v>1645</v>
      </c>
      <c r="K62" s="15">
        <v>2</v>
      </c>
      <c r="L62" s="15" t="s">
        <v>458</v>
      </c>
      <c r="M62" s="208">
        <v>13</v>
      </c>
      <c r="N62" s="206">
        <v>1906</v>
      </c>
      <c r="O62" s="207" t="s">
        <v>1644</v>
      </c>
      <c r="P62" s="6" t="s">
        <v>621</v>
      </c>
      <c r="Q62" s="6">
        <v>1906012</v>
      </c>
      <c r="R62" s="6">
        <v>1906012</v>
      </c>
      <c r="S62" s="17" t="s">
        <v>622</v>
      </c>
      <c r="T62" s="6" t="s">
        <v>623</v>
      </c>
      <c r="U62" s="6">
        <v>190601200</v>
      </c>
      <c r="V62" s="6">
        <v>190601200</v>
      </c>
      <c r="W62" s="48" t="s">
        <v>622</v>
      </c>
      <c r="X62" s="49" t="s">
        <v>9</v>
      </c>
      <c r="Y62" s="6">
        <v>2</v>
      </c>
      <c r="Z62" s="6">
        <v>1</v>
      </c>
      <c r="AA62" s="6">
        <v>0</v>
      </c>
      <c r="AB62" s="6">
        <v>1</v>
      </c>
      <c r="AC62" s="6">
        <v>0</v>
      </c>
      <c r="AD62" s="50">
        <f t="shared" si="19"/>
        <v>2089825148</v>
      </c>
      <c r="AE62" s="52"/>
      <c r="AF62" s="52"/>
      <c r="AG62" s="52"/>
      <c r="AH62" s="52"/>
      <c r="AI62" s="52"/>
      <c r="AJ62" s="52"/>
      <c r="AK62" s="52">
        <v>2089825148</v>
      </c>
      <c r="AL62" s="52"/>
      <c r="AM62" s="52"/>
      <c r="AN62" s="52"/>
      <c r="AO62" s="52">
        <f t="shared" si="20"/>
        <v>0</v>
      </c>
      <c r="AP62" s="52"/>
      <c r="AQ62" s="52"/>
      <c r="AR62" s="52"/>
      <c r="AS62" s="52"/>
      <c r="AT62" s="64"/>
      <c r="AU62" s="52"/>
      <c r="AV62" s="52"/>
      <c r="AW62" s="52"/>
      <c r="AX62" s="52"/>
      <c r="AY62" s="52"/>
      <c r="AZ62" s="52">
        <f t="shared" si="21"/>
        <v>0</v>
      </c>
      <c r="BA62" s="52"/>
      <c r="BB62" s="52"/>
      <c r="BC62" s="52"/>
      <c r="BD62" s="52"/>
      <c r="BE62" s="52"/>
      <c r="BF62" s="52"/>
      <c r="BG62" s="52"/>
      <c r="BH62" s="52"/>
      <c r="BI62" s="52"/>
      <c r="BJ62" s="52"/>
      <c r="BK62" s="52">
        <f t="shared" si="22"/>
        <v>0</v>
      </c>
      <c r="BL62" s="52"/>
      <c r="BM62" s="52"/>
      <c r="BN62" s="52"/>
      <c r="BO62" s="52"/>
      <c r="BP62" s="52"/>
      <c r="BQ62" s="52"/>
      <c r="BR62" s="52"/>
      <c r="BS62" s="52"/>
      <c r="BT62" s="52"/>
      <c r="BU62" s="53"/>
      <c r="BV62" s="54">
        <f t="shared" si="23"/>
        <v>2089825148</v>
      </c>
      <c r="BW62" s="55"/>
    </row>
    <row r="63" spans="1:75" s="190" customFormat="1" ht="63" customHeight="1" x14ac:dyDescent="0.2">
      <c r="A63" s="206">
        <v>1</v>
      </c>
      <c r="B63" s="215" t="s">
        <v>19</v>
      </c>
      <c r="C63" s="17" t="s">
        <v>453</v>
      </c>
      <c r="D63" s="17" t="s">
        <v>624</v>
      </c>
      <c r="E63" s="68" t="s">
        <v>625</v>
      </c>
      <c r="F63" s="7" t="s">
        <v>455</v>
      </c>
      <c r="G63" s="17" t="s">
        <v>626</v>
      </c>
      <c r="H63" s="16" t="s">
        <v>1699</v>
      </c>
      <c r="I63" s="6">
        <v>19</v>
      </c>
      <c r="J63" s="6" t="s">
        <v>1645</v>
      </c>
      <c r="K63" s="15">
        <v>2</v>
      </c>
      <c r="L63" s="15" t="s">
        <v>458</v>
      </c>
      <c r="M63" s="208">
        <v>13</v>
      </c>
      <c r="N63" s="206">
        <v>1906</v>
      </c>
      <c r="O63" s="207" t="s">
        <v>1644</v>
      </c>
      <c r="P63" s="6" t="s">
        <v>627</v>
      </c>
      <c r="Q63" s="6">
        <v>1906019</v>
      </c>
      <c r="R63" s="6">
        <v>1906019</v>
      </c>
      <c r="S63" s="17" t="s">
        <v>628</v>
      </c>
      <c r="T63" s="6" t="s">
        <v>629</v>
      </c>
      <c r="U63" s="6">
        <v>190601900</v>
      </c>
      <c r="V63" s="6">
        <v>190601900</v>
      </c>
      <c r="W63" s="48" t="s">
        <v>628</v>
      </c>
      <c r="X63" s="49" t="s">
        <v>9</v>
      </c>
      <c r="Y63" s="6">
        <v>1</v>
      </c>
      <c r="Z63" s="6">
        <v>1</v>
      </c>
      <c r="AA63" s="6">
        <v>0</v>
      </c>
      <c r="AB63" s="6">
        <v>0</v>
      </c>
      <c r="AC63" s="6">
        <v>0</v>
      </c>
      <c r="AD63" s="50">
        <f t="shared" si="19"/>
        <v>5700000000</v>
      </c>
      <c r="AE63" s="52"/>
      <c r="AF63" s="52"/>
      <c r="AG63" s="52"/>
      <c r="AH63" s="52"/>
      <c r="AI63" s="52"/>
      <c r="AJ63" s="52"/>
      <c r="AK63" s="52">
        <v>5700000000</v>
      </c>
      <c r="AL63" s="52"/>
      <c r="AM63" s="52"/>
      <c r="AN63" s="52"/>
      <c r="AO63" s="52">
        <f t="shared" si="20"/>
        <v>5000000000</v>
      </c>
      <c r="AP63" s="52"/>
      <c r="AQ63" s="52"/>
      <c r="AR63" s="52"/>
      <c r="AS63" s="52"/>
      <c r="AT63" s="64"/>
      <c r="AU63" s="52"/>
      <c r="AV63" s="52">
        <v>5000000000</v>
      </c>
      <c r="AW63" s="52"/>
      <c r="AX63" s="52"/>
      <c r="AY63" s="52"/>
      <c r="AZ63" s="52">
        <f t="shared" si="21"/>
        <v>10000000000</v>
      </c>
      <c r="BA63" s="52"/>
      <c r="BB63" s="52"/>
      <c r="BC63" s="52"/>
      <c r="BD63" s="52"/>
      <c r="BE63" s="52"/>
      <c r="BF63" s="52"/>
      <c r="BG63" s="52">
        <v>10000000000</v>
      </c>
      <c r="BH63" s="52"/>
      <c r="BI63" s="52"/>
      <c r="BJ63" s="52"/>
      <c r="BK63" s="52">
        <f t="shared" si="22"/>
        <v>0</v>
      </c>
      <c r="BL63" s="52"/>
      <c r="BM63" s="52"/>
      <c r="BN63" s="52"/>
      <c r="BO63" s="52"/>
      <c r="BP63" s="52"/>
      <c r="BQ63" s="52"/>
      <c r="BR63" s="52"/>
      <c r="BS63" s="52"/>
      <c r="BT63" s="52"/>
      <c r="BU63" s="53"/>
      <c r="BV63" s="54">
        <f t="shared" si="23"/>
        <v>20700000000</v>
      </c>
      <c r="BW63" s="55"/>
    </row>
    <row r="64" spans="1:75" s="190" customFormat="1" ht="110.25" customHeight="1" x14ac:dyDescent="0.2">
      <c r="A64" s="206">
        <v>1</v>
      </c>
      <c r="B64" s="215" t="s">
        <v>19</v>
      </c>
      <c r="C64" s="17" t="s">
        <v>453</v>
      </c>
      <c r="D64" s="17" t="s">
        <v>228</v>
      </c>
      <c r="E64" s="16">
        <v>11.21</v>
      </c>
      <c r="F64" s="65">
        <v>2018</v>
      </c>
      <c r="G64" s="72" t="s">
        <v>462</v>
      </c>
      <c r="H64" s="16">
        <v>11</v>
      </c>
      <c r="I64" s="6">
        <v>19</v>
      </c>
      <c r="J64" s="6" t="s">
        <v>1645</v>
      </c>
      <c r="K64" s="15">
        <v>2</v>
      </c>
      <c r="L64" s="15" t="s">
        <v>458</v>
      </c>
      <c r="M64" s="208">
        <v>13</v>
      </c>
      <c r="N64" s="206">
        <v>1906</v>
      </c>
      <c r="O64" s="207" t="s">
        <v>1644</v>
      </c>
      <c r="P64" s="6" t="s">
        <v>630</v>
      </c>
      <c r="Q64" s="6">
        <v>1906022</v>
      </c>
      <c r="R64" s="6">
        <v>1906022</v>
      </c>
      <c r="S64" s="17" t="s">
        <v>631</v>
      </c>
      <c r="T64" s="6" t="s">
        <v>632</v>
      </c>
      <c r="U64" s="6">
        <v>190602200</v>
      </c>
      <c r="V64" s="6">
        <v>190602200</v>
      </c>
      <c r="W64" s="48" t="s">
        <v>633</v>
      </c>
      <c r="X64" s="49" t="s">
        <v>9</v>
      </c>
      <c r="Y64" s="6">
        <v>4</v>
      </c>
      <c r="Z64" s="6">
        <v>1</v>
      </c>
      <c r="AA64" s="6">
        <v>1</v>
      </c>
      <c r="AB64" s="6">
        <v>1</v>
      </c>
      <c r="AC64" s="6">
        <v>1</v>
      </c>
      <c r="AD64" s="50">
        <f t="shared" si="19"/>
        <v>0</v>
      </c>
      <c r="AE64" s="52"/>
      <c r="AF64" s="52"/>
      <c r="AG64" s="52"/>
      <c r="AH64" s="52"/>
      <c r="AI64" s="52"/>
      <c r="AJ64" s="52"/>
      <c r="AK64" s="52"/>
      <c r="AL64" s="52"/>
      <c r="AM64" s="52"/>
      <c r="AN64" s="52"/>
      <c r="AO64" s="52">
        <f t="shared" si="20"/>
        <v>0</v>
      </c>
      <c r="AP64" s="52"/>
      <c r="AQ64" s="52"/>
      <c r="AR64" s="52"/>
      <c r="AS64" s="52"/>
      <c r="AT64" s="64"/>
      <c r="AU64" s="52"/>
      <c r="AV64" s="52"/>
      <c r="AW64" s="52"/>
      <c r="AX64" s="52"/>
      <c r="AY64" s="52"/>
      <c r="AZ64" s="52">
        <f t="shared" si="21"/>
        <v>0</v>
      </c>
      <c r="BA64" s="52"/>
      <c r="BB64" s="52"/>
      <c r="BC64" s="52"/>
      <c r="BD64" s="52"/>
      <c r="BE64" s="52"/>
      <c r="BF64" s="52"/>
      <c r="BG64" s="52"/>
      <c r="BH64" s="52"/>
      <c r="BI64" s="52"/>
      <c r="BJ64" s="52"/>
      <c r="BK64" s="52">
        <f t="shared" si="22"/>
        <v>0</v>
      </c>
      <c r="BL64" s="52"/>
      <c r="BM64" s="52"/>
      <c r="BN64" s="52"/>
      <c r="BO64" s="52"/>
      <c r="BP64" s="52"/>
      <c r="BQ64" s="52"/>
      <c r="BR64" s="52"/>
      <c r="BS64" s="52"/>
      <c r="BT64" s="52"/>
      <c r="BU64" s="53"/>
      <c r="BV64" s="54">
        <f t="shared" si="23"/>
        <v>0</v>
      </c>
      <c r="BW64" s="55"/>
    </row>
    <row r="65" spans="1:75" s="190" customFormat="1" ht="63" customHeight="1" x14ac:dyDescent="0.2">
      <c r="A65" s="206">
        <v>1</v>
      </c>
      <c r="B65" s="215" t="s">
        <v>19</v>
      </c>
      <c r="C65" s="17" t="s">
        <v>453</v>
      </c>
      <c r="D65" s="17" t="s">
        <v>236</v>
      </c>
      <c r="E65" s="68">
        <v>8.11</v>
      </c>
      <c r="F65" s="65">
        <v>2018</v>
      </c>
      <c r="G65" s="72" t="s">
        <v>462</v>
      </c>
      <c r="H65" s="16">
        <v>6.5</v>
      </c>
      <c r="I65" s="6">
        <v>19</v>
      </c>
      <c r="J65" s="6" t="s">
        <v>1645</v>
      </c>
      <c r="K65" s="15">
        <v>2</v>
      </c>
      <c r="L65" s="6" t="s">
        <v>458</v>
      </c>
      <c r="M65" s="208">
        <v>13</v>
      </c>
      <c r="N65" s="206">
        <v>1906</v>
      </c>
      <c r="O65" s="207" t="s">
        <v>1644</v>
      </c>
      <c r="P65" s="6" t="s">
        <v>634</v>
      </c>
      <c r="Q65" s="6" t="s">
        <v>77</v>
      </c>
      <c r="R65" s="6">
        <v>1906023</v>
      </c>
      <c r="S65" s="17" t="s">
        <v>635</v>
      </c>
      <c r="T65" s="6" t="s">
        <v>636</v>
      </c>
      <c r="U65" s="6" t="s">
        <v>77</v>
      </c>
      <c r="V65" s="6">
        <v>190602301</v>
      </c>
      <c r="W65" s="48" t="s">
        <v>637</v>
      </c>
      <c r="X65" s="49" t="s">
        <v>8</v>
      </c>
      <c r="Y65" s="6">
        <v>60</v>
      </c>
      <c r="Z65" s="6">
        <v>60</v>
      </c>
      <c r="AA65" s="6">
        <v>60</v>
      </c>
      <c r="AB65" s="6">
        <v>60</v>
      </c>
      <c r="AC65" s="6">
        <v>60</v>
      </c>
      <c r="AD65" s="50">
        <f t="shared" si="19"/>
        <v>1569866698</v>
      </c>
      <c r="AE65" s="52"/>
      <c r="AF65" s="52"/>
      <c r="AG65" s="52"/>
      <c r="AH65" s="52"/>
      <c r="AI65" s="52"/>
      <c r="AJ65" s="52"/>
      <c r="AK65" s="52"/>
      <c r="AL65" s="52"/>
      <c r="AM65" s="52"/>
      <c r="AN65" s="52">
        <f>1530716729+39149969</f>
        <v>1569866698</v>
      </c>
      <c r="AO65" s="52">
        <f t="shared" si="20"/>
        <v>1576638231</v>
      </c>
      <c r="AP65" s="52"/>
      <c r="AQ65" s="52"/>
      <c r="AR65" s="52"/>
      <c r="AS65" s="52"/>
      <c r="AT65" s="64"/>
      <c r="AU65" s="52"/>
      <c r="AV65" s="52"/>
      <c r="AW65" s="52"/>
      <c r="AX65" s="52"/>
      <c r="AY65" s="52">
        <v>1576638231</v>
      </c>
      <c r="AZ65" s="52">
        <f t="shared" si="21"/>
        <v>1623937376.7960999</v>
      </c>
      <c r="BA65" s="52"/>
      <c r="BB65" s="52"/>
      <c r="BC65" s="52"/>
      <c r="BD65" s="52"/>
      <c r="BE65" s="52"/>
      <c r="BF65" s="52"/>
      <c r="BG65" s="52"/>
      <c r="BH65" s="52"/>
      <c r="BI65" s="52"/>
      <c r="BJ65" s="52">
        <v>1623937376.7960999</v>
      </c>
      <c r="BK65" s="52">
        <f t="shared" si="22"/>
        <v>1672655499</v>
      </c>
      <c r="BL65" s="52"/>
      <c r="BM65" s="52"/>
      <c r="BN65" s="52"/>
      <c r="BO65" s="52"/>
      <c r="BP65" s="52"/>
      <c r="BQ65" s="52"/>
      <c r="BR65" s="52"/>
      <c r="BS65" s="52"/>
      <c r="BT65" s="52"/>
      <c r="BU65" s="53">
        <v>1672655499</v>
      </c>
      <c r="BV65" s="54">
        <f t="shared" si="23"/>
        <v>6443097804.7960997</v>
      </c>
      <c r="BW65" s="55"/>
    </row>
    <row r="66" spans="1:75" s="190" customFormat="1" ht="63" customHeight="1" x14ac:dyDescent="0.2">
      <c r="A66" s="206">
        <v>1</v>
      </c>
      <c r="B66" s="215" t="s">
        <v>19</v>
      </c>
      <c r="C66" s="17" t="s">
        <v>453</v>
      </c>
      <c r="D66" s="17" t="s">
        <v>275</v>
      </c>
      <c r="E66" s="16">
        <v>85.9</v>
      </c>
      <c r="F66" s="7">
        <v>2018</v>
      </c>
      <c r="G66" s="17" t="s">
        <v>638</v>
      </c>
      <c r="H66" s="16">
        <v>90</v>
      </c>
      <c r="I66" s="6">
        <v>19</v>
      </c>
      <c r="J66" s="6" t="s">
        <v>1645</v>
      </c>
      <c r="K66" s="15">
        <v>2</v>
      </c>
      <c r="L66" s="6" t="s">
        <v>458</v>
      </c>
      <c r="M66" s="208">
        <v>13</v>
      </c>
      <c r="N66" s="206">
        <v>1906</v>
      </c>
      <c r="O66" s="207" t="s">
        <v>1644</v>
      </c>
      <c r="P66" s="6" t="s">
        <v>634</v>
      </c>
      <c r="Q66" s="6" t="s">
        <v>77</v>
      </c>
      <c r="R66" s="6">
        <v>1906023</v>
      </c>
      <c r="S66" s="17" t="s">
        <v>635</v>
      </c>
      <c r="T66" s="6" t="s">
        <v>639</v>
      </c>
      <c r="U66" s="6" t="s">
        <v>77</v>
      </c>
      <c r="V66" s="6">
        <v>190602301</v>
      </c>
      <c r="W66" s="48" t="s">
        <v>640</v>
      </c>
      <c r="X66" s="49" t="s">
        <v>8</v>
      </c>
      <c r="Y66" s="6">
        <v>40</v>
      </c>
      <c r="Z66" s="6">
        <v>40</v>
      </c>
      <c r="AA66" s="6">
        <v>40</v>
      </c>
      <c r="AB66" s="6">
        <v>40</v>
      </c>
      <c r="AC66" s="6">
        <v>40</v>
      </c>
      <c r="AD66" s="50">
        <f t="shared" si="19"/>
        <v>0</v>
      </c>
      <c r="AE66" s="52"/>
      <c r="AF66" s="52"/>
      <c r="AG66" s="52"/>
      <c r="AH66" s="52"/>
      <c r="AI66" s="52"/>
      <c r="AJ66" s="52"/>
      <c r="AK66" s="52"/>
      <c r="AL66" s="52"/>
      <c r="AM66" s="52"/>
      <c r="AN66" s="52"/>
      <c r="AO66" s="52">
        <f t="shared" si="20"/>
        <v>0</v>
      </c>
      <c r="AP66" s="52"/>
      <c r="AQ66" s="52"/>
      <c r="AR66" s="52"/>
      <c r="AS66" s="52"/>
      <c r="AT66" s="64"/>
      <c r="AU66" s="52"/>
      <c r="AV66" s="52"/>
      <c r="AW66" s="52"/>
      <c r="AX66" s="52"/>
      <c r="AY66" s="52"/>
      <c r="AZ66" s="52">
        <f t="shared" si="21"/>
        <v>0</v>
      </c>
      <c r="BA66" s="52"/>
      <c r="BB66" s="52"/>
      <c r="BC66" s="52"/>
      <c r="BD66" s="52"/>
      <c r="BE66" s="52"/>
      <c r="BF66" s="52"/>
      <c r="BG66" s="52"/>
      <c r="BH66" s="52"/>
      <c r="BI66" s="52"/>
      <c r="BJ66" s="52"/>
      <c r="BK66" s="52">
        <f t="shared" si="22"/>
        <v>0</v>
      </c>
      <c r="BL66" s="52"/>
      <c r="BM66" s="52"/>
      <c r="BN66" s="52"/>
      <c r="BO66" s="52"/>
      <c r="BP66" s="52"/>
      <c r="BQ66" s="52"/>
      <c r="BR66" s="52"/>
      <c r="BS66" s="52"/>
      <c r="BT66" s="52"/>
      <c r="BU66" s="53"/>
      <c r="BV66" s="54">
        <f t="shared" si="23"/>
        <v>0</v>
      </c>
      <c r="BW66" s="55"/>
    </row>
    <row r="67" spans="1:75" s="190" customFormat="1" ht="94.5" customHeight="1" x14ac:dyDescent="0.2">
      <c r="A67" s="206">
        <v>1</v>
      </c>
      <c r="B67" s="215" t="s">
        <v>19</v>
      </c>
      <c r="C67" s="17" t="s">
        <v>453</v>
      </c>
      <c r="D67" s="17" t="s">
        <v>278</v>
      </c>
      <c r="E67" s="69">
        <v>47.271242571337844</v>
      </c>
      <c r="F67" s="7">
        <v>2018</v>
      </c>
      <c r="G67" s="17" t="s">
        <v>462</v>
      </c>
      <c r="H67" s="16">
        <v>40</v>
      </c>
      <c r="I67" s="6">
        <v>19</v>
      </c>
      <c r="J67" s="6" t="s">
        <v>1645</v>
      </c>
      <c r="K67" s="15">
        <v>2</v>
      </c>
      <c r="L67" s="6" t="s">
        <v>458</v>
      </c>
      <c r="M67" s="208">
        <v>13</v>
      </c>
      <c r="N67" s="206">
        <v>1906</v>
      </c>
      <c r="O67" s="207" t="s">
        <v>1644</v>
      </c>
      <c r="P67" s="6" t="s">
        <v>641</v>
      </c>
      <c r="Q67" s="6">
        <v>1906029</v>
      </c>
      <c r="R67" s="6">
        <v>1906029</v>
      </c>
      <c r="S67" s="17" t="s">
        <v>642</v>
      </c>
      <c r="T67" s="6" t="s">
        <v>643</v>
      </c>
      <c r="U67" s="6">
        <v>190602900</v>
      </c>
      <c r="V67" s="6">
        <v>190602900</v>
      </c>
      <c r="W67" s="48" t="s">
        <v>644</v>
      </c>
      <c r="X67" s="49" t="s">
        <v>8</v>
      </c>
      <c r="Y67" s="6">
        <v>40</v>
      </c>
      <c r="Z67" s="6">
        <v>40</v>
      </c>
      <c r="AA67" s="6">
        <v>40</v>
      </c>
      <c r="AB67" s="6">
        <v>40</v>
      </c>
      <c r="AC67" s="6">
        <v>40</v>
      </c>
      <c r="AD67" s="50">
        <f t="shared" si="19"/>
        <v>2114282983</v>
      </c>
      <c r="AE67" s="52">
        <v>150390000</v>
      </c>
      <c r="AF67" s="52">
        <v>467546000</v>
      </c>
      <c r="AG67" s="52">
        <v>1496346983</v>
      </c>
      <c r="AH67" s="1"/>
      <c r="AI67" s="52"/>
      <c r="AJ67" s="52"/>
      <c r="AK67" s="52"/>
      <c r="AL67" s="52"/>
      <c r="AM67" s="52"/>
      <c r="AN67" s="52"/>
      <c r="AO67" s="52">
        <f t="shared" si="20"/>
        <v>161590000</v>
      </c>
      <c r="AP67" s="52">
        <v>161590000</v>
      </c>
      <c r="AQ67" s="52"/>
      <c r="AR67" s="52"/>
      <c r="AS67" s="52"/>
      <c r="AT67" s="64"/>
      <c r="AU67" s="52"/>
      <c r="AV67" s="52"/>
      <c r="AW67" s="52"/>
      <c r="AX67" s="52"/>
      <c r="AY67" s="52"/>
      <c r="AZ67" s="52">
        <f t="shared" si="21"/>
        <v>161590000</v>
      </c>
      <c r="BA67" s="52">
        <v>161590000</v>
      </c>
      <c r="BB67" s="52"/>
      <c r="BC67" s="52"/>
      <c r="BD67" s="52"/>
      <c r="BE67" s="52"/>
      <c r="BF67" s="52"/>
      <c r="BG67" s="52"/>
      <c r="BH67" s="52"/>
      <c r="BI67" s="52"/>
      <c r="BJ67" s="52"/>
      <c r="BK67" s="52">
        <f t="shared" si="22"/>
        <v>161590000</v>
      </c>
      <c r="BL67" s="52">
        <v>161590000</v>
      </c>
      <c r="BM67" s="52"/>
      <c r="BN67" s="52"/>
      <c r="BO67" s="52"/>
      <c r="BP67" s="52"/>
      <c r="BQ67" s="52"/>
      <c r="BR67" s="52"/>
      <c r="BS67" s="52"/>
      <c r="BT67" s="52"/>
      <c r="BU67" s="53"/>
      <c r="BV67" s="54">
        <f t="shared" si="23"/>
        <v>2599052983</v>
      </c>
      <c r="BW67" s="55"/>
    </row>
    <row r="68" spans="1:75" s="190" customFormat="1" ht="110.25" customHeight="1" x14ac:dyDescent="0.2">
      <c r="A68" s="206">
        <v>1</v>
      </c>
      <c r="B68" s="215" t="s">
        <v>19</v>
      </c>
      <c r="C68" s="17" t="s">
        <v>453</v>
      </c>
      <c r="D68" s="17" t="s">
        <v>244</v>
      </c>
      <c r="E68" s="16">
        <v>89.22</v>
      </c>
      <c r="F68" s="7">
        <v>2018</v>
      </c>
      <c r="G68" s="17" t="s">
        <v>518</v>
      </c>
      <c r="H68" s="16">
        <v>100</v>
      </c>
      <c r="I68" s="6">
        <v>19</v>
      </c>
      <c r="J68" s="6" t="s">
        <v>1645</v>
      </c>
      <c r="K68" s="15">
        <v>2</v>
      </c>
      <c r="L68" s="6" t="s">
        <v>458</v>
      </c>
      <c r="M68" s="208">
        <v>13</v>
      </c>
      <c r="N68" s="206">
        <v>1906</v>
      </c>
      <c r="O68" s="207" t="s">
        <v>1644</v>
      </c>
      <c r="P68" s="6" t="s">
        <v>645</v>
      </c>
      <c r="Q68" s="6">
        <v>1906032</v>
      </c>
      <c r="R68" s="6">
        <v>1906032</v>
      </c>
      <c r="S68" s="17" t="s">
        <v>274</v>
      </c>
      <c r="T68" s="6" t="s">
        <v>646</v>
      </c>
      <c r="U68" s="6">
        <v>190603200</v>
      </c>
      <c r="V68" s="6">
        <v>190603200</v>
      </c>
      <c r="W68" s="48" t="s">
        <v>647</v>
      </c>
      <c r="X68" s="49" t="s">
        <v>9</v>
      </c>
      <c r="Y68" s="6">
        <v>3000</v>
      </c>
      <c r="Z68" s="6">
        <v>1500</v>
      </c>
      <c r="AA68" s="6">
        <v>1500</v>
      </c>
      <c r="AB68" s="6" t="s">
        <v>1570</v>
      </c>
      <c r="AC68" s="6" t="s">
        <v>1570</v>
      </c>
      <c r="AD68" s="50">
        <f t="shared" si="19"/>
        <v>0</v>
      </c>
      <c r="AE68" s="52"/>
      <c r="AF68" s="52"/>
      <c r="AG68" s="52"/>
      <c r="AH68" s="52"/>
      <c r="AI68" s="52"/>
      <c r="AJ68" s="52"/>
      <c r="AK68" s="52"/>
      <c r="AL68" s="52"/>
      <c r="AM68" s="52"/>
      <c r="AN68" s="52"/>
      <c r="AO68" s="52">
        <f t="shared" si="20"/>
        <v>0</v>
      </c>
      <c r="AP68" s="52"/>
      <c r="AQ68" s="52"/>
      <c r="AR68" s="52"/>
      <c r="AS68" s="52"/>
      <c r="AT68" s="64"/>
      <c r="AU68" s="52"/>
      <c r="AV68" s="52"/>
      <c r="AW68" s="52"/>
      <c r="AX68" s="52"/>
      <c r="AY68" s="52"/>
      <c r="AZ68" s="52">
        <f t="shared" si="21"/>
        <v>0</v>
      </c>
      <c r="BA68" s="52"/>
      <c r="BB68" s="52"/>
      <c r="BC68" s="52"/>
      <c r="BD68" s="52"/>
      <c r="BE68" s="52"/>
      <c r="BF68" s="52"/>
      <c r="BG68" s="52"/>
      <c r="BH68" s="52"/>
      <c r="BI68" s="52"/>
      <c r="BJ68" s="52"/>
      <c r="BK68" s="52">
        <f t="shared" si="22"/>
        <v>0</v>
      </c>
      <c r="BL68" s="52"/>
      <c r="BM68" s="52"/>
      <c r="BN68" s="52"/>
      <c r="BO68" s="52"/>
      <c r="BP68" s="52"/>
      <c r="BQ68" s="52"/>
      <c r="BR68" s="52"/>
      <c r="BS68" s="52"/>
      <c r="BT68" s="52"/>
      <c r="BU68" s="53"/>
      <c r="BV68" s="54">
        <f t="shared" si="23"/>
        <v>0</v>
      </c>
      <c r="BW68" s="55"/>
    </row>
    <row r="69" spans="1:75" s="190" customFormat="1" ht="94.5" customHeight="1" x14ac:dyDescent="0.2">
      <c r="A69" s="206">
        <v>1</v>
      </c>
      <c r="B69" s="215" t="s">
        <v>19</v>
      </c>
      <c r="C69" s="17" t="s">
        <v>453</v>
      </c>
      <c r="D69" s="17" t="s">
        <v>275</v>
      </c>
      <c r="E69" s="16">
        <v>85.9</v>
      </c>
      <c r="F69" s="7">
        <v>2018</v>
      </c>
      <c r="G69" s="17" t="s">
        <v>638</v>
      </c>
      <c r="H69" s="16">
        <v>90</v>
      </c>
      <c r="I69" s="6">
        <v>19</v>
      </c>
      <c r="J69" s="6" t="s">
        <v>1645</v>
      </c>
      <c r="K69" s="15">
        <v>2</v>
      </c>
      <c r="L69" s="6" t="s">
        <v>458</v>
      </c>
      <c r="M69" s="208">
        <v>13</v>
      </c>
      <c r="N69" s="206">
        <v>1906</v>
      </c>
      <c r="O69" s="207" t="s">
        <v>1644</v>
      </c>
      <c r="P69" s="6" t="s">
        <v>648</v>
      </c>
      <c r="Q69" s="6" t="s">
        <v>77</v>
      </c>
      <c r="R69" s="6">
        <v>1906023</v>
      </c>
      <c r="S69" s="17" t="s">
        <v>649</v>
      </c>
      <c r="T69" s="6" t="s">
        <v>650</v>
      </c>
      <c r="U69" s="6" t="s">
        <v>77</v>
      </c>
      <c r="V69" s="6">
        <v>190602300</v>
      </c>
      <c r="W69" s="48" t="s">
        <v>651</v>
      </c>
      <c r="X69" s="49" t="s">
        <v>8</v>
      </c>
      <c r="Y69" s="6">
        <v>19899</v>
      </c>
      <c r="Z69" s="6">
        <v>19899</v>
      </c>
      <c r="AA69" s="6">
        <v>19899</v>
      </c>
      <c r="AB69" s="6">
        <v>19899</v>
      </c>
      <c r="AC69" s="6">
        <v>19899</v>
      </c>
      <c r="AD69" s="50">
        <f t="shared" si="19"/>
        <v>21660622878.040001</v>
      </c>
      <c r="AE69" s="52">
        <v>11200000</v>
      </c>
      <c r="AF69" s="52">
        <v>21649422878.040001</v>
      </c>
      <c r="AG69" s="52"/>
      <c r="AH69" s="52"/>
      <c r="AI69" s="52"/>
      <c r="AJ69" s="52"/>
      <c r="AK69" s="52"/>
      <c r="AL69" s="52"/>
      <c r="AM69" s="52"/>
      <c r="AN69" s="52"/>
      <c r="AO69" s="52">
        <f t="shared" si="20"/>
        <v>22283635119.09</v>
      </c>
      <c r="AP69" s="52"/>
      <c r="AQ69" s="52">
        <v>22283635119.09</v>
      </c>
      <c r="AR69" s="52"/>
      <c r="AS69" s="52"/>
      <c r="AT69" s="64"/>
      <c r="AU69" s="52"/>
      <c r="AV69" s="52"/>
      <c r="AW69" s="52"/>
      <c r="AX69" s="52"/>
      <c r="AY69" s="52"/>
      <c r="AZ69" s="52">
        <f t="shared" si="21"/>
        <v>22952144172.662701</v>
      </c>
      <c r="BA69" s="52"/>
      <c r="BB69" s="52">
        <v>22952144172.662701</v>
      </c>
      <c r="BC69" s="52"/>
      <c r="BD69" s="52"/>
      <c r="BE69" s="52"/>
      <c r="BF69" s="52"/>
      <c r="BG69" s="52"/>
      <c r="BH69" s="52"/>
      <c r="BI69" s="52"/>
      <c r="BJ69" s="52"/>
      <c r="BK69" s="52">
        <f t="shared" si="22"/>
        <v>23640708498</v>
      </c>
      <c r="BL69" s="52"/>
      <c r="BM69" s="52">
        <v>23640708498</v>
      </c>
      <c r="BN69" s="52"/>
      <c r="BO69" s="52"/>
      <c r="BP69" s="52"/>
      <c r="BQ69" s="52"/>
      <c r="BR69" s="52"/>
      <c r="BS69" s="52"/>
      <c r="BT69" s="52"/>
      <c r="BU69" s="53"/>
      <c r="BV69" s="54">
        <f t="shared" si="23"/>
        <v>90537110667.792709</v>
      </c>
      <c r="BW69" s="55"/>
    </row>
    <row r="70" spans="1:75" s="190" customFormat="1" ht="110.25" customHeight="1" x14ac:dyDescent="0.2">
      <c r="A70" s="206">
        <v>1</v>
      </c>
      <c r="B70" s="215" t="s">
        <v>19</v>
      </c>
      <c r="C70" s="17" t="s">
        <v>453</v>
      </c>
      <c r="D70" s="17" t="s">
        <v>275</v>
      </c>
      <c r="E70" s="16">
        <v>85.9</v>
      </c>
      <c r="F70" s="7">
        <v>2018</v>
      </c>
      <c r="G70" s="17" t="s">
        <v>638</v>
      </c>
      <c r="H70" s="16">
        <v>90</v>
      </c>
      <c r="I70" s="6">
        <v>19</v>
      </c>
      <c r="J70" s="6" t="s">
        <v>1645</v>
      </c>
      <c r="K70" s="15">
        <v>2</v>
      </c>
      <c r="L70" s="6" t="s">
        <v>458</v>
      </c>
      <c r="M70" s="208">
        <v>13</v>
      </c>
      <c r="N70" s="206">
        <v>1906</v>
      </c>
      <c r="O70" s="207" t="s">
        <v>1644</v>
      </c>
      <c r="P70" s="6" t="s">
        <v>652</v>
      </c>
      <c r="Q70" s="6" t="s">
        <v>77</v>
      </c>
      <c r="R70" s="6">
        <v>1906025</v>
      </c>
      <c r="S70" s="17" t="s">
        <v>276</v>
      </c>
      <c r="T70" s="6" t="s">
        <v>653</v>
      </c>
      <c r="U70" s="6" t="s">
        <v>77</v>
      </c>
      <c r="V70" s="6">
        <v>190602500</v>
      </c>
      <c r="W70" s="48" t="s">
        <v>654</v>
      </c>
      <c r="X70" s="49" t="s">
        <v>8</v>
      </c>
      <c r="Y70" s="6">
        <v>100</v>
      </c>
      <c r="Z70" s="6">
        <v>100</v>
      </c>
      <c r="AA70" s="6">
        <v>100</v>
      </c>
      <c r="AB70" s="6">
        <v>100</v>
      </c>
      <c r="AC70" s="6">
        <v>100</v>
      </c>
      <c r="AD70" s="50">
        <f t="shared" si="19"/>
        <v>17913596.870000001</v>
      </c>
      <c r="AE70" s="52"/>
      <c r="AF70" s="52"/>
      <c r="AG70" s="52"/>
      <c r="AH70" s="1">
        <f>1514260580-1496346983-0.13</f>
        <v>17913596.870000001</v>
      </c>
      <c r="AI70" s="52"/>
      <c r="AJ70" s="52"/>
      <c r="AK70" s="52"/>
      <c r="AL70" s="52"/>
      <c r="AM70" s="52"/>
      <c r="AN70" s="52"/>
      <c r="AO70" s="52">
        <f t="shared" si="20"/>
        <v>1569105798</v>
      </c>
      <c r="AP70" s="52"/>
      <c r="AQ70" s="52"/>
      <c r="AR70" s="52"/>
      <c r="AS70" s="52">
        <v>1569105798</v>
      </c>
      <c r="AT70" s="64"/>
      <c r="AU70" s="52"/>
      <c r="AV70" s="52"/>
      <c r="AW70" s="52"/>
      <c r="AX70" s="52"/>
      <c r="AY70" s="52"/>
      <c r="AZ70" s="52">
        <f t="shared" si="21"/>
        <v>1618684134</v>
      </c>
      <c r="BA70" s="52"/>
      <c r="BB70" s="52">
        <v>2505165</v>
      </c>
      <c r="BC70" s="52"/>
      <c r="BD70" s="52">
        <v>1616178969</v>
      </c>
      <c r="BE70" s="52"/>
      <c r="BF70" s="52"/>
      <c r="BG70" s="52"/>
      <c r="BH70" s="52"/>
      <c r="BI70" s="52"/>
      <c r="BJ70" s="52"/>
      <c r="BK70" s="52">
        <f t="shared" si="22"/>
        <v>1667244656</v>
      </c>
      <c r="BL70" s="52"/>
      <c r="BM70" s="52">
        <v>2580317</v>
      </c>
      <c r="BN70" s="52"/>
      <c r="BO70" s="52">
        <v>1664664339</v>
      </c>
      <c r="BP70" s="52"/>
      <c r="BQ70" s="52"/>
      <c r="BR70" s="52"/>
      <c r="BS70" s="52"/>
      <c r="BT70" s="52"/>
      <c r="BU70" s="53"/>
      <c r="BV70" s="54">
        <f t="shared" si="23"/>
        <v>4872948184.8699999</v>
      </c>
      <c r="BW70" s="55"/>
    </row>
    <row r="71" spans="1:75" s="190" customFormat="1" ht="63" customHeight="1" x14ac:dyDescent="0.2">
      <c r="A71" s="206">
        <v>1</v>
      </c>
      <c r="B71" s="215" t="s">
        <v>19</v>
      </c>
      <c r="C71" s="17" t="s">
        <v>453</v>
      </c>
      <c r="D71" s="17" t="s">
        <v>275</v>
      </c>
      <c r="E71" s="16">
        <v>85.9</v>
      </c>
      <c r="F71" s="7">
        <v>2018</v>
      </c>
      <c r="G71" s="17" t="s">
        <v>638</v>
      </c>
      <c r="H71" s="16">
        <v>90</v>
      </c>
      <c r="I71" s="6">
        <v>19</v>
      </c>
      <c r="J71" s="6" t="s">
        <v>1645</v>
      </c>
      <c r="K71" s="15">
        <v>2</v>
      </c>
      <c r="L71" s="6" t="s">
        <v>458</v>
      </c>
      <c r="M71" s="208">
        <v>13</v>
      </c>
      <c r="N71" s="206">
        <v>1906</v>
      </c>
      <c r="O71" s="207" t="s">
        <v>1644</v>
      </c>
      <c r="P71" s="6" t="s">
        <v>655</v>
      </c>
      <c r="Q71" s="6" t="s">
        <v>77</v>
      </c>
      <c r="R71" s="6">
        <v>1906025</v>
      </c>
      <c r="S71" s="17" t="s">
        <v>277</v>
      </c>
      <c r="T71" s="79" t="s">
        <v>656</v>
      </c>
      <c r="U71" s="6" t="s">
        <v>77</v>
      </c>
      <c r="V71" s="6">
        <v>190602500</v>
      </c>
      <c r="W71" s="48" t="s">
        <v>657</v>
      </c>
      <c r="X71" s="49" t="s">
        <v>8</v>
      </c>
      <c r="Y71" s="6">
        <v>100</v>
      </c>
      <c r="Z71" s="6">
        <v>100</v>
      </c>
      <c r="AA71" s="6">
        <v>100</v>
      </c>
      <c r="AB71" s="6">
        <v>100</v>
      </c>
      <c r="AC71" s="6">
        <v>100</v>
      </c>
      <c r="AD71" s="50">
        <f t="shared" si="19"/>
        <v>4737433024.1699991</v>
      </c>
      <c r="AE71" s="52"/>
      <c r="AF71" s="52">
        <v>3980256643.4799995</v>
      </c>
      <c r="AG71" s="52"/>
      <c r="AH71" s="52">
        <v>680251497</v>
      </c>
      <c r="AI71" s="52"/>
      <c r="AJ71" s="52"/>
      <c r="AK71" s="52"/>
      <c r="AL71" s="52"/>
      <c r="AM71" s="52"/>
      <c r="AN71" s="5">
        <f>68256639+7852620.44+815624.25</f>
        <v>76924883.689999998</v>
      </c>
      <c r="AO71" s="52">
        <f t="shared" si="20"/>
        <v>3397545740</v>
      </c>
      <c r="AP71" s="52"/>
      <c r="AQ71" s="52">
        <v>3397545740</v>
      </c>
      <c r="AR71" s="52"/>
      <c r="AS71" s="52"/>
      <c r="AT71" s="64"/>
      <c r="AU71" s="52"/>
      <c r="AV71" s="52"/>
      <c r="AW71" s="52"/>
      <c r="AX71" s="52"/>
      <c r="AY71" s="52"/>
      <c r="AZ71" s="52">
        <f t="shared" si="21"/>
        <v>3496966946.1020002</v>
      </c>
      <c r="BA71" s="52"/>
      <c r="BB71" s="52">
        <v>3496966946.1020002</v>
      </c>
      <c r="BC71" s="52"/>
      <c r="BD71" s="52"/>
      <c r="BE71" s="52"/>
      <c r="BF71" s="52"/>
      <c r="BG71" s="52"/>
      <c r="BH71" s="52"/>
      <c r="BI71" s="52"/>
      <c r="BJ71" s="52"/>
      <c r="BK71" s="52">
        <f t="shared" si="22"/>
        <v>3601875955</v>
      </c>
      <c r="BL71" s="52"/>
      <c r="BM71" s="52">
        <v>3601875955</v>
      </c>
      <c r="BN71" s="52"/>
      <c r="BO71" s="52"/>
      <c r="BP71" s="52"/>
      <c r="BQ71" s="52"/>
      <c r="BR71" s="52"/>
      <c r="BS71" s="52"/>
      <c r="BT71" s="52"/>
      <c r="BU71" s="53"/>
      <c r="BV71" s="54">
        <f t="shared" si="23"/>
        <v>15233821665.271999</v>
      </c>
      <c r="BW71" s="55"/>
    </row>
    <row r="72" spans="1:75" s="190" customFormat="1" ht="157.5" customHeight="1" x14ac:dyDescent="0.2">
      <c r="A72" s="206">
        <v>1</v>
      </c>
      <c r="B72" s="215" t="s">
        <v>19</v>
      </c>
      <c r="C72" s="56" t="s">
        <v>334</v>
      </c>
      <c r="D72" s="56" t="s">
        <v>22</v>
      </c>
      <c r="E72" s="81">
        <v>5.52</v>
      </c>
      <c r="F72" s="14">
        <v>2019</v>
      </c>
      <c r="G72" s="56" t="s">
        <v>1341</v>
      </c>
      <c r="H72" s="81">
        <v>6.02</v>
      </c>
      <c r="I72" s="6">
        <v>19</v>
      </c>
      <c r="J72" s="6" t="s">
        <v>1645</v>
      </c>
      <c r="K72" s="15">
        <v>2</v>
      </c>
      <c r="L72" s="6" t="s">
        <v>458</v>
      </c>
      <c r="M72" s="206">
        <v>13</v>
      </c>
      <c r="N72" s="209">
        <v>1906</v>
      </c>
      <c r="O72" s="207" t="s">
        <v>1646</v>
      </c>
      <c r="P72" s="6" t="s">
        <v>1342</v>
      </c>
      <c r="Q72" s="14" t="s">
        <v>77</v>
      </c>
      <c r="R72" s="14">
        <v>1906015</v>
      </c>
      <c r="S72" s="56" t="s">
        <v>1571</v>
      </c>
      <c r="T72" s="6" t="s">
        <v>1343</v>
      </c>
      <c r="U72" s="14" t="s">
        <v>77</v>
      </c>
      <c r="V72" s="14">
        <v>190601500</v>
      </c>
      <c r="W72" s="57" t="s">
        <v>1344</v>
      </c>
      <c r="X72" s="49" t="s">
        <v>9</v>
      </c>
      <c r="Y72" s="6">
        <v>5</v>
      </c>
      <c r="Z72" s="6">
        <v>2</v>
      </c>
      <c r="AA72" s="6">
        <v>1</v>
      </c>
      <c r="AB72" s="6">
        <v>1</v>
      </c>
      <c r="AC72" s="6">
        <v>1</v>
      </c>
      <c r="AD72" s="50">
        <f t="shared" si="19"/>
        <v>15197103048</v>
      </c>
      <c r="AE72" s="52">
        <v>2000000</v>
      </c>
      <c r="AF72" s="52"/>
      <c r="AG72" s="52"/>
      <c r="AH72" s="52"/>
      <c r="AI72" s="52"/>
      <c r="AJ72" s="52"/>
      <c r="AK72" s="52">
        <v>15195103048</v>
      </c>
      <c r="AL72" s="52"/>
      <c r="AM72" s="52"/>
      <c r="AN72" s="52"/>
      <c r="AO72" s="52">
        <f t="shared" si="20"/>
        <v>4388627816</v>
      </c>
      <c r="AP72" s="52">
        <v>38000000</v>
      </c>
      <c r="AQ72" s="52"/>
      <c r="AR72" s="52"/>
      <c r="AS72" s="52"/>
      <c r="AT72" s="52"/>
      <c r="AU72" s="52"/>
      <c r="AV72" s="52">
        <v>4350627816</v>
      </c>
      <c r="AW72" s="52"/>
      <c r="AX72" s="52"/>
      <c r="AY72" s="52"/>
      <c r="AZ72" s="52">
        <f t="shared" si="21"/>
        <v>2371959924</v>
      </c>
      <c r="BA72" s="52">
        <v>38604000</v>
      </c>
      <c r="BB72" s="52"/>
      <c r="BC72" s="52"/>
      <c r="BD72" s="52"/>
      <c r="BE72" s="52"/>
      <c r="BF72" s="52"/>
      <c r="BG72" s="52">
        <v>2333355924</v>
      </c>
      <c r="BH72" s="52"/>
      <c r="BI72" s="52"/>
      <c r="BJ72" s="52"/>
      <c r="BK72" s="52">
        <f t="shared" si="22"/>
        <v>87597000</v>
      </c>
      <c r="BL72" s="52">
        <v>87597000</v>
      </c>
      <c r="BM72" s="52"/>
      <c r="BN72" s="52"/>
      <c r="BO72" s="52"/>
      <c r="BP72" s="52"/>
      <c r="BQ72" s="52"/>
      <c r="BR72" s="52"/>
      <c r="BS72" s="52"/>
      <c r="BT72" s="52"/>
      <c r="BU72" s="53"/>
      <c r="BV72" s="54">
        <f t="shared" si="23"/>
        <v>22045287788</v>
      </c>
      <c r="BW72" s="55"/>
    </row>
    <row r="73" spans="1:75" ht="23.25" customHeight="1" x14ac:dyDescent="0.2">
      <c r="A73" s="206"/>
      <c r="B73" s="215"/>
      <c r="C73" s="56"/>
      <c r="D73" s="17"/>
      <c r="E73" s="16"/>
      <c r="F73" s="6"/>
      <c r="G73" s="17"/>
      <c r="H73" s="16"/>
      <c r="I73" s="6"/>
      <c r="J73" s="6"/>
      <c r="K73" s="15"/>
      <c r="L73" s="6"/>
      <c r="M73" s="58">
        <v>15</v>
      </c>
      <c r="N73" s="58">
        <v>2201</v>
      </c>
      <c r="O73" s="59" t="s">
        <v>23</v>
      </c>
      <c r="P73" s="59"/>
      <c r="Q73" s="60"/>
      <c r="R73" s="60"/>
      <c r="S73" s="60"/>
      <c r="T73" s="60"/>
      <c r="U73" s="60"/>
      <c r="V73" s="60"/>
      <c r="W73" s="43"/>
      <c r="X73" s="44"/>
      <c r="Y73" s="44"/>
      <c r="Z73" s="44"/>
      <c r="AA73" s="44"/>
      <c r="AB73" s="44"/>
      <c r="AC73" s="41"/>
      <c r="AD73" s="61">
        <f>SUM(AD74:AD107)</f>
        <v>191741676013.29831</v>
      </c>
      <c r="AE73" s="61">
        <f t="shared" ref="AE73:BV73" si="24">SUM(AE74:AE107)</f>
        <v>2544575660.2183161</v>
      </c>
      <c r="AF73" s="61">
        <f t="shared" si="24"/>
        <v>5711706318.79</v>
      </c>
      <c r="AG73" s="61">
        <f t="shared" si="24"/>
        <v>158489913515.45999</v>
      </c>
      <c r="AH73" s="61">
        <f t="shared" si="24"/>
        <v>0</v>
      </c>
      <c r="AI73" s="61">
        <f t="shared" si="24"/>
        <v>0</v>
      </c>
      <c r="AJ73" s="61">
        <f t="shared" si="24"/>
        <v>12173030541.870001</v>
      </c>
      <c r="AK73" s="61">
        <f t="shared" si="24"/>
        <v>12633190827</v>
      </c>
      <c r="AL73" s="61">
        <f t="shared" si="24"/>
        <v>0</v>
      </c>
      <c r="AM73" s="61">
        <f t="shared" si="24"/>
        <v>0</v>
      </c>
      <c r="AN73" s="61">
        <f t="shared" si="24"/>
        <v>189259149.96000001</v>
      </c>
      <c r="AO73" s="61">
        <f t="shared" si="24"/>
        <v>187284326742.52414</v>
      </c>
      <c r="AP73" s="61">
        <f t="shared" si="24"/>
        <v>1661980277.4537778</v>
      </c>
      <c r="AQ73" s="61">
        <f t="shared" si="24"/>
        <v>4649570720.1879654</v>
      </c>
      <c r="AR73" s="61">
        <f t="shared" si="24"/>
        <v>168763077602.9024</v>
      </c>
      <c r="AS73" s="61">
        <f t="shared" si="24"/>
        <v>0</v>
      </c>
      <c r="AT73" s="61">
        <f t="shared" si="24"/>
        <v>0</v>
      </c>
      <c r="AU73" s="61">
        <f t="shared" si="24"/>
        <v>12209698141.98</v>
      </c>
      <c r="AV73" s="61">
        <f t="shared" si="24"/>
        <v>0</v>
      </c>
      <c r="AW73" s="61">
        <f t="shared" si="24"/>
        <v>0</v>
      </c>
      <c r="AX73" s="61">
        <f t="shared" si="24"/>
        <v>0</v>
      </c>
      <c r="AY73" s="61">
        <f t="shared" si="24"/>
        <v>0</v>
      </c>
      <c r="AZ73" s="61">
        <f t="shared" si="24"/>
        <v>203608864938.85327</v>
      </c>
      <c r="BA73" s="61">
        <f t="shared" si="24"/>
        <v>2773668414.1865997</v>
      </c>
      <c r="BB73" s="61">
        <f t="shared" si="24"/>
        <v>6070184967.666667</v>
      </c>
      <c r="BC73" s="61">
        <f t="shared" si="24"/>
        <v>182189022471</v>
      </c>
      <c r="BD73" s="61">
        <f t="shared" si="24"/>
        <v>0</v>
      </c>
      <c r="BE73" s="61">
        <f t="shared" si="24"/>
        <v>0</v>
      </c>
      <c r="BF73" s="61">
        <f t="shared" si="24"/>
        <v>12575989086</v>
      </c>
      <c r="BG73" s="61">
        <f t="shared" si="24"/>
        <v>0</v>
      </c>
      <c r="BH73" s="61">
        <f t="shared" si="24"/>
        <v>0</v>
      </c>
      <c r="BI73" s="61">
        <f t="shared" si="24"/>
        <v>0</v>
      </c>
      <c r="BJ73" s="61">
        <f t="shared" si="24"/>
        <v>0</v>
      </c>
      <c r="BK73" s="61">
        <f t="shared" si="24"/>
        <v>219937408735.75204</v>
      </c>
      <c r="BL73" s="61">
        <f t="shared" si="24"/>
        <v>4430970095.7185001</v>
      </c>
      <c r="BM73" s="61">
        <f t="shared" si="24"/>
        <v>5866379992.0335484</v>
      </c>
      <c r="BN73" s="61">
        <f t="shared" si="24"/>
        <v>196686789889</v>
      </c>
      <c r="BO73" s="61">
        <f t="shared" si="24"/>
        <v>0</v>
      </c>
      <c r="BP73" s="61">
        <f t="shared" si="24"/>
        <v>0</v>
      </c>
      <c r="BQ73" s="61">
        <f t="shared" si="24"/>
        <v>12953268759</v>
      </c>
      <c r="BR73" s="61">
        <f t="shared" si="24"/>
        <v>0</v>
      </c>
      <c r="BS73" s="61">
        <f t="shared" si="24"/>
        <v>0</v>
      </c>
      <c r="BT73" s="61">
        <f t="shared" si="24"/>
        <v>0</v>
      </c>
      <c r="BU73" s="62">
        <f t="shared" si="24"/>
        <v>0</v>
      </c>
      <c r="BV73" s="61">
        <f t="shared" si="24"/>
        <v>802572276430.42786</v>
      </c>
      <c r="BW73" s="55"/>
    </row>
    <row r="74" spans="1:75" s="190" customFormat="1" ht="170.25" customHeight="1" x14ac:dyDescent="0.2">
      <c r="A74" s="206">
        <v>1</v>
      </c>
      <c r="B74" s="215" t="s">
        <v>19</v>
      </c>
      <c r="C74" s="17" t="s">
        <v>667</v>
      </c>
      <c r="D74" s="17" t="s">
        <v>158</v>
      </c>
      <c r="E74" s="82" t="s">
        <v>668</v>
      </c>
      <c r="F74" s="6" t="s">
        <v>669</v>
      </c>
      <c r="G74" s="17" t="s">
        <v>670</v>
      </c>
      <c r="H74" s="16" t="s">
        <v>671</v>
      </c>
      <c r="I74" s="6">
        <v>22</v>
      </c>
      <c r="J74" s="6" t="s">
        <v>672</v>
      </c>
      <c r="K74" s="15">
        <v>1</v>
      </c>
      <c r="L74" s="6" t="s">
        <v>672</v>
      </c>
      <c r="M74" s="208">
        <v>15</v>
      </c>
      <c r="N74" s="210">
        <v>2201</v>
      </c>
      <c r="O74" s="207" t="s">
        <v>23</v>
      </c>
      <c r="P74" s="6" t="s">
        <v>673</v>
      </c>
      <c r="Q74" s="84">
        <v>2201001</v>
      </c>
      <c r="R74" s="84">
        <v>2201001</v>
      </c>
      <c r="S74" s="17" t="s">
        <v>105</v>
      </c>
      <c r="T74" s="6" t="s">
        <v>674</v>
      </c>
      <c r="U74" s="84">
        <v>220100100</v>
      </c>
      <c r="V74" s="84">
        <v>220100100</v>
      </c>
      <c r="W74" s="48" t="s">
        <v>675</v>
      </c>
      <c r="X74" s="49" t="s">
        <v>8</v>
      </c>
      <c r="Y74" s="6">
        <v>5</v>
      </c>
      <c r="Z74" s="6" t="s">
        <v>1570</v>
      </c>
      <c r="AA74" s="6">
        <v>5</v>
      </c>
      <c r="AB74" s="6">
        <v>5</v>
      </c>
      <c r="AC74" s="6">
        <v>5</v>
      </c>
      <c r="AD74" s="50">
        <f t="shared" ref="AD74:AD107" si="25">AE74+AF74+AG74+AH74+AI74+AJ74+AK74+AL74+AM74+AN74</f>
        <v>0</v>
      </c>
      <c r="AE74" s="52"/>
      <c r="AF74" s="52"/>
      <c r="AG74" s="52"/>
      <c r="AH74" s="52"/>
      <c r="AI74" s="52"/>
      <c r="AJ74" s="52"/>
      <c r="AK74" s="52"/>
      <c r="AL74" s="52"/>
      <c r="AM74" s="52"/>
      <c r="AN74" s="52"/>
      <c r="AO74" s="52">
        <f t="shared" ref="AO74:AO107" si="26">AP74+AQ74+AR74+AS74+AT74+AU74+AV74+AW74+AX74+AY74</f>
        <v>949640</v>
      </c>
      <c r="AP74" s="52">
        <v>949640</v>
      </c>
      <c r="AQ74" s="52"/>
      <c r="AR74" s="52"/>
      <c r="AS74" s="52"/>
      <c r="AT74" s="52"/>
      <c r="AU74" s="52"/>
      <c r="AV74" s="52"/>
      <c r="AW74" s="52"/>
      <c r="AX74" s="52"/>
      <c r="AY74" s="52"/>
      <c r="AZ74" s="52">
        <f t="shared" ref="AZ74:AZ107" si="27">BA74+BB74+BC74+BD74+BE74+BF74+BG74+BH74+BI74+BJ74</f>
        <v>1930200</v>
      </c>
      <c r="BA74" s="52">
        <v>1930200</v>
      </c>
      <c r="BB74" s="52"/>
      <c r="BC74" s="52"/>
      <c r="BD74" s="52"/>
      <c r="BE74" s="52"/>
      <c r="BF74" s="52"/>
      <c r="BG74" s="52"/>
      <c r="BH74" s="52"/>
      <c r="BI74" s="52"/>
      <c r="BJ74" s="52"/>
      <c r="BK74" s="52">
        <f t="shared" ref="BK74:BK107" si="28">BL74+BM74+BN74+BO74+BP74+BQ74+BR74+BS74+BT74+BU74</f>
        <v>1946600</v>
      </c>
      <c r="BL74" s="52">
        <v>1946600</v>
      </c>
      <c r="BM74" s="52"/>
      <c r="BN74" s="52"/>
      <c r="BO74" s="52"/>
      <c r="BP74" s="52"/>
      <c r="BQ74" s="52"/>
      <c r="BR74" s="52"/>
      <c r="BS74" s="52"/>
      <c r="BT74" s="52"/>
      <c r="BU74" s="53"/>
      <c r="BV74" s="54">
        <f t="shared" ref="BV74:BV107" si="29">AD74+AO74+AZ74+BK74</f>
        <v>4826440</v>
      </c>
      <c r="BW74" s="55"/>
    </row>
    <row r="75" spans="1:75" s="190" customFormat="1" ht="176.25" customHeight="1" x14ac:dyDescent="0.2">
      <c r="A75" s="206">
        <v>1</v>
      </c>
      <c r="B75" s="215" t="s">
        <v>19</v>
      </c>
      <c r="C75" s="17" t="s">
        <v>667</v>
      </c>
      <c r="D75" s="17" t="s">
        <v>158</v>
      </c>
      <c r="E75" s="82" t="s">
        <v>668</v>
      </c>
      <c r="F75" s="6" t="s">
        <v>669</v>
      </c>
      <c r="G75" s="17" t="s">
        <v>670</v>
      </c>
      <c r="H75" s="16" t="s">
        <v>671</v>
      </c>
      <c r="I75" s="6">
        <v>22</v>
      </c>
      <c r="J75" s="6" t="s">
        <v>672</v>
      </c>
      <c r="K75" s="15">
        <v>1</v>
      </c>
      <c r="L75" s="6" t="s">
        <v>672</v>
      </c>
      <c r="M75" s="208">
        <v>15</v>
      </c>
      <c r="N75" s="210">
        <v>2201</v>
      </c>
      <c r="O75" s="207" t="s">
        <v>23</v>
      </c>
      <c r="P75" s="6" t="s">
        <v>676</v>
      </c>
      <c r="Q75" s="84">
        <v>2201006</v>
      </c>
      <c r="R75" s="84">
        <v>2201006</v>
      </c>
      <c r="S75" s="17" t="s">
        <v>159</v>
      </c>
      <c r="T75" s="6" t="s">
        <v>677</v>
      </c>
      <c r="U75" s="84">
        <v>220100600</v>
      </c>
      <c r="V75" s="84">
        <v>220100600</v>
      </c>
      <c r="W75" s="48" t="s">
        <v>678</v>
      </c>
      <c r="X75" s="49" t="s">
        <v>8</v>
      </c>
      <c r="Y75" s="6">
        <v>54</v>
      </c>
      <c r="Z75" s="6">
        <v>54</v>
      </c>
      <c r="AA75" s="6">
        <v>54</v>
      </c>
      <c r="AB75" s="6">
        <v>54</v>
      </c>
      <c r="AC75" s="6">
        <v>54</v>
      </c>
      <c r="AD75" s="50">
        <f t="shared" si="25"/>
        <v>81600000</v>
      </c>
      <c r="AE75" s="52">
        <v>81600000</v>
      </c>
      <c r="AF75" s="52"/>
      <c r="AG75" s="52"/>
      <c r="AH75" s="52"/>
      <c r="AI75" s="52"/>
      <c r="AJ75" s="52"/>
      <c r="AK75" s="52"/>
      <c r="AL75" s="52"/>
      <c r="AM75" s="52"/>
      <c r="AN75" s="52"/>
      <c r="AO75" s="52">
        <f t="shared" si="26"/>
        <v>4748200</v>
      </c>
      <c r="AP75" s="52">
        <v>4748200</v>
      </c>
      <c r="AQ75" s="52"/>
      <c r="AR75" s="52"/>
      <c r="AS75" s="52"/>
      <c r="AT75" s="52"/>
      <c r="AU75" s="52"/>
      <c r="AV75" s="52"/>
      <c r="AW75" s="52"/>
      <c r="AX75" s="52"/>
      <c r="AY75" s="52"/>
      <c r="AZ75" s="52">
        <f t="shared" si="27"/>
        <v>28953000</v>
      </c>
      <c r="BA75" s="52">
        <v>28953000</v>
      </c>
      <c r="BB75" s="52"/>
      <c r="BC75" s="52"/>
      <c r="BD75" s="52"/>
      <c r="BE75" s="52"/>
      <c r="BF75" s="52"/>
      <c r="BG75" s="52"/>
      <c r="BH75" s="52"/>
      <c r="BI75" s="52"/>
      <c r="BJ75" s="52"/>
      <c r="BK75" s="52">
        <f t="shared" si="28"/>
        <v>29199000</v>
      </c>
      <c r="BL75" s="52">
        <v>29199000</v>
      </c>
      <c r="BM75" s="52"/>
      <c r="BN75" s="52"/>
      <c r="BO75" s="52"/>
      <c r="BP75" s="52"/>
      <c r="BQ75" s="52"/>
      <c r="BR75" s="52"/>
      <c r="BS75" s="52"/>
      <c r="BT75" s="52"/>
      <c r="BU75" s="53"/>
      <c r="BV75" s="54">
        <f t="shared" si="29"/>
        <v>144500200</v>
      </c>
      <c r="BW75" s="55"/>
    </row>
    <row r="76" spans="1:75" s="190" customFormat="1" ht="102.75" customHeight="1" x14ac:dyDescent="0.2">
      <c r="A76" s="206">
        <v>1</v>
      </c>
      <c r="B76" s="215" t="s">
        <v>19</v>
      </c>
      <c r="C76" s="17" t="s">
        <v>667</v>
      </c>
      <c r="D76" s="17" t="s">
        <v>679</v>
      </c>
      <c r="E76" s="82" t="s">
        <v>680</v>
      </c>
      <c r="F76" s="6" t="s">
        <v>681</v>
      </c>
      <c r="G76" s="17" t="s">
        <v>682</v>
      </c>
      <c r="H76" s="16" t="s">
        <v>683</v>
      </c>
      <c r="I76" s="6">
        <v>22</v>
      </c>
      <c r="J76" s="6" t="s">
        <v>672</v>
      </c>
      <c r="K76" s="15">
        <v>1</v>
      </c>
      <c r="L76" s="6" t="s">
        <v>672</v>
      </c>
      <c r="M76" s="208">
        <v>15</v>
      </c>
      <c r="N76" s="210">
        <v>2201</v>
      </c>
      <c r="O76" s="207" t="s">
        <v>23</v>
      </c>
      <c r="P76" s="6" t="s">
        <v>684</v>
      </c>
      <c r="Q76" s="84">
        <v>2201007</v>
      </c>
      <c r="R76" s="84">
        <v>2201073</v>
      </c>
      <c r="S76" s="17" t="s">
        <v>685</v>
      </c>
      <c r="T76" s="6" t="s">
        <v>686</v>
      </c>
      <c r="U76" s="84">
        <v>220100700</v>
      </c>
      <c r="V76" s="84">
        <v>220107300</v>
      </c>
      <c r="W76" s="48" t="s">
        <v>687</v>
      </c>
      <c r="X76" s="49" t="s">
        <v>9</v>
      </c>
      <c r="Y76" s="6">
        <v>23662</v>
      </c>
      <c r="Z76" s="6">
        <v>0</v>
      </c>
      <c r="AA76" s="6">
        <v>7774</v>
      </c>
      <c r="AB76" s="6">
        <v>7915</v>
      </c>
      <c r="AC76" s="6">
        <v>7973</v>
      </c>
      <c r="AD76" s="50">
        <f t="shared" si="25"/>
        <v>0</v>
      </c>
      <c r="AE76" s="52"/>
      <c r="AF76" s="52"/>
      <c r="AG76" s="52"/>
      <c r="AH76" s="52"/>
      <c r="AI76" s="52"/>
      <c r="AJ76" s="52"/>
      <c r="AK76" s="52"/>
      <c r="AL76" s="52"/>
      <c r="AM76" s="52"/>
      <c r="AN76" s="52"/>
      <c r="AO76" s="52">
        <f t="shared" si="26"/>
        <v>20075837</v>
      </c>
      <c r="AP76" s="52"/>
      <c r="AQ76" s="52"/>
      <c r="AR76" s="52">
        <v>20075837</v>
      </c>
      <c r="AS76" s="52"/>
      <c r="AT76" s="52"/>
      <c r="AU76" s="52"/>
      <c r="AV76" s="52"/>
      <c r="AW76" s="52"/>
      <c r="AX76" s="52"/>
      <c r="AY76" s="52"/>
      <c r="AZ76" s="52">
        <f t="shared" si="27"/>
        <v>39377837</v>
      </c>
      <c r="BA76" s="52">
        <v>19302000</v>
      </c>
      <c r="BB76" s="52"/>
      <c r="BC76" s="52">
        <v>20075837</v>
      </c>
      <c r="BD76" s="52"/>
      <c r="BE76" s="52"/>
      <c r="BF76" s="52"/>
      <c r="BG76" s="52"/>
      <c r="BH76" s="52"/>
      <c r="BI76" s="52"/>
      <c r="BJ76" s="52"/>
      <c r="BK76" s="52">
        <f t="shared" si="28"/>
        <v>39541837</v>
      </c>
      <c r="BL76" s="52">
        <v>19466000</v>
      </c>
      <c r="BM76" s="52"/>
      <c r="BN76" s="52">
        <v>20075837</v>
      </c>
      <c r="BO76" s="52"/>
      <c r="BP76" s="52"/>
      <c r="BQ76" s="52"/>
      <c r="BR76" s="52"/>
      <c r="BS76" s="52"/>
      <c r="BT76" s="52"/>
      <c r="BU76" s="53"/>
      <c r="BV76" s="54">
        <f t="shared" si="29"/>
        <v>98995511</v>
      </c>
      <c r="BW76" s="55"/>
    </row>
    <row r="77" spans="1:75" s="190" customFormat="1" ht="204.75" customHeight="1" x14ac:dyDescent="0.2">
      <c r="A77" s="206">
        <v>1</v>
      </c>
      <c r="B77" s="215" t="s">
        <v>19</v>
      </c>
      <c r="C77" s="17" t="s">
        <v>667</v>
      </c>
      <c r="D77" s="17" t="s">
        <v>679</v>
      </c>
      <c r="E77" s="82" t="s">
        <v>680</v>
      </c>
      <c r="F77" s="6" t="s">
        <v>681</v>
      </c>
      <c r="G77" s="17" t="s">
        <v>682</v>
      </c>
      <c r="H77" s="16" t="s">
        <v>683</v>
      </c>
      <c r="I77" s="6">
        <v>22</v>
      </c>
      <c r="J77" s="6" t="s">
        <v>672</v>
      </c>
      <c r="K77" s="15">
        <v>1</v>
      </c>
      <c r="L77" s="6" t="s">
        <v>672</v>
      </c>
      <c r="M77" s="208">
        <v>15</v>
      </c>
      <c r="N77" s="210">
        <v>2201</v>
      </c>
      <c r="O77" s="207" t="s">
        <v>23</v>
      </c>
      <c r="P77" s="6" t="s">
        <v>688</v>
      </c>
      <c r="Q77" s="84">
        <v>2201009</v>
      </c>
      <c r="R77" s="84">
        <v>2201074</v>
      </c>
      <c r="S77" s="17" t="s">
        <v>689</v>
      </c>
      <c r="T77" s="6" t="s">
        <v>690</v>
      </c>
      <c r="U77" s="84">
        <v>220100900</v>
      </c>
      <c r="V77" s="84">
        <v>220107400</v>
      </c>
      <c r="W77" s="48" t="s">
        <v>691</v>
      </c>
      <c r="X77" s="49" t="s">
        <v>9</v>
      </c>
      <c r="Y77" s="6">
        <v>1814</v>
      </c>
      <c r="Z77" s="6">
        <v>0</v>
      </c>
      <c r="AA77" s="6">
        <v>606</v>
      </c>
      <c r="AB77" s="6">
        <v>604</v>
      </c>
      <c r="AC77" s="6">
        <v>604</v>
      </c>
      <c r="AD77" s="50">
        <f t="shared" si="25"/>
        <v>0</v>
      </c>
      <c r="AE77" s="52"/>
      <c r="AF77" s="52"/>
      <c r="AG77" s="52"/>
      <c r="AH77" s="52"/>
      <c r="AI77" s="52"/>
      <c r="AJ77" s="52"/>
      <c r="AK77" s="52"/>
      <c r="AL77" s="52"/>
      <c r="AM77" s="52"/>
      <c r="AN77" s="52"/>
      <c r="AO77" s="52">
        <f t="shared" si="26"/>
        <v>10000000</v>
      </c>
      <c r="AP77" s="52"/>
      <c r="AQ77" s="52"/>
      <c r="AR77" s="52">
        <v>10000000</v>
      </c>
      <c r="AS77" s="52"/>
      <c r="AT77" s="52"/>
      <c r="AU77" s="52"/>
      <c r="AV77" s="52"/>
      <c r="AW77" s="52"/>
      <c r="AX77" s="52"/>
      <c r="AY77" s="52"/>
      <c r="AZ77" s="52">
        <f t="shared" si="27"/>
        <v>29302000</v>
      </c>
      <c r="BA77" s="52">
        <v>19302000</v>
      </c>
      <c r="BB77" s="52"/>
      <c r="BC77" s="52">
        <v>10000000</v>
      </c>
      <c r="BD77" s="52"/>
      <c r="BE77" s="52"/>
      <c r="BF77" s="52"/>
      <c r="BG77" s="52"/>
      <c r="BH77" s="52"/>
      <c r="BI77" s="52"/>
      <c r="BJ77" s="52"/>
      <c r="BK77" s="52">
        <f t="shared" si="28"/>
        <v>29466000</v>
      </c>
      <c r="BL77" s="52">
        <v>19466000</v>
      </c>
      <c r="BM77" s="52"/>
      <c r="BN77" s="52">
        <v>10000000</v>
      </c>
      <c r="BO77" s="52"/>
      <c r="BP77" s="52"/>
      <c r="BQ77" s="52"/>
      <c r="BR77" s="52"/>
      <c r="BS77" s="52"/>
      <c r="BT77" s="52"/>
      <c r="BU77" s="53"/>
      <c r="BV77" s="54">
        <f t="shared" si="29"/>
        <v>68768000</v>
      </c>
      <c r="BW77" s="55"/>
    </row>
    <row r="78" spans="1:75" s="190" customFormat="1" ht="173.25" customHeight="1" x14ac:dyDescent="0.2">
      <c r="A78" s="206">
        <v>1</v>
      </c>
      <c r="B78" s="215" t="s">
        <v>19</v>
      </c>
      <c r="C78" s="17" t="s">
        <v>667</v>
      </c>
      <c r="D78" s="17" t="s">
        <v>679</v>
      </c>
      <c r="E78" s="82" t="s">
        <v>680</v>
      </c>
      <c r="F78" s="6" t="s">
        <v>681</v>
      </c>
      <c r="G78" s="17" t="s">
        <v>682</v>
      </c>
      <c r="H78" s="16" t="s">
        <v>683</v>
      </c>
      <c r="I78" s="6">
        <v>22</v>
      </c>
      <c r="J78" s="6" t="s">
        <v>672</v>
      </c>
      <c r="K78" s="15">
        <v>1</v>
      </c>
      <c r="L78" s="6" t="s">
        <v>672</v>
      </c>
      <c r="M78" s="208">
        <v>15</v>
      </c>
      <c r="N78" s="210">
        <v>2201</v>
      </c>
      <c r="O78" s="207" t="s">
        <v>23</v>
      </c>
      <c r="P78" s="6" t="s">
        <v>692</v>
      </c>
      <c r="Q78" s="84">
        <v>2201010</v>
      </c>
      <c r="R78" s="84">
        <v>2201074</v>
      </c>
      <c r="S78" s="17" t="s">
        <v>1650</v>
      </c>
      <c r="T78" s="6" t="s">
        <v>693</v>
      </c>
      <c r="U78" s="84">
        <v>220101000</v>
      </c>
      <c r="V78" s="84">
        <v>220107400</v>
      </c>
      <c r="W78" s="48" t="s">
        <v>1662</v>
      </c>
      <c r="X78" s="49" t="s">
        <v>8</v>
      </c>
      <c r="Y78" s="6">
        <v>94</v>
      </c>
      <c r="Z78" s="6">
        <v>0</v>
      </c>
      <c r="AA78" s="6">
        <v>94</v>
      </c>
      <c r="AB78" s="6">
        <v>94</v>
      </c>
      <c r="AC78" s="6">
        <v>94</v>
      </c>
      <c r="AD78" s="50">
        <f t="shared" si="25"/>
        <v>0</v>
      </c>
      <c r="AE78" s="52"/>
      <c r="AF78" s="52"/>
      <c r="AG78" s="52"/>
      <c r="AH78" s="52"/>
      <c r="AI78" s="52"/>
      <c r="AJ78" s="52"/>
      <c r="AK78" s="52"/>
      <c r="AL78" s="52"/>
      <c r="AM78" s="52"/>
      <c r="AN78" s="52"/>
      <c r="AO78" s="52">
        <f t="shared" si="26"/>
        <v>5000000</v>
      </c>
      <c r="AP78" s="52"/>
      <c r="AQ78" s="52"/>
      <c r="AR78" s="52">
        <v>5000000</v>
      </c>
      <c r="AS78" s="52"/>
      <c r="AT78" s="52"/>
      <c r="AU78" s="52"/>
      <c r="AV78" s="52"/>
      <c r="AW78" s="52"/>
      <c r="AX78" s="52"/>
      <c r="AY78" s="52"/>
      <c r="AZ78" s="52">
        <f t="shared" si="27"/>
        <v>27304276</v>
      </c>
      <c r="BA78" s="52">
        <v>19302000</v>
      </c>
      <c r="BB78" s="52"/>
      <c r="BC78" s="52">
        <v>8002276</v>
      </c>
      <c r="BD78" s="52"/>
      <c r="BE78" s="52"/>
      <c r="BF78" s="52"/>
      <c r="BG78" s="52"/>
      <c r="BH78" s="52"/>
      <c r="BI78" s="52"/>
      <c r="BJ78" s="52"/>
      <c r="BK78" s="52">
        <f t="shared" si="28"/>
        <v>27468276</v>
      </c>
      <c r="BL78" s="52">
        <v>19466000</v>
      </c>
      <c r="BM78" s="52"/>
      <c r="BN78" s="52">
        <v>8002276</v>
      </c>
      <c r="BO78" s="52"/>
      <c r="BP78" s="52"/>
      <c r="BQ78" s="52"/>
      <c r="BR78" s="52"/>
      <c r="BS78" s="52"/>
      <c r="BT78" s="52"/>
      <c r="BU78" s="53"/>
      <c r="BV78" s="54">
        <f t="shared" si="29"/>
        <v>59772552</v>
      </c>
      <c r="BW78" s="55"/>
    </row>
    <row r="79" spans="1:75" s="190" customFormat="1" ht="204.75" customHeight="1" x14ac:dyDescent="0.2">
      <c r="A79" s="206">
        <v>1</v>
      </c>
      <c r="B79" s="215" t="s">
        <v>19</v>
      </c>
      <c r="C79" s="17" t="s">
        <v>667</v>
      </c>
      <c r="D79" s="17" t="s">
        <v>158</v>
      </c>
      <c r="E79" s="82" t="s">
        <v>668</v>
      </c>
      <c r="F79" s="6" t="s">
        <v>669</v>
      </c>
      <c r="G79" s="17" t="s">
        <v>670</v>
      </c>
      <c r="H79" s="16" t="s">
        <v>671</v>
      </c>
      <c r="I79" s="6">
        <v>22</v>
      </c>
      <c r="J79" s="6" t="s">
        <v>672</v>
      </c>
      <c r="K79" s="15">
        <v>1</v>
      </c>
      <c r="L79" s="6" t="s">
        <v>672</v>
      </c>
      <c r="M79" s="208">
        <v>15</v>
      </c>
      <c r="N79" s="210">
        <v>2201</v>
      </c>
      <c r="O79" s="207" t="s">
        <v>23</v>
      </c>
      <c r="P79" s="6" t="s">
        <v>694</v>
      </c>
      <c r="Q79" s="84">
        <v>2201015</v>
      </c>
      <c r="R79" s="84">
        <v>2201015</v>
      </c>
      <c r="S79" s="17" t="s">
        <v>169</v>
      </c>
      <c r="T79" s="6" t="s">
        <v>695</v>
      </c>
      <c r="U79" s="84">
        <v>220101500</v>
      </c>
      <c r="V79" s="84">
        <v>220101500</v>
      </c>
      <c r="W79" s="85" t="s">
        <v>696</v>
      </c>
      <c r="X79" s="49" t="s">
        <v>8</v>
      </c>
      <c r="Y79" s="6">
        <v>11</v>
      </c>
      <c r="Z79" s="6">
        <v>11</v>
      </c>
      <c r="AA79" s="6">
        <v>11</v>
      </c>
      <c r="AB79" s="6">
        <v>11</v>
      </c>
      <c r="AC79" s="6">
        <v>11</v>
      </c>
      <c r="AD79" s="50">
        <f t="shared" si="25"/>
        <v>10000000</v>
      </c>
      <c r="AE79" s="52">
        <v>10000000</v>
      </c>
      <c r="AF79" s="52"/>
      <c r="AG79" s="52"/>
      <c r="AH79" s="52"/>
      <c r="AI79" s="52"/>
      <c r="AJ79" s="52"/>
      <c r="AK79" s="52"/>
      <c r="AL79" s="52"/>
      <c r="AM79" s="52"/>
      <c r="AN79" s="52"/>
      <c r="AO79" s="52">
        <f t="shared" si="26"/>
        <v>11395680</v>
      </c>
      <c r="AP79" s="52">
        <v>11395680</v>
      </c>
      <c r="AQ79" s="52"/>
      <c r="AR79" s="52"/>
      <c r="AS79" s="52"/>
      <c r="AT79" s="52"/>
      <c r="AU79" s="52"/>
      <c r="AV79" s="52"/>
      <c r="AW79" s="52"/>
      <c r="AX79" s="52"/>
      <c r="AY79" s="52"/>
      <c r="AZ79" s="52">
        <f t="shared" si="27"/>
        <v>14476500</v>
      </c>
      <c r="BA79" s="52">
        <v>14476500</v>
      </c>
      <c r="BB79" s="52"/>
      <c r="BC79" s="52"/>
      <c r="BD79" s="52"/>
      <c r="BE79" s="52"/>
      <c r="BF79" s="52"/>
      <c r="BG79" s="52"/>
      <c r="BH79" s="52"/>
      <c r="BI79" s="52"/>
      <c r="BJ79" s="52"/>
      <c r="BK79" s="52">
        <f t="shared" si="28"/>
        <v>14599500</v>
      </c>
      <c r="BL79" s="52">
        <v>14599500</v>
      </c>
      <c r="BM79" s="52"/>
      <c r="BN79" s="52"/>
      <c r="BO79" s="52"/>
      <c r="BP79" s="52"/>
      <c r="BQ79" s="52"/>
      <c r="BR79" s="52"/>
      <c r="BS79" s="52"/>
      <c r="BT79" s="52"/>
      <c r="BU79" s="53"/>
      <c r="BV79" s="54">
        <f t="shared" si="29"/>
        <v>50471680</v>
      </c>
      <c r="BW79" s="55"/>
    </row>
    <row r="80" spans="1:75" s="190" customFormat="1" ht="267.75" customHeight="1" x14ac:dyDescent="0.2">
      <c r="A80" s="206">
        <v>1</v>
      </c>
      <c r="B80" s="215" t="s">
        <v>19</v>
      </c>
      <c r="C80" s="17" t="s">
        <v>667</v>
      </c>
      <c r="D80" s="17" t="s">
        <v>697</v>
      </c>
      <c r="E80" s="16" t="s">
        <v>698</v>
      </c>
      <c r="F80" s="83" t="s">
        <v>698</v>
      </c>
      <c r="G80" s="17" t="s">
        <v>699</v>
      </c>
      <c r="H80" s="86">
        <v>0.5</v>
      </c>
      <c r="I80" s="6">
        <v>22</v>
      </c>
      <c r="J80" s="6" t="s">
        <v>672</v>
      </c>
      <c r="K80" s="15">
        <v>1</v>
      </c>
      <c r="L80" s="6" t="s">
        <v>672</v>
      </c>
      <c r="M80" s="208">
        <v>15</v>
      </c>
      <c r="N80" s="210">
        <v>2201</v>
      </c>
      <c r="O80" s="207" t="s">
        <v>23</v>
      </c>
      <c r="P80" s="6" t="s">
        <v>700</v>
      </c>
      <c r="Q80" s="84">
        <v>2201018</v>
      </c>
      <c r="R80" s="84">
        <v>2201018</v>
      </c>
      <c r="S80" s="17" t="s">
        <v>701</v>
      </c>
      <c r="T80" s="6" t="s">
        <v>702</v>
      </c>
      <c r="U80" s="84">
        <v>220101802</v>
      </c>
      <c r="V80" s="84">
        <v>220101802</v>
      </c>
      <c r="W80" s="48" t="s">
        <v>703</v>
      </c>
      <c r="X80" s="49" t="s">
        <v>8</v>
      </c>
      <c r="Y80" s="6">
        <v>1</v>
      </c>
      <c r="Z80" s="6"/>
      <c r="AA80" s="6">
        <v>1</v>
      </c>
      <c r="AB80" s="6">
        <v>1</v>
      </c>
      <c r="AC80" s="6">
        <v>1</v>
      </c>
      <c r="AD80" s="50">
        <f t="shared" si="25"/>
        <v>0</v>
      </c>
      <c r="AE80" s="52"/>
      <c r="AF80" s="52"/>
      <c r="AG80" s="52"/>
      <c r="AH80" s="52"/>
      <c r="AI80" s="52"/>
      <c r="AJ80" s="52"/>
      <c r="AK80" s="52"/>
      <c r="AL80" s="52"/>
      <c r="AM80" s="52"/>
      <c r="AN80" s="52"/>
      <c r="AO80" s="52">
        <f t="shared" si="26"/>
        <v>500000</v>
      </c>
      <c r="AP80" s="52"/>
      <c r="AQ80" s="52"/>
      <c r="AR80" s="52">
        <v>500000</v>
      </c>
      <c r="AS80" s="52"/>
      <c r="AT80" s="52"/>
      <c r="AU80" s="52"/>
      <c r="AV80" s="52"/>
      <c r="AW80" s="52"/>
      <c r="AX80" s="52"/>
      <c r="AY80" s="52"/>
      <c r="AZ80" s="52">
        <f t="shared" si="27"/>
        <v>500000</v>
      </c>
      <c r="BA80" s="52"/>
      <c r="BB80" s="52"/>
      <c r="BC80" s="52">
        <v>500000</v>
      </c>
      <c r="BD80" s="52"/>
      <c r="BE80" s="52"/>
      <c r="BF80" s="52"/>
      <c r="BG80" s="52"/>
      <c r="BH80" s="52"/>
      <c r="BI80" s="52"/>
      <c r="BJ80" s="52"/>
      <c r="BK80" s="52">
        <f t="shared" si="28"/>
        <v>500000</v>
      </c>
      <c r="BL80" s="52"/>
      <c r="BM80" s="52"/>
      <c r="BN80" s="52">
        <v>500000</v>
      </c>
      <c r="BO80" s="52"/>
      <c r="BP80" s="52"/>
      <c r="BQ80" s="52"/>
      <c r="BR80" s="52"/>
      <c r="BS80" s="52"/>
      <c r="BT80" s="52"/>
      <c r="BU80" s="53"/>
      <c r="BV80" s="54">
        <f t="shared" si="29"/>
        <v>1500000</v>
      </c>
      <c r="BW80" s="55"/>
    </row>
    <row r="81" spans="1:75" s="190" customFormat="1" ht="126" customHeight="1" x14ac:dyDescent="0.2">
      <c r="A81" s="206">
        <v>1</v>
      </c>
      <c r="B81" s="215" t="s">
        <v>19</v>
      </c>
      <c r="C81" s="17" t="s">
        <v>667</v>
      </c>
      <c r="D81" s="17" t="s">
        <v>162</v>
      </c>
      <c r="E81" s="16" t="s">
        <v>704</v>
      </c>
      <c r="F81" s="6" t="s">
        <v>571</v>
      </c>
      <c r="G81" s="17" t="s">
        <v>705</v>
      </c>
      <c r="H81" s="16" t="s">
        <v>706</v>
      </c>
      <c r="I81" s="6">
        <v>22</v>
      </c>
      <c r="J81" s="6" t="s">
        <v>672</v>
      </c>
      <c r="K81" s="15">
        <v>1</v>
      </c>
      <c r="L81" s="6" t="s">
        <v>672</v>
      </c>
      <c r="M81" s="208">
        <v>15</v>
      </c>
      <c r="N81" s="210">
        <v>2201</v>
      </c>
      <c r="O81" s="207" t="s">
        <v>23</v>
      </c>
      <c r="P81" s="6" t="s">
        <v>707</v>
      </c>
      <c r="Q81" s="84">
        <v>2201026</v>
      </c>
      <c r="R81" s="84">
        <v>2201026</v>
      </c>
      <c r="S81" s="17" t="s">
        <v>163</v>
      </c>
      <c r="T81" s="6" t="s">
        <v>708</v>
      </c>
      <c r="U81" s="84">
        <v>220102600</v>
      </c>
      <c r="V81" s="84">
        <v>220102600</v>
      </c>
      <c r="W81" s="48" t="s">
        <v>709</v>
      </c>
      <c r="X81" s="49" t="s">
        <v>9</v>
      </c>
      <c r="Y81" s="6">
        <v>54</v>
      </c>
      <c r="Z81" s="6">
        <v>5</v>
      </c>
      <c r="AA81" s="6">
        <v>17</v>
      </c>
      <c r="AB81" s="6">
        <v>22</v>
      </c>
      <c r="AC81" s="6">
        <v>10</v>
      </c>
      <c r="AD81" s="50">
        <f t="shared" si="25"/>
        <v>307617446.78999996</v>
      </c>
      <c r="AE81" s="52">
        <v>90161500</v>
      </c>
      <c r="AF81" s="52">
        <v>174455946.78999999</v>
      </c>
      <c r="AG81" s="52">
        <v>43000000</v>
      </c>
      <c r="AH81" s="52"/>
      <c r="AI81" s="52"/>
      <c r="AJ81" s="52"/>
      <c r="AK81" s="52"/>
      <c r="AL81" s="52"/>
      <c r="AM81" s="52"/>
      <c r="AN81" s="52"/>
      <c r="AO81" s="52">
        <f t="shared" si="26"/>
        <v>10000000</v>
      </c>
      <c r="AP81" s="52"/>
      <c r="AQ81" s="52"/>
      <c r="AR81" s="52">
        <v>10000000</v>
      </c>
      <c r="AS81" s="52"/>
      <c r="AT81" s="52"/>
      <c r="AU81" s="52"/>
      <c r="AV81" s="52"/>
      <c r="AW81" s="52"/>
      <c r="AX81" s="52"/>
      <c r="AY81" s="52"/>
      <c r="AZ81" s="52">
        <f t="shared" si="27"/>
        <v>135463000</v>
      </c>
      <c r="BA81" s="52">
        <v>125463000</v>
      </c>
      <c r="BB81" s="52"/>
      <c r="BC81" s="52">
        <v>10000000</v>
      </c>
      <c r="BD81" s="52"/>
      <c r="BE81" s="52"/>
      <c r="BF81" s="52"/>
      <c r="BG81" s="52"/>
      <c r="BH81" s="52"/>
      <c r="BI81" s="52"/>
      <c r="BJ81" s="52"/>
      <c r="BK81" s="52">
        <f t="shared" si="28"/>
        <v>139621343</v>
      </c>
      <c r="BL81" s="52">
        <v>126529000</v>
      </c>
      <c r="BM81" s="52"/>
      <c r="BN81" s="52">
        <v>13092343</v>
      </c>
      <c r="BO81" s="52"/>
      <c r="BP81" s="52"/>
      <c r="BQ81" s="52"/>
      <c r="BR81" s="52"/>
      <c r="BS81" s="52"/>
      <c r="BT81" s="52"/>
      <c r="BU81" s="53"/>
      <c r="BV81" s="54">
        <f t="shared" si="29"/>
        <v>592701789.78999996</v>
      </c>
      <c r="BW81" s="55"/>
    </row>
    <row r="82" spans="1:75" s="190" customFormat="1" ht="157.5" customHeight="1" x14ac:dyDescent="0.2">
      <c r="A82" s="206">
        <v>1</v>
      </c>
      <c r="B82" s="215" t="s">
        <v>19</v>
      </c>
      <c r="C82" s="17" t="s">
        <v>667</v>
      </c>
      <c r="D82" s="17" t="s">
        <v>149</v>
      </c>
      <c r="E82" s="82" t="s">
        <v>710</v>
      </c>
      <c r="F82" s="6" t="s">
        <v>711</v>
      </c>
      <c r="G82" s="17" t="s">
        <v>712</v>
      </c>
      <c r="H82" s="16" t="s">
        <v>713</v>
      </c>
      <c r="I82" s="6">
        <v>22</v>
      </c>
      <c r="J82" s="6" t="s">
        <v>672</v>
      </c>
      <c r="K82" s="15">
        <v>1</v>
      </c>
      <c r="L82" s="6" t="s">
        <v>672</v>
      </c>
      <c r="M82" s="208">
        <v>15</v>
      </c>
      <c r="N82" s="210">
        <v>2201</v>
      </c>
      <c r="O82" s="207" t="s">
        <v>23</v>
      </c>
      <c r="P82" s="6" t="s">
        <v>714</v>
      </c>
      <c r="Q82" s="84">
        <v>2201028</v>
      </c>
      <c r="R82" s="84">
        <v>2201028</v>
      </c>
      <c r="S82" s="17" t="s">
        <v>150</v>
      </c>
      <c r="T82" s="6" t="s">
        <v>715</v>
      </c>
      <c r="U82" s="84">
        <v>220102801</v>
      </c>
      <c r="V82" s="84">
        <v>220102801</v>
      </c>
      <c r="W82" s="48" t="s">
        <v>716</v>
      </c>
      <c r="X82" s="49" t="s">
        <v>8</v>
      </c>
      <c r="Y82" s="6">
        <v>36000</v>
      </c>
      <c r="Z82" s="6">
        <v>36000</v>
      </c>
      <c r="AA82" s="6">
        <v>36000</v>
      </c>
      <c r="AB82" s="6">
        <v>36000</v>
      </c>
      <c r="AC82" s="6">
        <v>36000</v>
      </c>
      <c r="AD82" s="50">
        <f t="shared" si="25"/>
        <v>12853465113.83</v>
      </c>
      <c r="AE82" s="52">
        <v>286000000</v>
      </c>
      <c r="AF82" s="52"/>
      <c r="AG82" s="52">
        <v>394351422</v>
      </c>
      <c r="AH82" s="52"/>
      <c r="AI82" s="52"/>
      <c r="AJ82" s="52">
        <v>12173030541.870001</v>
      </c>
      <c r="AK82" s="52"/>
      <c r="AL82" s="52"/>
      <c r="AM82" s="52"/>
      <c r="AN82" s="52">
        <v>83149.960000000006</v>
      </c>
      <c r="AO82" s="52">
        <f t="shared" si="26"/>
        <v>12209698141.98</v>
      </c>
      <c r="AP82" s="52"/>
      <c r="AQ82" s="52"/>
      <c r="AR82" s="52"/>
      <c r="AS82" s="52"/>
      <c r="AT82" s="52"/>
      <c r="AU82" s="52">
        <v>12209698141.98</v>
      </c>
      <c r="AV82" s="52"/>
      <c r="AW82" s="52"/>
      <c r="AX82" s="52"/>
      <c r="AY82" s="52"/>
      <c r="AZ82" s="52">
        <f t="shared" si="27"/>
        <v>12575989086</v>
      </c>
      <c r="BA82" s="52"/>
      <c r="BB82" s="52"/>
      <c r="BC82" s="52"/>
      <c r="BD82" s="52"/>
      <c r="BE82" s="52"/>
      <c r="BF82" s="52">
        <v>12575989086</v>
      </c>
      <c r="BG82" s="52"/>
      <c r="BH82" s="52"/>
      <c r="BI82" s="52"/>
      <c r="BJ82" s="52"/>
      <c r="BK82" s="52">
        <f t="shared" si="28"/>
        <v>13087166755.4018</v>
      </c>
      <c r="BL82" s="52">
        <v>133897996.40180001</v>
      </c>
      <c r="BM82" s="52"/>
      <c r="BN82" s="52"/>
      <c r="BO82" s="52"/>
      <c r="BP82" s="52"/>
      <c r="BQ82" s="52">
        <v>12953268759</v>
      </c>
      <c r="BR82" s="52"/>
      <c r="BS82" s="52"/>
      <c r="BT82" s="52"/>
      <c r="BU82" s="53"/>
      <c r="BV82" s="54">
        <f t="shared" si="29"/>
        <v>50726319097.2118</v>
      </c>
      <c r="BW82" s="55"/>
    </row>
    <row r="83" spans="1:75" s="190" customFormat="1" ht="157.5" customHeight="1" x14ac:dyDescent="0.2">
      <c r="A83" s="206">
        <v>1</v>
      </c>
      <c r="B83" s="215" t="s">
        <v>19</v>
      </c>
      <c r="C83" s="17" t="s">
        <v>667</v>
      </c>
      <c r="D83" s="17" t="s">
        <v>149</v>
      </c>
      <c r="E83" s="82" t="s">
        <v>710</v>
      </c>
      <c r="F83" s="6" t="s">
        <v>711</v>
      </c>
      <c r="G83" s="17" t="s">
        <v>712</v>
      </c>
      <c r="H83" s="16" t="s">
        <v>713</v>
      </c>
      <c r="I83" s="6">
        <v>22</v>
      </c>
      <c r="J83" s="6" t="s">
        <v>672</v>
      </c>
      <c r="K83" s="15">
        <v>1</v>
      </c>
      <c r="L83" s="6" t="s">
        <v>672</v>
      </c>
      <c r="M83" s="208">
        <v>15</v>
      </c>
      <c r="N83" s="210">
        <v>2201</v>
      </c>
      <c r="O83" s="207" t="s">
        <v>23</v>
      </c>
      <c r="P83" s="6" t="s">
        <v>717</v>
      </c>
      <c r="Q83" s="87">
        <v>2201029</v>
      </c>
      <c r="R83" s="87">
        <v>2201029</v>
      </c>
      <c r="S83" s="17" t="s">
        <v>151</v>
      </c>
      <c r="T83" s="6" t="s">
        <v>718</v>
      </c>
      <c r="U83" s="87">
        <v>220102900</v>
      </c>
      <c r="V83" s="87">
        <v>220102900</v>
      </c>
      <c r="W83" s="48" t="s">
        <v>719</v>
      </c>
      <c r="X83" s="49" t="s">
        <v>9</v>
      </c>
      <c r="Y83" s="6">
        <v>4000</v>
      </c>
      <c r="Z83" s="6">
        <v>0</v>
      </c>
      <c r="AA83" s="6">
        <v>1000</v>
      </c>
      <c r="AB83" s="6">
        <v>1500</v>
      </c>
      <c r="AC83" s="6">
        <v>1500</v>
      </c>
      <c r="AD83" s="50">
        <f t="shared" si="25"/>
        <v>482906493.21831596</v>
      </c>
      <c r="AE83" s="3">
        <f>860000000+40000000-400000000-317093240.421684-266.36</f>
        <v>182906493.21831596</v>
      </c>
      <c r="AF83" s="52">
        <v>300000000</v>
      </c>
      <c r="AG83" s="52"/>
      <c r="AH83" s="52"/>
      <c r="AI83" s="52"/>
      <c r="AJ83" s="52"/>
      <c r="AK83" s="52"/>
      <c r="AL83" s="52"/>
      <c r="AM83" s="52"/>
      <c r="AN83" s="52"/>
      <c r="AO83" s="52">
        <f t="shared" si="26"/>
        <v>379856000</v>
      </c>
      <c r="AP83" s="52">
        <v>379856000</v>
      </c>
      <c r="AQ83" s="52"/>
      <c r="AR83" s="52"/>
      <c r="AS83" s="52"/>
      <c r="AT83" s="52"/>
      <c r="AU83" s="52"/>
      <c r="AV83" s="52"/>
      <c r="AW83" s="52"/>
      <c r="AX83" s="52"/>
      <c r="AY83" s="52"/>
      <c r="AZ83" s="52">
        <f t="shared" si="27"/>
        <v>937258795.20000005</v>
      </c>
      <c r="BA83" s="52">
        <v>937258795.20000005</v>
      </c>
      <c r="BB83" s="52"/>
      <c r="BC83" s="52"/>
      <c r="BD83" s="52"/>
      <c r="BE83" s="52"/>
      <c r="BF83" s="52"/>
      <c r="BG83" s="52"/>
      <c r="BH83" s="52"/>
      <c r="BI83" s="52"/>
      <c r="BJ83" s="52"/>
      <c r="BK83" s="52">
        <f t="shared" si="28"/>
        <v>1070630000</v>
      </c>
      <c r="BL83" s="52">
        <v>1070630000</v>
      </c>
      <c r="BM83" s="52"/>
      <c r="BN83" s="52"/>
      <c r="BO83" s="52"/>
      <c r="BP83" s="52"/>
      <c r="BQ83" s="52"/>
      <c r="BR83" s="52"/>
      <c r="BS83" s="52"/>
      <c r="BT83" s="52"/>
      <c r="BU83" s="53"/>
      <c r="BV83" s="54">
        <f t="shared" si="29"/>
        <v>2870651288.4183159</v>
      </c>
      <c r="BW83" s="55"/>
    </row>
    <row r="84" spans="1:75" s="190" customFormat="1" ht="173.25" customHeight="1" x14ac:dyDescent="0.2">
      <c r="A84" s="206">
        <v>1</v>
      </c>
      <c r="B84" s="215" t="s">
        <v>19</v>
      </c>
      <c r="C84" s="17" t="s">
        <v>667</v>
      </c>
      <c r="D84" s="17" t="s">
        <v>154</v>
      </c>
      <c r="E84" s="82" t="s">
        <v>720</v>
      </c>
      <c r="F84" s="6" t="s">
        <v>721</v>
      </c>
      <c r="G84" s="17" t="s">
        <v>722</v>
      </c>
      <c r="H84" s="16" t="s">
        <v>723</v>
      </c>
      <c r="I84" s="6">
        <v>22</v>
      </c>
      <c r="J84" s="6" t="s">
        <v>672</v>
      </c>
      <c r="K84" s="15">
        <v>1</v>
      </c>
      <c r="L84" s="6" t="s">
        <v>672</v>
      </c>
      <c r="M84" s="208">
        <v>15</v>
      </c>
      <c r="N84" s="210">
        <v>2201</v>
      </c>
      <c r="O84" s="207" t="s">
        <v>23</v>
      </c>
      <c r="P84" s="6" t="s">
        <v>724</v>
      </c>
      <c r="Q84" s="84">
        <v>2201030</v>
      </c>
      <c r="R84" s="84">
        <v>2201030</v>
      </c>
      <c r="S84" s="17" t="s">
        <v>155</v>
      </c>
      <c r="T84" s="79" t="s">
        <v>725</v>
      </c>
      <c r="U84" s="84">
        <v>220103000</v>
      </c>
      <c r="V84" s="84">
        <v>220103000</v>
      </c>
      <c r="W84" s="48" t="s">
        <v>726</v>
      </c>
      <c r="X84" s="49" t="s">
        <v>8</v>
      </c>
      <c r="Y84" s="6">
        <v>2500</v>
      </c>
      <c r="Z84" s="6">
        <v>2500</v>
      </c>
      <c r="AA84" s="6">
        <v>2500</v>
      </c>
      <c r="AB84" s="6">
        <v>2500</v>
      </c>
      <c r="AC84" s="6">
        <v>2500</v>
      </c>
      <c r="AD84" s="50">
        <f t="shared" si="25"/>
        <v>1580000000</v>
      </c>
      <c r="AE84" s="52"/>
      <c r="AF84" s="52"/>
      <c r="AG84" s="52">
        <v>1580000000</v>
      </c>
      <c r="AH84" s="52"/>
      <c r="AI84" s="52"/>
      <c r="AJ84" s="52"/>
      <c r="AK84" s="52"/>
      <c r="AL84" s="52"/>
      <c r="AM84" s="52"/>
      <c r="AN84" s="52"/>
      <c r="AO84" s="52">
        <f t="shared" si="26"/>
        <v>1131907412.9024</v>
      </c>
      <c r="AP84" s="52"/>
      <c r="AQ84" s="52"/>
      <c r="AR84" s="52">
        <v>1131907412.9024</v>
      </c>
      <c r="AS84" s="52"/>
      <c r="AT84" s="52"/>
      <c r="AU84" s="52"/>
      <c r="AV84" s="52"/>
      <c r="AW84" s="52"/>
      <c r="AX84" s="52"/>
      <c r="AY84" s="52"/>
      <c r="AZ84" s="52">
        <f t="shared" si="27"/>
        <v>1191642134</v>
      </c>
      <c r="BA84" s="52">
        <v>24127500</v>
      </c>
      <c r="BB84" s="52"/>
      <c r="BC84" s="52">
        <v>1167514634</v>
      </c>
      <c r="BD84" s="52"/>
      <c r="BE84" s="52"/>
      <c r="BF84" s="52"/>
      <c r="BG84" s="52"/>
      <c r="BH84" s="52"/>
      <c r="BI84" s="52"/>
      <c r="BJ84" s="52"/>
      <c r="BK84" s="52">
        <f t="shared" si="28"/>
        <v>1228522574</v>
      </c>
      <c r="BL84" s="52">
        <v>24332500</v>
      </c>
      <c r="BM84" s="52"/>
      <c r="BN84" s="52">
        <v>1204190074</v>
      </c>
      <c r="BO84" s="52"/>
      <c r="BP84" s="52"/>
      <c r="BQ84" s="52"/>
      <c r="BR84" s="52"/>
      <c r="BS84" s="52"/>
      <c r="BT84" s="52"/>
      <c r="BU84" s="53"/>
      <c r="BV84" s="54">
        <f t="shared" si="29"/>
        <v>5132072120.9024</v>
      </c>
      <c r="BW84" s="55"/>
    </row>
    <row r="85" spans="1:75" s="190" customFormat="1" ht="78.75" customHeight="1" x14ac:dyDescent="0.2">
      <c r="A85" s="206">
        <v>1</v>
      </c>
      <c r="B85" s="215" t="s">
        <v>19</v>
      </c>
      <c r="C85" s="17" t="s">
        <v>667</v>
      </c>
      <c r="D85" s="17" t="s">
        <v>727</v>
      </c>
      <c r="E85" s="88">
        <v>4.3999999999999997E-2</v>
      </c>
      <c r="F85" s="6">
        <v>2018</v>
      </c>
      <c r="G85" s="17" t="s">
        <v>728</v>
      </c>
      <c r="H85" s="88">
        <v>4.2000000000000003E-2</v>
      </c>
      <c r="I85" s="6">
        <v>22</v>
      </c>
      <c r="J85" s="6" t="s">
        <v>672</v>
      </c>
      <c r="K85" s="15">
        <v>1</v>
      </c>
      <c r="L85" s="6" t="s">
        <v>672</v>
      </c>
      <c r="M85" s="208">
        <v>15</v>
      </c>
      <c r="N85" s="210">
        <v>2201</v>
      </c>
      <c r="O85" s="207" t="s">
        <v>23</v>
      </c>
      <c r="P85" s="6" t="s">
        <v>729</v>
      </c>
      <c r="Q85" s="84">
        <v>2201032</v>
      </c>
      <c r="R85" s="84">
        <v>2201032</v>
      </c>
      <c r="S85" s="17" t="s">
        <v>730</v>
      </c>
      <c r="T85" s="79" t="s">
        <v>731</v>
      </c>
      <c r="U85" s="84">
        <v>220103200</v>
      </c>
      <c r="V85" s="84">
        <v>220103200</v>
      </c>
      <c r="W85" s="48" t="s">
        <v>732</v>
      </c>
      <c r="X85" s="49" t="s">
        <v>9</v>
      </c>
      <c r="Y85" s="6">
        <v>600</v>
      </c>
      <c r="Z85" s="17"/>
      <c r="AA85" s="6">
        <v>200</v>
      </c>
      <c r="AB85" s="6">
        <v>200</v>
      </c>
      <c r="AC85" s="6">
        <v>200</v>
      </c>
      <c r="AD85" s="50">
        <f t="shared" si="25"/>
        <v>0</v>
      </c>
      <c r="AE85" s="52"/>
      <c r="AF85" s="52"/>
      <c r="AG85" s="52"/>
      <c r="AH85" s="52"/>
      <c r="AI85" s="52"/>
      <c r="AJ85" s="52"/>
      <c r="AK85" s="52"/>
      <c r="AL85" s="52"/>
      <c r="AM85" s="52"/>
      <c r="AN85" s="52"/>
      <c r="AO85" s="52">
        <f t="shared" si="26"/>
        <v>9496400</v>
      </c>
      <c r="AP85" s="52">
        <v>9496400</v>
      </c>
      <c r="AQ85" s="52"/>
      <c r="AR85" s="52"/>
      <c r="AS85" s="52"/>
      <c r="AT85" s="52"/>
      <c r="AU85" s="52"/>
      <c r="AV85" s="52"/>
      <c r="AW85" s="52"/>
      <c r="AX85" s="52"/>
      <c r="AY85" s="52"/>
      <c r="AZ85" s="52">
        <f t="shared" si="27"/>
        <v>24127500</v>
      </c>
      <c r="BA85" s="52">
        <v>24127500</v>
      </c>
      <c r="BB85" s="52"/>
      <c r="BC85" s="52"/>
      <c r="BD85" s="52"/>
      <c r="BE85" s="52"/>
      <c r="BF85" s="52"/>
      <c r="BG85" s="52"/>
      <c r="BH85" s="52"/>
      <c r="BI85" s="52"/>
      <c r="BJ85" s="52"/>
      <c r="BK85" s="52">
        <f t="shared" si="28"/>
        <v>24332500</v>
      </c>
      <c r="BL85" s="52">
        <v>24332500</v>
      </c>
      <c r="BM85" s="52"/>
      <c r="BN85" s="52"/>
      <c r="BO85" s="52"/>
      <c r="BP85" s="52"/>
      <c r="BQ85" s="52"/>
      <c r="BR85" s="52"/>
      <c r="BS85" s="52"/>
      <c r="BT85" s="52"/>
      <c r="BU85" s="53"/>
      <c r="BV85" s="54">
        <f t="shared" si="29"/>
        <v>57956400</v>
      </c>
      <c r="BW85" s="55"/>
    </row>
    <row r="86" spans="1:75" s="190" customFormat="1" ht="94.5" customHeight="1" x14ac:dyDescent="0.2">
      <c r="A86" s="206">
        <v>1</v>
      </c>
      <c r="B86" s="215" t="s">
        <v>19</v>
      </c>
      <c r="C86" s="17" t="s">
        <v>667</v>
      </c>
      <c r="D86" s="17" t="s">
        <v>147</v>
      </c>
      <c r="E86" s="82" t="s">
        <v>733</v>
      </c>
      <c r="F86" s="6">
        <v>2018</v>
      </c>
      <c r="G86" s="17" t="s">
        <v>734</v>
      </c>
      <c r="H86" s="88">
        <v>3.5000000000000003E-2</v>
      </c>
      <c r="I86" s="6">
        <v>22</v>
      </c>
      <c r="J86" s="6" t="s">
        <v>672</v>
      </c>
      <c r="K86" s="15">
        <v>1</v>
      </c>
      <c r="L86" s="6" t="s">
        <v>672</v>
      </c>
      <c r="M86" s="208">
        <v>15</v>
      </c>
      <c r="N86" s="210">
        <v>2201</v>
      </c>
      <c r="O86" s="207" t="s">
        <v>23</v>
      </c>
      <c r="P86" s="6" t="s">
        <v>735</v>
      </c>
      <c r="Q86" s="84">
        <v>2201033</v>
      </c>
      <c r="R86" s="84">
        <v>2201033</v>
      </c>
      <c r="S86" s="17" t="s">
        <v>148</v>
      </c>
      <c r="T86" s="79" t="s">
        <v>736</v>
      </c>
      <c r="U86" s="84">
        <v>220103300</v>
      </c>
      <c r="V86" s="84">
        <v>220103300</v>
      </c>
      <c r="W86" s="48" t="s">
        <v>737</v>
      </c>
      <c r="X86" s="49" t="s">
        <v>9</v>
      </c>
      <c r="Y86" s="6">
        <v>36000</v>
      </c>
      <c r="Z86" s="6">
        <v>9000</v>
      </c>
      <c r="AA86" s="6">
        <v>9000</v>
      </c>
      <c r="AB86" s="6">
        <v>9000</v>
      </c>
      <c r="AC86" s="6">
        <v>9000</v>
      </c>
      <c r="AD86" s="50">
        <f t="shared" si="25"/>
        <v>3985452042</v>
      </c>
      <c r="AE86" s="52">
        <v>1670863000</v>
      </c>
      <c r="AF86" s="52">
        <v>2289589042</v>
      </c>
      <c r="AG86" s="52">
        <v>25000000</v>
      </c>
      <c r="AH86" s="52"/>
      <c r="AI86" s="52"/>
      <c r="AJ86" s="52"/>
      <c r="AK86" s="52"/>
      <c r="AL86" s="52"/>
      <c r="AM86" s="52"/>
      <c r="AN86" s="52"/>
      <c r="AO86" s="52">
        <f t="shared" si="26"/>
        <v>1229483.8585779001</v>
      </c>
      <c r="AP86" s="52">
        <v>1229483.8585779001</v>
      </c>
      <c r="AQ86" s="52"/>
      <c r="AR86" s="52"/>
      <c r="AS86" s="52"/>
      <c r="AT86" s="52"/>
      <c r="AU86" s="52"/>
      <c r="AV86" s="52"/>
      <c r="AW86" s="52"/>
      <c r="AX86" s="52"/>
      <c r="AY86" s="52"/>
      <c r="AZ86" s="52">
        <f t="shared" si="27"/>
        <v>9651000</v>
      </c>
      <c r="BA86" s="52">
        <v>9651000</v>
      </c>
      <c r="BB86" s="52"/>
      <c r="BC86" s="52"/>
      <c r="BD86" s="52"/>
      <c r="BE86" s="52"/>
      <c r="BF86" s="52"/>
      <c r="BG86" s="52"/>
      <c r="BH86" s="52"/>
      <c r="BI86" s="52"/>
      <c r="BJ86" s="52"/>
      <c r="BK86" s="52">
        <f t="shared" si="28"/>
        <v>9733000</v>
      </c>
      <c r="BL86" s="52">
        <v>9733000</v>
      </c>
      <c r="BM86" s="52"/>
      <c r="BN86" s="52"/>
      <c r="BO86" s="52"/>
      <c r="BP86" s="52"/>
      <c r="BQ86" s="52"/>
      <c r="BR86" s="52"/>
      <c r="BS86" s="52"/>
      <c r="BT86" s="52"/>
      <c r="BU86" s="53"/>
      <c r="BV86" s="54">
        <f t="shared" si="29"/>
        <v>4006065525.8585777</v>
      </c>
      <c r="BW86" s="55"/>
    </row>
    <row r="87" spans="1:75" s="190" customFormat="1" ht="110.25" customHeight="1" x14ac:dyDescent="0.2">
      <c r="A87" s="206">
        <v>1</v>
      </c>
      <c r="B87" s="215" t="s">
        <v>19</v>
      </c>
      <c r="C87" s="17" t="s">
        <v>667</v>
      </c>
      <c r="D87" s="17" t="s">
        <v>167</v>
      </c>
      <c r="E87" s="82">
        <v>0.05</v>
      </c>
      <c r="F87" s="6">
        <v>2019</v>
      </c>
      <c r="G87" s="17" t="s">
        <v>738</v>
      </c>
      <c r="H87" s="82">
        <v>7.0000000000000007E-2</v>
      </c>
      <c r="I87" s="6">
        <v>22</v>
      </c>
      <c r="J87" s="6" t="s">
        <v>672</v>
      </c>
      <c r="K87" s="15">
        <v>1</v>
      </c>
      <c r="L87" s="6" t="s">
        <v>672</v>
      </c>
      <c r="M87" s="208">
        <v>15</v>
      </c>
      <c r="N87" s="210">
        <v>2201</v>
      </c>
      <c r="O87" s="207" t="s">
        <v>23</v>
      </c>
      <c r="P87" s="6" t="s">
        <v>739</v>
      </c>
      <c r="Q87" s="84">
        <v>2201034</v>
      </c>
      <c r="R87" s="84">
        <v>2201034</v>
      </c>
      <c r="S87" s="17" t="s">
        <v>740</v>
      </c>
      <c r="T87" s="79" t="s">
        <v>741</v>
      </c>
      <c r="U87" s="84">
        <v>220103400</v>
      </c>
      <c r="V87" s="84">
        <v>220103400</v>
      </c>
      <c r="W87" s="48" t="s">
        <v>742</v>
      </c>
      <c r="X87" s="49" t="s">
        <v>9</v>
      </c>
      <c r="Y87" s="6">
        <v>15000</v>
      </c>
      <c r="Z87" s="6">
        <v>100</v>
      </c>
      <c r="AA87" s="6">
        <v>5500</v>
      </c>
      <c r="AB87" s="6">
        <v>5000</v>
      </c>
      <c r="AC87" s="6">
        <v>4400</v>
      </c>
      <c r="AD87" s="50">
        <f t="shared" si="25"/>
        <v>5000000</v>
      </c>
      <c r="AE87" s="52">
        <v>5000000</v>
      </c>
      <c r="AF87" s="52"/>
      <c r="AG87" s="52"/>
      <c r="AH87" s="52"/>
      <c r="AI87" s="52"/>
      <c r="AJ87" s="52"/>
      <c r="AK87" s="52"/>
      <c r="AL87" s="52"/>
      <c r="AM87" s="52"/>
      <c r="AN87" s="52"/>
      <c r="AO87" s="52">
        <f t="shared" si="26"/>
        <v>9496400</v>
      </c>
      <c r="AP87" s="52">
        <v>9496400</v>
      </c>
      <c r="AQ87" s="52"/>
      <c r="AR87" s="52"/>
      <c r="AS87" s="52"/>
      <c r="AT87" s="52"/>
      <c r="AU87" s="52"/>
      <c r="AV87" s="52"/>
      <c r="AW87" s="52"/>
      <c r="AX87" s="52"/>
      <c r="AY87" s="52"/>
      <c r="AZ87" s="52">
        <f t="shared" si="27"/>
        <v>19302000</v>
      </c>
      <c r="BA87" s="52">
        <v>19302000</v>
      </c>
      <c r="BB87" s="52"/>
      <c r="BC87" s="52"/>
      <c r="BD87" s="52"/>
      <c r="BE87" s="52"/>
      <c r="BF87" s="52"/>
      <c r="BG87" s="52"/>
      <c r="BH87" s="52"/>
      <c r="BI87" s="52"/>
      <c r="BJ87" s="52"/>
      <c r="BK87" s="52">
        <f t="shared" si="28"/>
        <v>19466000</v>
      </c>
      <c r="BL87" s="52">
        <v>19466000</v>
      </c>
      <c r="BM87" s="52"/>
      <c r="BN87" s="52"/>
      <c r="BO87" s="52"/>
      <c r="BP87" s="52"/>
      <c r="BQ87" s="52"/>
      <c r="BR87" s="52"/>
      <c r="BS87" s="52"/>
      <c r="BT87" s="52"/>
      <c r="BU87" s="53"/>
      <c r="BV87" s="54">
        <f t="shared" si="29"/>
        <v>53264400</v>
      </c>
      <c r="BW87" s="55"/>
    </row>
    <row r="88" spans="1:75" s="190" customFormat="1" ht="141.75" customHeight="1" x14ac:dyDescent="0.2">
      <c r="A88" s="206">
        <v>1</v>
      </c>
      <c r="B88" s="215" t="s">
        <v>19</v>
      </c>
      <c r="C88" s="17" t="s">
        <v>667</v>
      </c>
      <c r="D88" s="17" t="s">
        <v>167</v>
      </c>
      <c r="E88" s="82">
        <v>0.05</v>
      </c>
      <c r="F88" s="6">
        <v>2019</v>
      </c>
      <c r="G88" s="17" t="s">
        <v>738</v>
      </c>
      <c r="H88" s="82">
        <v>7.0000000000000007E-2</v>
      </c>
      <c r="I88" s="6">
        <v>22</v>
      </c>
      <c r="J88" s="6" t="s">
        <v>672</v>
      </c>
      <c r="K88" s="15">
        <v>1</v>
      </c>
      <c r="L88" s="6" t="s">
        <v>672</v>
      </c>
      <c r="M88" s="208">
        <v>15</v>
      </c>
      <c r="N88" s="210">
        <v>2201</v>
      </c>
      <c r="O88" s="207" t="s">
        <v>23</v>
      </c>
      <c r="P88" s="6" t="s">
        <v>739</v>
      </c>
      <c r="Q88" s="84">
        <v>2201034</v>
      </c>
      <c r="R88" s="84">
        <v>2201034</v>
      </c>
      <c r="S88" s="17" t="s">
        <v>740</v>
      </c>
      <c r="T88" s="79" t="s">
        <v>743</v>
      </c>
      <c r="U88" s="84">
        <v>220103401</v>
      </c>
      <c r="V88" s="84">
        <v>220103401</v>
      </c>
      <c r="W88" s="48" t="s">
        <v>744</v>
      </c>
      <c r="X88" s="49" t="s">
        <v>8</v>
      </c>
      <c r="Y88" s="6">
        <v>54</v>
      </c>
      <c r="Z88" s="6">
        <v>54</v>
      </c>
      <c r="AA88" s="6">
        <v>54</v>
      </c>
      <c r="AB88" s="6">
        <v>54</v>
      </c>
      <c r="AC88" s="6">
        <v>54</v>
      </c>
      <c r="AD88" s="50">
        <f t="shared" si="25"/>
        <v>12643190827</v>
      </c>
      <c r="AE88" s="52">
        <v>10000000</v>
      </c>
      <c r="AF88" s="52"/>
      <c r="AG88" s="52"/>
      <c r="AH88" s="52"/>
      <c r="AI88" s="52"/>
      <c r="AJ88" s="52"/>
      <c r="AK88" s="52">
        <v>12633190827</v>
      </c>
      <c r="AL88" s="52"/>
      <c r="AM88" s="52"/>
      <c r="AN88" s="52"/>
      <c r="AO88" s="52">
        <f t="shared" si="26"/>
        <v>4748200</v>
      </c>
      <c r="AP88" s="52">
        <v>4748200</v>
      </c>
      <c r="AQ88" s="52"/>
      <c r="AR88" s="52"/>
      <c r="AS88" s="52"/>
      <c r="AT88" s="52"/>
      <c r="AU88" s="52"/>
      <c r="AV88" s="52"/>
      <c r="AW88" s="52"/>
      <c r="AX88" s="52"/>
      <c r="AY88" s="52"/>
      <c r="AZ88" s="52">
        <f t="shared" si="27"/>
        <v>14476500</v>
      </c>
      <c r="BA88" s="52">
        <v>14476500</v>
      </c>
      <c r="BB88" s="52"/>
      <c r="BC88" s="52"/>
      <c r="BD88" s="52"/>
      <c r="BE88" s="52"/>
      <c r="BF88" s="52"/>
      <c r="BG88" s="52"/>
      <c r="BH88" s="52"/>
      <c r="BI88" s="52"/>
      <c r="BJ88" s="52"/>
      <c r="BK88" s="52">
        <f t="shared" si="28"/>
        <v>14599500</v>
      </c>
      <c r="BL88" s="52">
        <v>14599500</v>
      </c>
      <c r="BM88" s="52"/>
      <c r="BN88" s="52"/>
      <c r="BO88" s="52"/>
      <c r="BP88" s="52"/>
      <c r="BQ88" s="52"/>
      <c r="BR88" s="52"/>
      <c r="BS88" s="52"/>
      <c r="BT88" s="52"/>
      <c r="BU88" s="53"/>
      <c r="BV88" s="54">
        <f t="shared" si="29"/>
        <v>12677015027</v>
      </c>
      <c r="BW88" s="55"/>
    </row>
    <row r="89" spans="1:75" s="190" customFormat="1" ht="110.25" customHeight="1" x14ac:dyDescent="0.2">
      <c r="A89" s="206">
        <v>1</v>
      </c>
      <c r="B89" s="215" t="s">
        <v>19</v>
      </c>
      <c r="C89" s="17" t="s">
        <v>667</v>
      </c>
      <c r="D89" s="17" t="s">
        <v>745</v>
      </c>
      <c r="E89" s="88" t="s">
        <v>746</v>
      </c>
      <c r="F89" s="6" t="s">
        <v>747</v>
      </c>
      <c r="G89" s="17" t="s">
        <v>748</v>
      </c>
      <c r="H89" s="82" t="s">
        <v>749</v>
      </c>
      <c r="I89" s="6">
        <v>22</v>
      </c>
      <c r="J89" s="6" t="s">
        <v>672</v>
      </c>
      <c r="K89" s="15">
        <v>1</v>
      </c>
      <c r="L89" s="6" t="s">
        <v>672</v>
      </c>
      <c r="M89" s="208">
        <v>15</v>
      </c>
      <c r="N89" s="210">
        <v>2201</v>
      </c>
      <c r="O89" s="207" t="s">
        <v>23</v>
      </c>
      <c r="P89" s="6" t="s">
        <v>750</v>
      </c>
      <c r="Q89" s="84">
        <v>2201035</v>
      </c>
      <c r="R89" s="84">
        <v>2201035</v>
      </c>
      <c r="S89" s="17" t="s">
        <v>751</v>
      </c>
      <c r="T89" s="79" t="s">
        <v>752</v>
      </c>
      <c r="U89" s="84">
        <v>220103500</v>
      </c>
      <c r="V89" s="84">
        <v>220103500</v>
      </c>
      <c r="W89" s="48" t="s">
        <v>753</v>
      </c>
      <c r="X89" s="49" t="s">
        <v>9</v>
      </c>
      <c r="Y89" s="6">
        <v>25</v>
      </c>
      <c r="Z89" s="6">
        <v>0</v>
      </c>
      <c r="AA89" s="6">
        <v>8</v>
      </c>
      <c r="AB89" s="6">
        <v>9</v>
      </c>
      <c r="AC89" s="6">
        <v>8</v>
      </c>
      <c r="AD89" s="50">
        <f t="shared" si="25"/>
        <v>0</v>
      </c>
      <c r="AE89" s="52"/>
      <c r="AF89" s="52"/>
      <c r="AG89" s="52"/>
      <c r="AH89" s="52"/>
      <c r="AI89" s="52"/>
      <c r="AJ89" s="52"/>
      <c r="AK89" s="52"/>
      <c r="AL89" s="52"/>
      <c r="AM89" s="52"/>
      <c r="AN89" s="52"/>
      <c r="AO89" s="52">
        <f t="shared" si="26"/>
        <v>10000000</v>
      </c>
      <c r="AP89" s="52"/>
      <c r="AQ89" s="52"/>
      <c r="AR89" s="52">
        <v>10000000</v>
      </c>
      <c r="AS89" s="52"/>
      <c r="AT89" s="52"/>
      <c r="AU89" s="52"/>
      <c r="AV89" s="52"/>
      <c r="AW89" s="52"/>
      <c r="AX89" s="52"/>
      <c r="AY89" s="52"/>
      <c r="AZ89" s="52">
        <f t="shared" si="27"/>
        <v>29302000</v>
      </c>
      <c r="BA89" s="52">
        <v>19302000</v>
      </c>
      <c r="BB89" s="52"/>
      <c r="BC89" s="52">
        <v>10000000</v>
      </c>
      <c r="BD89" s="52"/>
      <c r="BE89" s="52"/>
      <c r="BF89" s="52"/>
      <c r="BG89" s="52"/>
      <c r="BH89" s="52"/>
      <c r="BI89" s="52"/>
      <c r="BJ89" s="52"/>
      <c r="BK89" s="52">
        <f t="shared" si="28"/>
        <v>29466000</v>
      </c>
      <c r="BL89" s="52">
        <v>19466000</v>
      </c>
      <c r="BM89" s="52"/>
      <c r="BN89" s="52">
        <v>10000000</v>
      </c>
      <c r="BO89" s="52"/>
      <c r="BP89" s="52"/>
      <c r="BQ89" s="52"/>
      <c r="BR89" s="52"/>
      <c r="BS89" s="52"/>
      <c r="BT89" s="52"/>
      <c r="BU89" s="53"/>
      <c r="BV89" s="54">
        <f t="shared" si="29"/>
        <v>68768000</v>
      </c>
      <c r="BW89" s="55"/>
    </row>
    <row r="90" spans="1:75" s="190" customFormat="1" ht="141.75" customHeight="1" x14ac:dyDescent="0.2">
      <c r="A90" s="206">
        <v>1</v>
      </c>
      <c r="B90" s="215" t="s">
        <v>19</v>
      </c>
      <c r="C90" s="17" t="s">
        <v>667</v>
      </c>
      <c r="D90" s="17" t="s">
        <v>164</v>
      </c>
      <c r="E90" s="88">
        <v>0.61960000000000004</v>
      </c>
      <c r="F90" s="6">
        <v>2018</v>
      </c>
      <c r="G90" s="17" t="s">
        <v>734</v>
      </c>
      <c r="H90" s="82">
        <v>0.64</v>
      </c>
      <c r="I90" s="6">
        <v>22</v>
      </c>
      <c r="J90" s="6" t="s">
        <v>672</v>
      </c>
      <c r="K90" s="15">
        <v>1</v>
      </c>
      <c r="L90" s="6" t="s">
        <v>672</v>
      </c>
      <c r="M90" s="208">
        <v>15</v>
      </c>
      <c r="N90" s="210">
        <v>2201</v>
      </c>
      <c r="O90" s="207" t="s">
        <v>23</v>
      </c>
      <c r="P90" s="6" t="s">
        <v>754</v>
      </c>
      <c r="Q90" s="84">
        <v>2201037</v>
      </c>
      <c r="R90" s="84">
        <v>2201037</v>
      </c>
      <c r="S90" s="17" t="s">
        <v>165</v>
      </c>
      <c r="T90" s="79" t="s">
        <v>755</v>
      </c>
      <c r="U90" s="84">
        <v>220103700</v>
      </c>
      <c r="V90" s="84">
        <v>220103700</v>
      </c>
      <c r="W90" s="48" t="s">
        <v>756</v>
      </c>
      <c r="X90" s="49" t="s">
        <v>8</v>
      </c>
      <c r="Y90" s="6">
        <v>54</v>
      </c>
      <c r="Z90" s="6">
        <v>54</v>
      </c>
      <c r="AA90" s="6">
        <v>54</v>
      </c>
      <c r="AB90" s="6">
        <v>54</v>
      </c>
      <c r="AC90" s="6">
        <v>54</v>
      </c>
      <c r="AD90" s="50">
        <f t="shared" si="25"/>
        <v>40000000</v>
      </c>
      <c r="AE90" s="52">
        <v>40000000</v>
      </c>
      <c r="AF90" s="52"/>
      <c r="AG90" s="52"/>
      <c r="AH90" s="52"/>
      <c r="AI90" s="52"/>
      <c r="AJ90" s="52"/>
      <c r="AK90" s="52"/>
      <c r="AL90" s="52"/>
      <c r="AM90" s="52"/>
      <c r="AN90" s="52"/>
      <c r="AO90" s="52">
        <f t="shared" si="26"/>
        <v>9500000</v>
      </c>
      <c r="AP90" s="52"/>
      <c r="AQ90" s="52"/>
      <c r="AR90" s="52">
        <v>9500000</v>
      </c>
      <c r="AS90" s="52"/>
      <c r="AT90" s="52"/>
      <c r="AU90" s="52"/>
      <c r="AV90" s="52"/>
      <c r="AW90" s="52"/>
      <c r="AX90" s="52"/>
      <c r="AY90" s="52"/>
      <c r="AZ90" s="52">
        <f t="shared" si="27"/>
        <v>19151000</v>
      </c>
      <c r="BA90" s="52">
        <v>9651000</v>
      </c>
      <c r="BB90" s="52"/>
      <c r="BC90" s="52">
        <v>9500000</v>
      </c>
      <c r="BD90" s="52"/>
      <c r="BE90" s="52"/>
      <c r="BF90" s="52"/>
      <c r="BG90" s="52"/>
      <c r="BH90" s="52"/>
      <c r="BI90" s="52"/>
      <c r="BJ90" s="52"/>
      <c r="BK90" s="52">
        <f t="shared" si="28"/>
        <v>19233000</v>
      </c>
      <c r="BL90" s="52">
        <v>9733000</v>
      </c>
      <c r="BM90" s="52"/>
      <c r="BN90" s="52">
        <v>9500000</v>
      </c>
      <c r="BO90" s="52"/>
      <c r="BP90" s="52"/>
      <c r="BQ90" s="52"/>
      <c r="BR90" s="52"/>
      <c r="BS90" s="52"/>
      <c r="BT90" s="52"/>
      <c r="BU90" s="53"/>
      <c r="BV90" s="54">
        <f t="shared" si="29"/>
        <v>87884000</v>
      </c>
      <c r="BW90" s="55"/>
    </row>
    <row r="91" spans="1:75" s="190" customFormat="1" ht="157.5" customHeight="1" x14ac:dyDescent="0.2">
      <c r="A91" s="206">
        <v>1</v>
      </c>
      <c r="B91" s="215" t="s">
        <v>19</v>
      </c>
      <c r="C91" s="17" t="s">
        <v>667</v>
      </c>
      <c r="D91" s="17" t="s">
        <v>149</v>
      </c>
      <c r="E91" s="82" t="s">
        <v>710</v>
      </c>
      <c r="F91" s="6" t="s">
        <v>711</v>
      </c>
      <c r="G91" s="17" t="s">
        <v>712</v>
      </c>
      <c r="H91" s="16" t="s">
        <v>713</v>
      </c>
      <c r="I91" s="6">
        <v>22</v>
      </c>
      <c r="J91" s="6" t="s">
        <v>672</v>
      </c>
      <c r="K91" s="15">
        <v>1</v>
      </c>
      <c r="L91" s="6" t="s">
        <v>672</v>
      </c>
      <c r="M91" s="208">
        <v>15</v>
      </c>
      <c r="N91" s="210">
        <v>2201</v>
      </c>
      <c r="O91" s="207" t="s">
        <v>23</v>
      </c>
      <c r="P91" s="6" t="s">
        <v>757</v>
      </c>
      <c r="Q91" s="84">
        <v>2201042</v>
      </c>
      <c r="R91" s="84">
        <v>2201042</v>
      </c>
      <c r="S91" s="17" t="s">
        <v>758</v>
      </c>
      <c r="T91" s="79" t="s">
        <v>759</v>
      </c>
      <c r="U91" s="84">
        <v>220104200</v>
      </c>
      <c r="V91" s="84">
        <v>220104200</v>
      </c>
      <c r="W91" s="48" t="s">
        <v>760</v>
      </c>
      <c r="X91" s="49" t="s">
        <v>9</v>
      </c>
      <c r="Y91" s="6">
        <v>18000</v>
      </c>
      <c r="Z91" s="6">
        <v>0</v>
      </c>
      <c r="AA91" s="6">
        <v>6000</v>
      </c>
      <c r="AB91" s="6">
        <v>6000</v>
      </c>
      <c r="AC91" s="6">
        <v>6000</v>
      </c>
      <c r="AD91" s="50">
        <f t="shared" si="25"/>
        <v>0</v>
      </c>
      <c r="AE91" s="52"/>
      <c r="AF91" s="52"/>
      <c r="AG91" s="52"/>
      <c r="AH91" s="52"/>
      <c r="AI91" s="52"/>
      <c r="AJ91" s="52"/>
      <c r="AK91" s="52"/>
      <c r="AL91" s="52"/>
      <c r="AM91" s="52"/>
      <c r="AN91" s="52"/>
      <c r="AO91" s="52">
        <f t="shared" si="26"/>
        <v>9496400</v>
      </c>
      <c r="AP91" s="52">
        <v>9496400</v>
      </c>
      <c r="AQ91" s="52"/>
      <c r="AR91" s="52"/>
      <c r="AS91" s="52"/>
      <c r="AT91" s="52"/>
      <c r="AU91" s="52"/>
      <c r="AV91" s="52"/>
      <c r="AW91" s="52"/>
      <c r="AX91" s="52"/>
      <c r="AY91" s="52"/>
      <c r="AZ91" s="52">
        <f t="shared" si="27"/>
        <v>38604000</v>
      </c>
      <c r="BA91" s="52">
        <v>38604000</v>
      </c>
      <c r="BB91" s="52"/>
      <c r="BC91" s="52"/>
      <c r="BD91" s="52"/>
      <c r="BE91" s="52"/>
      <c r="BF91" s="52"/>
      <c r="BG91" s="52"/>
      <c r="BH91" s="52"/>
      <c r="BI91" s="52"/>
      <c r="BJ91" s="52"/>
      <c r="BK91" s="52">
        <f t="shared" si="28"/>
        <v>38932000</v>
      </c>
      <c r="BL91" s="52">
        <v>38932000</v>
      </c>
      <c r="BM91" s="52"/>
      <c r="BN91" s="52"/>
      <c r="BO91" s="52"/>
      <c r="BP91" s="52"/>
      <c r="BQ91" s="52"/>
      <c r="BR91" s="52"/>
      <c r="BS91" s="52"/>
      <c r="BT91" s="52"/>
      <c r="BU91" s="53"/>
      <c r="BV91" s="54">
        <f t="shared" si="29"/>
        <v>87032400</v>
      </c>
      <c r="BW91" s="55"/>
    </row>
    <row r="92" spans="1:75" s="190" customFormat="1" ht="157.5" customHeight="1" x14ac:dyDescent="0.2">
      <c r="A92" s="206">
        <v>1</v>
      </c>
      <c r="B92" s="215" t="s">
        <v>19</v>
      </c>
      <c r="C92" s="17" t="s">
        <v>667</v>
      </c>
      <c r="D92" s="17" t="s">
        <v>149</v>
      </c>
      <c r="E92" s="82" t="s">
        <v>710</v>
      </c>
      <c r="F92" s="6" t="s">
        <v>711</v>
      </c>
      <c r="G92" s="17" t="s">
        <v>712</v>
      </c>
      <c r="H92" s="16" t="s">
        <v>713</v>
      </c>
      <c r="I92" s="6">
        <v>22</v>
      </c>
      <c r="J92" s="6" t="s">
        <v>672</v>
      </c>
      <c r="K92" s="15">
        <v>1</v>
      </c>
      <c r="L92" s="6" t="s">
        <v>672</v>
      </c>
      <c r="M92" s="208">
        <v>15</v>
      </c>
      <c r="N92" s="210">
        <v>2201</v>
      </c>
      <c r="O92" s="207" t="s">
        <v>23</v>
      </c>
      <c r="P92" s="6" t="s">
        <v>761</v>
      </c>
      <c r="Q92" s="84">
        <v>2201046</v>
      </c>
      <c r="R92" s="84">
        <v>2201046</v>
      </c>
      <c r="S92" s="17" t="s">
        <v>160</v>
      </c>
      <c r="T92" s="79" t="s">
        <v>762</v>
      </c>
      <c r="U92" s="84">
        <v>220104602</v>
      </c>
      <c r="V92" s="84">
        <v>220104602</v>
      </c>
      <c r="W92" s="48" t="s">
        <v>763</v>
      </c>
      <c r="X92" s="49" t="s">
        <v>9</v>
      </c>
      <c r="Y92" s="6">
        <v>54</v>
      </c>
      <c r="Z92" s="6">
        <v>5</v>
      </c>
      <c r="AA92" s="6">
        <v>13</v>
      </c>
      <c r="AB92" s="6">
        <v>18</v>
      </c>
      <c r="AC92" s="6">
        <v>18</v>
      </c>
      <c r="AD92" s="50">
        <f t="shared" si="25"/>
        <v>81400000</v>
      </c>
      <c r="AE92" s="52">
        <v>81400000</v>
      </c>
      <c r="AF92" s="52"/>
      <c r="AG92" s="52"/>
      <c r="AH92" s="52"/>
      <c r="AI92" s="52"/>
      <c r="AJ92" s="52"/>
      <c r="AK92" s="52"/>
      <c r="AL92" s="52"/>
      <c r="AM92" s="52"/>
      <c r="AN92" s="52"/>
      <c r="AO92" s="52">
        <f t="shared" si="26"/>
        <v>5000000</v>
      </c>
      <c r="AP92" s="52"/>
      <c r="AQ92" s="52"/>
      <c r="AR92" s="52">
        <v>5000000</v>
      </c>
      <c r="AS92" s="52"/>
      <c r="AT92" s="52"/>
      <c r="AU92" s="52"/>
      <c r="AV92" s="52"/>
      <c r="AW92" s="52"/>
      <c r="AX92" s="52"/>
      <c r="AY92" s="52"/>
      <c r="AZ92" s="52">
        <f t="shared" si="27"/>
        <v>53255000</v>
      </c>
      <c r="BA92" s="52">
        <v>48255000</v>
      </c>
      <c r="BB92" s="52"/>
      <c r="BC92" s="52">
        <v>5000000</v>
      </c>
      <c r="BD92" s="52"/>
      <c r="BE92" s="52"/>
      <c r="BF92" s="52"/>
      <c r="BG92" s="52"/>
      <c r="BH92" s="52"/>
      <c r="BI92" s="52"/>
      <c r="BJ92" s="52"/>
      <c r="BK92" s="52">
        <f t="shared" si="28"/>
        <v>53665000</v>
      </c>
      <c r="BL92" s="52">
        <v>48665000</v>
      </c>
      <c r="BM92" s="52"/>
      <c r="BN92" s="52">
        <v>5000000</v>
      </c>
      <c r="BO92" s="52"/>
      <c r="BP92" s="52"/>
      <c r="BQ92" s="52"/>
      <c r="BR92" s="52"/>
      <c r="BS92" s="52"/>
      <c r="BT92" s="52"/>
      <c r="BU92" s="53"/>
      <c r="BV92" s="54">
        <f t="shared" si="29"/>
        <v>193320000</v>
      </c>
      <c r="BW92" s="55"/>
    </row>
    <row r="93" spans="1:75" s="190" customFormat="1" ht="157.5" customHeight="1" x14ac:dyDescent="0.2">
      <c r="A93" s="206">
        <v>1</v>
      </c>
      <c r="B93" s="215" t="s">
        <v>19</v>
      </c>
      <c r="C93" s="17" t="s">
        <v>667</v>
      </c>
      <c r="D93" s="17" t="s">
        <v>149</v>
      </c>
      <c r="E93" s="82" t="s">
        <v>710</v>
      </c>
      <c r="F93" s="6" t="s">
        <v>711</v>
      </c>
      <c r="G93" s="17" t="s">
        <v>712</v>
      </c>
      <c r="H93" s="16" t="s">
        <v>713</v>
      </c>
      <c r="I93" s="6">
        <v>22</v>
      </c>
      <c r="J93" s="6" t="s">
        <v>672</v>
      </c>
      <c r="K93" s="15">
        <v>1</v>
      </c>
      <c r="L93" s="6" t="s">
        <v>672</v>
      </c>
      <c r="M93" s="208">
        <v>15</v>
      </c>
      <c r="N93" s="210">
        <v>2201</v>
      </c>
      <c r="O93" s="207" t="s">
        <v>23</v>
      </c>
      <c r="P93" s="6" t="s">
        <v>764</v>
      </c>
      <c r="Q93" s="84">
        <v>2201048</v>
      </c>
      <c r="R93" s="84">
        <v>2201048</v>
      </c>
      <c r="S93" s="17" t="s">
        <v>765</v>
      </c>
      <c r="T93" s="79" t="s">
        <v>766</v>
      </c>
      <c r="U93" s="84">
        <v>220104801</v>
      </c>
      <c r="V93" s="84">
        <v>220104801</v>
      </c>
      <c r="W93" s="48" t="s">
        <v>767</v>
      </c>
      <c r="X93" s="49" t="s">
        <v>8</v>
      </c>
      <c r="Y93" s="6">
        <v>1</v>
      </c>
      <c r="Z93" s="6"/>
      <c r="AA93" s="6">
        <v>1</v>
      </c>
      <c r="AB93" s="6">
        <v>1</v>
      </c>
      <c r="AC93" s="6">
        <v>1</v>
      </c>
      <c r="AD93" s="50">
        <f t="shared" si="25"/>
        <v>0</v>
      </c>
      <c r="AE93" s="52"/>
      <c r="AF93" s="52"/>
      <c r="AG93" s="52"/>
      <c r="AH93" s="52"/>
      <c r="AI93" s="52"/>
      <c r="AJ93" s="52"/>
      <c r="AK93" s="52"/>
      <c r="AL93" s="52"/>
      <c r="AM93" s="52"/>
      <c r="AN93" s="52"/>
      <c r="AO93" s="52">
        <f t="shared" si="26"/>
        <v>9496400</v>
      </c>
      <c r="AP93" s="52">
        <v>9496400</v>
      </c>
      <c r="AQ93" s="52"/>
      <c r="AR93" s="52"/>
      <c r="AS93" s="52"/>
      <c r="AT93" s="52"/>
      <c r="AU93" s="52"/>
      <c r="AV93" s="52"/>
      <c r="AW93" s="52"/>
      <c r="AX93" s="52"/>
      <c r="AY93" s="52"/>
      <c r="AZ93" s="52">
        <f t="shared" si="27"/>
        <v>24127500</v>
      </c>
      <c r="BA93" s="52">
        <v>24127500</v>
      </c>
      <c r="BB93" s="52"/>
      <c r="BC93" s="52"/>
      <c r="BD93" s="52"/>
      <c r="BE93" s="52"/>
      <c r="BF93" s="52"/>
      <c r="BG93" s="52"/>
      <c r="BH93" s="52"/>
      <c r="BI93" s="52"/>
      <c r="BJ93" s="52"/>
      <c r="BK93" s="52">
        <f t="shared" si="28"/>
        <v>24332500</v>
      </c>
      <c r="BL93" s="52">
        <v>24332500</v>
      </c>
      <c r="BM93" s="52"/>
      <c r="BN93" s="52"/>
      <c r="BO93" s="52"/>
      <c r="BP93" s="52"/>
      <c r="BQ93" s="52"/>
      <c r="BR93" s="52"/>
      <c r="BS93" s="52"/>
      <c r="BT93" s="52"/>
      <c r="BU93" s="53"/>
      <c r="BV93" s="54">
        <f t="shared" si="29"/>
        <v>57956400</v>
      </c>
      <c r="BW93" s="55"/>
    </row>
    <row r="94" spans="1:75" s="190" customFormat="1" ht="157.5" customHeight="1" x14ac:dyDescent="0.2">
      <c r="A94" s="206">
        <v>1</v>
      </c>
      <c r="B94" s="215" t="s">
        <v>19</v>
      </c>
      <c r="C94" s="17" t="s">
        <v>667</v>
      </c>
      <c r="D94" s="17" t="s">
        <v>149</v>
      </c>
      <c r="E94" s="82" t="s">
        <v>710</v>
      </c>
      <c r="F94" s="6" t="s">
        <v>711</v>
      </c>
      <c r="G94" s="17" t="s">
        <v>712</v>
      </c>
      <c r="H94" s="16" t="s">
        <v>713</v>
      </c>
      <c r="I94" s="6">
        <v>22</v>
      </c>
      <c r="J94" s="6" t="s">
        <v>672</v>
      </c>
      <c r="K94" s="15">
        <v>1</v>
      </c>
      <c r="L94" s="6" t="s">
        <v>672</v>
      </c>
      <c r="M94" s="208">
        <v>15</v>
      </c>
      <c r="N94" s="210">
        <v>2201</v>
      </c>
      <c r="O94" s="207" t="s">
        <v>23</v>
      </c>
      <c r="P94" s="6" t="s">
        <v>768</v>
      </c>
      <c r="Q94" s="84">
        <v>2201050</v>
      </c>
      <c r="R94" s="84">
        <v>2201050</v>
      </c>
      <c r="S94" s="17" t="s">
        <v>166</v>
      </c>
      <c r="T94" s="79" t="s">
        <v>769</v>
      </c>
      <c r="U94" s="84">
        <v>220105000</v>
      </c>
      <c r="V94" s="84">
        <v>220105000</v>
      </c>
      <c r="W94" s="48" t="s">
        <v>770</v>
      </c>
      <c r="X94" s="49" t="s">
        <v>9</v>
      </c>
      <c r="Y94" s="6">
        <v>33000</v>
      </c>
      <c r="Z94" s="6">
        <v>10000</v>
      </c>
      <c r="AA94" s="6">
        <v>8000</v>
      </c>
      <c r="AB94" s="6">
        <v>8000</v>
      </c>
      <c r="AC94" s="6">
        <v>7000</v>
      </c>
      <c r="AD94" s="50">
        <f t="shared" si="25"/>
        <v>0</v>
      </c>
      <c r="AE94" s="52"/>
      <c r="AF94" s="52"/>
      <c r="AG94" s="52"/>
      <c r="AH94" s="52"/>
      <c r="AI94" s="52"/>
      <c r="AJ94" s="52"/>
      <c r="AK94" s="52"/>
      <c r="AL94" s="52"/>
      <c r="AM94" s="52"/>
      <c r="AN94" s="52"/>
      <c r="AO94" s="52">
        <f t="shared" si="26"/>
        <v>9496400</v>
      </c>
      <c r="AP94" s="52">
        <v>9496400</v>
      </c>
      <c r="AQ94" s="52"/>
      <c r="AR94" s="52"/>
      <c r="AS94" s="52"/>
      <c r="AT94" s="52"/>
      <c r="AU94" s="52"/>
      <c r="AV94" s="52"/>
      <c r="AW94" s="52"/>
      <c r="AX94" s="52"/>
      <c r="AY94" s="52"/>
      <c r="AZ94" s="52">
        <f t="shared" si="27"/>
        <v>19302000</v>
      </c>
      <c r="BA94" s="52">
        <v>19302000</v>
      </c>
      <c r="BB94" s="52"/>
      <c r="BC94" s="52"/>
      <c r="BD94" s="52"/>
      <c r="BE94" s="52"/>
      <c r="BF94" s="52"/>
      <c r="BG94" s="52"/>
      <c r="BH94" s="52"/>
      <c r="BI94" s="52"/>
      <c r="BJ94" s="52"/>
      <c r="BK94" s="52">
        <f t="shared" si="28"/>
        <v>19466000</v>
      </c>
      <c r="BL94" s="52">
        <v>19466000</v>
      </c>
      <c r="BM94" s="52"/>
      <c r="BN94" s="52"/>
      <c r="BO94" s="52"/>
      <c r="BP94" s="52"/>
      <c r="BQ94" s="52"/>
      <c r="BR94" s="52"/>
      <c r="BS94" s="52"/>
      <c r="BT94" s="52"/>
      <c r="BU94" s="53"/>
      <c r="BV94" s="54">
        <f t="shared" si="29"/>
        <v>48264400</v>
      </c>
      <c r="BW94" s="55"/>
    </row>
    <row r="95" spans="1:75" s="190" customFormat="1" ht="157.5" customHeight="1" x14ac:dyDescent="0.2">
      <c r="A95" s="206">
        <v>1</v>
      </c>
      <c r="B95" s="215" t="s">
        <v>19</v>
      </c>
      <c r="C95" s="17" t="s">
        <v>667</v>
      </c>
      <c r="D95" s="17" t="s">
        <v>149</v>
      </c>
      <c r="E95" s="82" t="s">
        <v>710</v>
      </c>
      <c r="F95" s="6" t="s">
        <v>711</v>
      </c>
      <c r="G95" s="17" t="s">
        <v>712</v>
      </c>
      <c r="H95" s="16" t="s">
        <v>713</v>
      </c>
      <c r="I95" s="6">
        <v>22</v>
      </c>
      <c r="J95" s="6" t="s">
        <v>672</v>
      </c>
      <c r="K95" s="15">
        <v>1</v>
      </c>
      <c r="L95" s="6" t="s">
        <v>672</v>
      </c>
      <c r="M95" s="208">
        <v>15</v>
      </c>
      <c r="N95" s="210">
        <v>2201</v>
      </c>
      <c r="O95" s="207" t="s">
        <v>23</v>
      </c>
      <c r="P95" s="6" t="s">
        <v>768</v>
      </c>
      <c r="Q95" s="84">
        <v>2201050</v>
      </c>
      <c r="R95" s="84">
        <v>2201050</v>
      </c>
      <c r="S95" s="17" t="s">
        <v>166</v>
      </c>
      <c r="T95" s="79" t="s">
        <v>771</v>
      </c>
      <c r="U95" s="84">
        <v>220105001</v>
      </c>
      <c r="V95" s="84">
        <v>220105001</v>
      </c>
      <c r="W95" s="48" t="s">
        <v>772</v>
      </c>
      <c r="X95" s="49" t="s">
        <v>8</v>
      </c>
      <c r="Y95" s="6">
        <v>150</v>
      </c>
      <c r="Z95" s="6">
        <v>150</v>
      </c>
      <c r="AA95" s="6">
        <v>150</v>
      </c>
      <c r="AB95" s="6">
        <v>150</v>
      </c>
      <c r="AC95" s="6">
        <v>150</v>
      </c>
      <c r="AD95" s="50">
        <f t="shared" si="25"/>
        <v>700000000</v>
      </c>
      <c r="AE95" s="52"/>
      <c r="AF95" s="52"/>
      <c r="AG95" s="52">
        <v>700000000</v>
      </c>
      <c r="AH95" s="52"/>
      <c r="AI95" s="52"/>
      <c r="AJ95" s="52"/>
      <c r="AK95" s="52"/>
      <c r="AL95" s="52"/>
      <c r="AM95" s="52"/>
      <c r="AN95" s="52"/>
      <c r="AO95" s="52">
        <f t="shared" si="26"/>
        <v>215043553</v>
      </c>
      <c r="AP95" s="52"/>
      <c r="AQ95" s="52"/>
      <c r="AR95" s="52">
        <v>215043553</v>
      </c>
      <c r="AS95" s="52"/>
      <c r="AT95" s="52"/>
      <c r="AU95" s="52"/>
      <c r="AV95" s="52"/>
      <c r="AW95" s="52"/>
      <c r="AX95" s="52"/>
      <c r="AY95" s="52"/>
      <c r="AZ95" s="52">
        <f t="shared" si="27"/>
        <v>289051860</v>
      </c>
      <c r="BA95" s="52">
        <v>67557000</v>
      </c>
      <c r="BB95" s="52"/>
      <c r="BC95" s="52">
        <v>221494860</v>
      </c>
      <c r="BD95" s="52"/>
      <c r="BE95" s="52"/>
      <c r="BF95" s="52"/>
      <c r="BG95" s="52"/>
      <c r="BH95" s="52"/>
      <c r="BI95" s="52"/>
      <c r="BJ95" s="52"/>
      <c r="BK95" s="52">
        <f t="shared" si="28"/>
        <v>296270706</v>
      </c>
      <c r="BL95" s="52">
        <v>68131000</v>
      </c>
      <c r="BM95" s="52"/>
      <c r="BN95" s="52">
        <v>228139706</v>
      </c>
      <c r="BO95" s="52"/>
      <c r="BP95" s="52"/>
      <c r="BQ95" s="52"/>
      <c r="BR95" s="52"/>
      <c r="BS95" s="52"/>
      <c r="BT95" s="52"/>
      <c r="BU95" s="53"/>
      <c r="BV95" s="54">
        <f t="shared" si="29"/>
        <v>1500366119</v>
      </c>
      <c r="BW95" s="55"/>
    </row>
    <row r="96" spans="1:75" s="190" customFormat="1" ht="189" customHeight="1" x14ac:dyDescent="0.2">
      <c r="A96" s="206">
        <v>1</v>
      </c>
      <c r="B96" s="215" t="s">
        <v>19</v>
      </c>
      <c r="C96" s="17" t="s">
        <v>667</v>
      </c>
      <c r="D96" s="17" t="s">
        <v>149</v>
      </c>
      <c r="E96" s="82" t="s">
        <v>710</v>
      </c>
      <c r="F96" s="6" t="s">
        <v>711</v>
      </c>
      <c r="G96" s="17" t="s">
        <v>712</v>
      </c>
      <c r="H96" s="16" t="s">
        <v>713</v>
      </c>
      <c r="I96" s="6">
        <v>22</v>
      </c>
      <c r="J96" s="6" t="s">
        <v>672</v>
      </c>
      <c r="K96" s="15">
        <v>1</v>
      </c>
      <c r="L96" s="6" t="s">
        <v>672</v>
      </c>
      <c r="M96" s="208">
        <v>15</v>
      </c>
      <c r="N96" s="210">
        <v>2201</v>
      </c>
      <c r="O96" s="207" t="s">
        <v>23</v>
      </c>
      <c r="P96" s="6" t="s">
        <v>773</v>
      </c>
      <c r="Q96" s="84">
        <v>2201054</v>
      </c>
      <c r="R96" s="84">
        <v>2201054</v>
      </c>
      <c r="S96" s="17" t="s">
        <v>774</v>
      </c>
      <c r="T96" s="79" t="s">
        <v>775</v>
      </c>
      <c r="U96" s="84">
        <v>220105400</v>
      </c>
      <c r="V96" s="84">
        <v>220105400</v>
      </c>
      <c r="W96" s="48" t="s">
        <v>776</v>
      </c>
      <c r="X96" s="49" t="s">
        <v>8</v>
      </c>
      <c r="Y96" s="6">
        <v>11</v>
      </c>
      <c r="Z96" s="17"/>
      <c r="AA96" s="6">
        <v>11</v>
      </c>
      <c r="AB96" s="6">
        <v>11</v>
      </c>
      <c r="AC96" s="6">
        <v>11</v>
      </c>
      <c r="AD96" s="50">
        <f t="shared" si="25"/>
        <v>0</v>
      </c>
      <c r="AE96" s="52"/>
      <c r="AF96" s="52"/>
      <c r="AG96" s="52"/>
      <c r="AH96" s="52"/>
      <c r="AI96" s="52"/>
      <c r="AJ96" s="52"/>
      <c r="AK96" s="52"/>
      <c r="AL96" s="52"/>
      <c r="AM96" s="52"/>
      <c r="AN96" s="52"/>
      <c r="AO96" s="52">
        <f t="shared" si="26"/>
        <v>10000000</v>
      </c>
      <c r="AP96" s="52"/>
      <c r="AQ96" s="52"/>
      <c r="AR96" s="52">
        <v>10000000</v>
      </c>
      <c r="AS96" s="52"/>
      <c r="AT96" s="52"/>
      <c r="AU96" s="52"/>
      <c r="AV96" s="52"/>
      <c r="AW96" s="52"/>
      <c r="AX96" s="52"/>
      <c r="AY96" s="52"/>
      <c r="AZ96" s="52">
        <f t="shared" si="27"/>
        <v>29302000</v>
      </c>
      <c r="BA96" s="52">
        <v>19302000</v>
      </c>
      <c r="BB96" s="52"/>
      <c r="BC96" s="52">
        <v>10000000</v>
      </c>
      <c r="BD96" s="52"/>
      <c r="BE96" s="52"/>
      <c r="BF96" s="52"/>
      <c r="BG96" s="52"/>
      <c r="BH96" s="52"/>
      <c r="BI96" s="52"/>
      <c r="BJ96" s="52"/>
      <c r="BK96" s="52">
        <f t="shared" si="28"/>
        <v>29466000</v>
      </c>
      <c r="BL96" s="52">
        <v>19466000</v>
      </c>
      <c r="BM96" s="52"/>
      <c r="BN96" s="52">
        <v>10000000</v>
      </c>
      <c r="BO96" s="52"/>
      <c r="BP96" s="52"/>
      <c r="BQ96" s="52"/>
      <c r="BR96" s="52"/>
      <c r="BS96" s="52"/>
      <c r="BT96" s="52"/>
      <c r="BU96" s="53"/>
      <c r="BV96" s="54">
        <f t="shared" si="29"/>
        <v>68768000</v>
      </c>
      <c r="BW96" s="55"/>
    </row>
    <row r="97" spans="1:75" s="190" customFormat="1" ht="236.25" customHeight="1" x14ac:dyDescent="0.2">
      <c r="A97" s="206">
        <v>1</v>
      </c>
      <c r="B97" s="215" t="s">
        <v>19</v>
      </c>
      <c r="C97" s="17" t="s">
        <v>667</v>
      </c>
      <c r="D97" s="17" t="s">
        <v>152</v>
      </c>
      <c r="E97" s="82" t="s">
        <v>777</v>
      </c>
      <c r="F97" s="6" t="s">
        <v>747</v>
      </c>
      <c r="G97" s="17" t="s">
        <v>778</v>
      </c>
      <c r="H97" s="16" t="s">
        <v>779</v>
      </c>
      <c r="I97" s="6">
        <v>22</v>
      </c>
      <c r="J97" s="6" t="s">
        <v>672</v>
      </c>
      <c r="K97" s="15">
        <v>1</v>
      </c>
      <c r="L97" s="6" t="s">
        <v>672</v>
      </c>
      <c r="M97" s="208">
        <v>15</v>
      </c>
      <c r="N97" s="210">
        <v>2201</v>
      </c>
      <c r="O97" s="207" t="s">
        <v>23</v>
      </c>
      <c r="P97" s="6" t="s">
        <v>780</v>
      </c>
      <c r="Q97" s="84">
        <v>2201055</v>
      </c>
      <c r="R97" s="84">
        <v>2201055</v>
      </c>
      <c r="S97" s="17" t="s">
        <v>153</v>
      </c>
      <c r="T97" s="79" t="s">
        <v>781</v>
      </c>
      <c r="U97" s="84">
        <v>220105500</v>
      </c>
      <c r="V97" s="84">
        <v>220105500</v>
      </c>
      <c r="W97" s="48" t="s">
        <v>782</v>
      </c>
      <c r="X97" s="49" t="s">
        <v>8</v>
      </c>
      <c r="Y97" s="6">
        <v>1</v>
      </c>
      <c r="Z97" s="6">
        <v>1</v>
      </c>
      <c r="AA97" s="6">
        <v>1</v>
      </c>
      <c r="AB97" s="6">
        <v>1</v>
      </c>
      <c r="AC97" s="6">
        <v>1</v>
      </c>
      <c r="AD97" s="50">
        <f t="shared" si="25"/>
        <v>52000000</v>
      </c>
      <c r="AE97" s="52"/>
      <c r="AF97" s="52"/>
      <c r="AG97" s="52">
        <v>52000000</v>
      </c>
      <c r="AH97" s="52"/>
      <c r="AI97" s="52"/>
      <c r="AJ97" s="52"/>
      <c r="AK97" s="52"/>
      <c r="AL97" s="52"/>
      <c r="AM97" s="52"/>
      <c r="AN97" s="52"/>
      <c r="AO97" s="52">
        <f t="shared" si="26"/>
        <v>55000000</v>
      </c>
      <c r="AP97" s="52"/>
      <c r="AQ97" s="52"/>
      <c r="AR97" s="52">
        <v>55000000</v>
      </c>
      <c r="AS97" s="52"/>
      <c r="AT97" s="52"/>
      <c r="AU97" s="52"/>
      <c r="AV97" s="52"/>
      <c r="AW97" s="52"/>
      <c r="AX97" s="52"/>
      <c r="AY97" s="52"/>
      <c r="AZ97" s="52">
        <f t="shared" si="27"/>
        <v>55000000</v>
      </c>
      <c r="BA97" s="52"/>
      <c r="BB97" s="52"/>
      <c r="BC97" s="52">
        <v>55000000</v>
      </c>
      <c r="BD97" s="52"/>
      <c r="BE97" s="52"/>
      <c r="BF97" s="52"/>
      <c r="BG97" s="52"/>
      <c r="BH97" s="52"/>
      <c r="BI97" s="52"/>
      <c r="BJ97" s="52"/>
      <c r="BK97" s="52">
        <f t="shared" si="28"/>
        <v>55000000</v>
      </c>
      <c r="BL97" s="52"/>
      <c r="BM97" s="52"/>
      <c r="BN97" s="52">
        <v>55000000</v>
      </c>
      <c r="BO97" s="52"/>
      <c r="BP97" s="52"/>
      <c r="BQ97" s="52"/>
      <c r="BR97" s="52"/>
      <c r="BS97" s="52"/>
      <c r="BT97" s="52"/>
      <c r="BU97" s="53"/>
      <c r="BV97" s="54">
        <f t="shared" si="29"/>
        <v>217000000</v>
      </c>
      <c r="BW97" s="55"/>
    </row>
    <row r="98" spans="1:75" s="190" customFormat="1" ht="110.25" customHeight="1" x14ac:dyDescent="0.2">
      <c r="A98" s="206">
        <v>1</v>
      </c>
      <c r="B98" s="215" t="s">
        <v>19</v>
      </c>
      <c r="C98" s="17" t="s">
        <v>667</v>
      </c>
      <c r="D98" s="17" t="s">
        <v>167</v>
      </c>
      <c r="E98" s="82">
        <v>0.05</v>
      </c>
      <c r="F98" s="6">
        <v>2019</v>
      </c>
      <c r="G98" s="17" t="s">
        <v>738</v>
      </c>
      <c r="H98" s="82">
        <v>7.0000000000000007E-2</v>
      </c>
      <c r="I98" s="6">
        <v>22</v>
      </c>
      <c r="J98" s="6" t="s">
        <v>672</v>
      </c>
      <c r="K98" s="15">
        <v>1</v>
      </c>
      <c r="L98" s="6" t="s">
        <v>672</v>
      </c>
      <c r="M98" s="208">
        <v>15</v>
      </c>
      <c r="N98" s="210">
        <v>2201</v>
      </c>
      <c r="O98" s="207" t="s">
        <v>23</v>
      </c>
      <c r="P98" s="6" t="s">
        <v>783</v>
      </c>
      <c r="Q98" s="84">
        <v>2201060</v>
      </c>
      <c r="R98" s="84">
        <v>2201060</v>
      </c>
      <c r="S98" s="17" t="s">
        <v>168</v>
      </c>
      <c r="T98" s="79" t="s">
        <v>784</v>
      </c>
      <c r="U98" s="84">
        <v>220106000</v>
      </c>
      <c r="V98" s="84">
        <v>220106000</v>
      </c>
      <c r="W98" s="48" t="s">
        <v>785</v>
      </c>
      <c r="X98" s="49" t="s">
        <v>9</v>
      </c>
      <c r="Y98" s="6">
        <v>500</v>
      </c>
      <c r="Z98" s="6">
        <v>50</v>
      </c>
      <c r="AA98" s="6">
        <v>200</v>
      </c>
      <c r="AB98" s="6">
        <v>150</v>
      </c>
      <c r="AC98" s="6">
        <v>100</v>
      </c>
      <c r="AD98" s="50">
        <f t="shared" si="25"/>
        <v>5000000</v>
      </c>
      <c r="AE98" s="52">
        <v>5000000</v>
      </c>
      <c r="AF98" s="52"/>
      <c r="AG98" s="52"/>
      <c r="AH98" s="52"/>
      <c r="AI98" s="52"/>
      <c r="AJ98" s="52"/>
      <c r="AK98" s="52"/>
      <c r="AL98" s="52"/>
      <c r="AM98" s="52"/>
      <c r="AN98" s="52"/>
      <c r="AO98" s="52">
        <f t="shared" si="26"/>
        <v>4748200</v>
      </c>
      <c r="AP98" s="52">
        <v>4748200</v>
      </c>
      <c r="AQ98" s="52"/>
      <c r="AR98" s="52"/>
      <c r="AS98" s="52"/>
      <c r="AT98" s="52"/>
      <c r="AU98" s="52"/>
      <c r="AV98" s="52"/>
      <c r="AW98" s="52"/>
      <c r="AX98" s="52"/>
      <c r="AY98" s="52"/>
      <c r="AZ98" s="52">
        <f t="shared" si="27"/>
        <v>14476500</v>
      </c>
      <c r="BA98" s="52">
        <v>14476500</v>
      </c>
      <c r="BB98" s="52"/>
      <c r="BC98" s="52"/>
      <c r="BD98" s="52"/>
      <c r="BE98" s="52"/>
      <c r="BF98" s="52"/>
      <c r="BG98" s="52"/>
      <c r="BH98" s="52"/>
      <c r="BI98" s="52"/>
      <c r="BJ98" s="52"/>
      <c r="BK98" s="52">
        <f t="shared" si="28"/>
        <v>14599500</v>
      </c>
      <c r="BL98" s="52">
        <v>14599500</v>
      </c>
      <c r="BM98" s="52"/>
      <c r="BN98" s="52"/>
      <c r="BO98" s="52"/>
      <c r="BP98" s="52"/>
      <c r="BQ98" s="52"/>
      <c r="BR98" s="52"/>
      <c r="BS98" s="52"/>
      <c r="BT98" s="52"/>
      <c r="BU98" s="53"/>
      <c r="BV98" s="54">
        <f t="shared" si="29"/>
        <v>38824200</v>
      </c>
      <c r="BW98" s="55"/>
    </row>
    <row r="99" spans="1:75" s="190" customFormat="1" ht="78.75" customHeight="1" x14ac:dyDescent="0.2">
      <c r="A99" s="206">
        <v>1</v>
      </c>
      <c r="B99" s="215" t="s">
        <v>19</v>
      </c>
      <c r="C99" s="17" t="s">
        <v>667</v>
      </c>
      <c r="D99" s="17" t="s">
        <v>152</v>
      </c>
      <c r="E99" s="82" t="s">
        <v>786</v>
      </c>
      <c r="F99" s="6" t="s">
        <v>747</v>
      </c>
      <c r="G99" s="17" t="s">
        <v>778</v>
      </c>
      <c r="H99" s="16" t="s">
        <v>779</v>
      </c>
      <c r="I99" s="6">
        <v>22</v>
      </c>
      <c r="J99" s="6" t="s">
        <v>672</v>
      </c>
      <c r="K99" s="15">
        <v>1</v>
      </c>
      <c r="L99" s="6" t="s">
        <v>672</v>
      </c>
      <c r="M99" s="208">
        <v>15</v>
      </c>
      <c r="N99" s="210">
        <v>2201</v>
      </c>
      <c r="O99" s="207" t="s">
        <v>23</v>
      </c>
      <c r="P99" s="6" t="s">
        <v>787</v>
      </c>
      <c r="Q99" s="84">
        <v>2201061</v>
      </c>
      <c r="R99" s="84">
        <v>2201061</v>
      </c>
      <c r="S99" s="17" t="s">
        <v>1651</v>
      </c>
      <c r="T99" s="79" t="s">
        <v>788</v>
      </c>
      <c r="U99" s="84">
        <v>220106102</v>
      </c>
      <c r="V99" s="84">
        <v>220106102</v>
      </c>
      <c r="W99" s="48" t="s">
        <v>789</v>
      </c>
      <c r="X99" s="49" t="s">
        <v>9</v>
      </c>
      <c r="Y99" s="6">
        <v>40</v>
      </c>
      <c r="Z99" s="6">
        <v>0</v>
      </c>
      <c r="AA99" s="6">
        <v>12</v>
      </c>
      <c r="AB99" s="6">
        <v>14</v>
      </c>
      <c r="AC99" s="6">
        <v>14</v>
      </c>
      <c r="AD99" s="50">
        <f t="shared" si="25"/>
        <v>0</v>
      </c>
      <c r="AE99" s="52"/>
      <c r="AF99" s="52"/>
      <c r="AG99" s="52"/>
      <c r="AH99" s="52"/>
      <c r="AI99" s="52"/>
      <c r="AJ99" s="52"/>
      <c r="AK99" s="52"/>
      <c r="AL99" s="52"/>
      <c r="AM99" s="52"/>
      <c r="AN99" s="52"/>
      <c r="AO99" s="52">
        <f t="shared" si="26"/>
        <v>9496400</v>
      </c>
      <c r="AP99" s="52">
        <v>9496400</v>
      </c>
      <c r="AQ99" s="52"/>
      <c r="AR99" s="52"/>
      <c r="AS99" s="52"/>
      <c r="AT99" s="52"/>
      <c r="AU99" s="52"/>
      <c r="AV99" s="52"/>
      <c r="AW99" s="52"/>
      <c r="AX99" s="52"/>
      <c r="AY99" s="52"/>
      <c r="AZ99" s="52">
        <f t="shared" si="27"/>
        <v>28953000</v>
      </c>
      <c r="BA99" s="52">
        <v>28953000</v>
      </c>
      <c r="BB99" s="52"/>
      <c r="BC99" s="52"/>
      <c r="BD99" s="52"/>
      <c r="BE99" s="52"/>
      <c r="BF99" s="52"/>
      <c r="BG99" s="52"/>
      <c r="BH99" s="52"/>
      <c r="BI99" s="52"/>
      <c r="BJ99" s="52"/>
      <c r="BK99" s="52">
        <f t="shared" si="28"/>
        <v>29199000</v>
      </c>
      <c r="BL99" s="52">
        <v>29199000</v>
      </c>
      <c r="BM99" s="52"/>
      <c r="BN99" s="52"/>
      <c r="BO99" s="52"/>
      <c r="BP99" s="52"/>
      <c r="BQ99" s="52"/>
      <c r="BR99" s="52"/>
      <c r="BS99" s="52"/>
      <c r="BT99" s="52"/>
      <c r="BU99" s="53"/>
      <c r="BV99" s="54">
        <f t="shared" si="29"/>
        <v>67648400</v>
      </c>
      <c r="BW99" s="55"/>
    </row>
    <row r="100" spans="1:75" s="190" customFormat="1" ht="126" customHeight="1" x14ac:dyDescent="0.2">
      <c r="A100" s="206">
        <v>1</v>
      </c>
      <c r="B100" s="215" t="s">
        <v>19</v>
      </c>
      <c r="C100" s="17" t="s">
        <v>667</v>
      </c>
      <c r="D100" s="17" t="s">
        <v>162</v>
      </c>
      <c r="E100" s="16" t="s">
        <v>704</v>
      </c>
      <c r="F100" s="6" t="s">
        <v>571</v>
      </c>
      <c r="G100" s="17" t="s">
        <v>705</v>
      </c>
      <c r="H100" s="16" t="s">
        <v>706</v>
      </c>
      <c r="I100" s="6">
        <v>22</v>
      </c>
      <c r="J100" s="6" t="s">
        <v>672</v>
      </c>
      <c r="K100" s="15">
        <v>1</v>
      </c>
      <c r="L100" s="15" t="s">
        <v>672</v>
      </c>
      <c r="M100" s="208">
        <v>15</v>
      </c>
      <c r="N100" s="210">
        <v>2201</v>
      </c>
      <c r="O100" s="207" t="s">
        <v>23</v>
      </c>
      <c r="P100" s="6" t="s">
        <v>790</v>
      </c>
      <c r="Q100" s="84">
        <v>2201063</v>
      </c>
      <c r="R100" s="84">
        <v>2201063</v>
      </c>
      <c r="S100" s="17" t="s">
        <v>791</v>
      </c>
      <c r="T100" s="79" t="s">
        <v>792</v>
      </c>
      <c r="U100" s="84">
        <v>220106300</v>
      </c>
      <c r="V100" s="84">
        <v>220106300</v>
      </c>
      <c r="W100" s="48" t="s">
        <v>793</v>
      </c>
      <c r="X100" s="49" t="s">
        <v>9</v>
      </c>
      <c r="Y100" s="6">
        <v>5</v>
      </c>
      <c r="Z100" s="17"/>
      <c r="AA100" s="6">
        <v>2</v>
      </c>
      <c r="AB100" s="6">
        <v>2</v>
      </c>
      <c r="AC100" s="6">
        <v>1</v>
      </c>
      <c r="AD100" s="50">
        <f t="shared" si="25"/>
        <v>0</v>
      </c>
      <c r="AE100" s="52"/>
      <c r="AF100" s="52"/>
      <c r="AG100" s="52"/>
      <c r="AH100" s="52"/>
      <c r="AI100" s="52"/>
      <c r="AJ100" s="52"/>
      <c r="AK100" s="52"/>
      <c r="AL100" s="52"/>
      <c r="AM100" s="52"/>
      <c r="AN100" s="52"/>
      <c r="AO100" s="52">
        <f t="shared" si="26"/>
        <v>949640</v>
      </c>
      <c r="AP100" s="52">
        <v>949640</v>
      </c>
      <c r="AQ100" s="52"/>
      <c r="AR100" s="52"/>
      <c r="AS100" s="52"/>
      <c r="AT100" s="52"/>
      <c r="AU100" s="52"/>
      <c r="AV100" s="52"/>
      <c r="AW100" s="52"/>
      <c r="AX100" s="52"/>
      <c r="AY100" s="52"/>
      <c r="AZ100" s="52">
        <f t="shared" si="27"/>
        <v>9651000</v>
      </c>
      <c r="BA100" s="52">
        <v>9651000</v>
      </c>
      <c r="BB100" s="52"/>
      <c r="BC100" s="52"/>
      <c r="BD100" s="52"/>
      <c r="BE100" s="52"/>
      <c r="BF100" s="52"/>
      <c r="BG100" s="52"/>
      <c r="BH100" s="52"/>
      <c r="BI100" s="52"/>
      <c r="BJ100" s="52"/>
      <c r="BK100" s="52">
        <f t="shared" si="28"/>
        <v>9733000</v>
      </c>
      <c r="BL100" s="52">
        <v>9733000</v>
      </c>
      <c r="BM100" s="52"/>
      <c r="BN100" s="52"/>
      <c r="BO100" s="52"/>
      <c r="BP100" s="52"/>
      <c r="BQ100" s="52"/>
      <c r="BR100" s="52"/>
      <c r="BS100" s="52"/>
      <c r="BT100" s="52"/>
      <c r="BU100" s="53"/>
      <c r="BV100" s="54">
        <f t="shared" si="29"/>
        <v>20333640</v>
      </c>
      <c r="BW100" s="55"/>
    </row>
    <row r="101" spans="1:75" s="190" customFormat="1" ht="78.75" customHeight="1" x14ac:dyDescent="0.2">
      <c r="A101" s="206">
        <v>1</v>
      </c>
      <c r="B101" s="215" t="s">
        <v>19</v>
      </c>
      <c r="C101" s="17" t="s">
        <v>667</v>
      </c>
      <c r="D101" s="17" t="s">
        <v>171</v>
      </c>
      <c r="E101" s="90">
        <v>0.623</v>
      </c>
      <c r="F101" s="6">
        <v>2018</v>
      </c>
      <c r="G101" s="17" t="s">
        <v>794</v>
      </c>
      <c r="H101" s="82">
        <v>0.65</v>
      </c>
      <c r="I101" s="6">
        <v>22</v>
      </c>
      <c r="J101" s="6" t="s">
        <v>672</v>
      </c>
      <c r="K101" s="15">
        <v>1</v>
      </c>
      <c r="L101" s="15" t="s">
        <v>672</v>
      </c>
      <c r="M101" s="208">
        <v>15</v>
      </c>
      <c r="N101" s="210">
        <v>2201</v>
      </c>
      <c r="O101" s="207" t="s">
        <v>23</v>
      </c>
      <c r="P101" s="6" t="s">
        <v>795</v>
      </c>
      <c r="Q101" s="84">
        <v>2201066</v>
      </c>
      <c r="R101" s="84">
        <v>2201066</v>
      </c>
      <c r="S101" s="17" t="s">
        <v>796</v>
      </c>
      <c r="T101" s="79" t="s">
        <v>797</v>
      </c>
      <c r="U101" s="84">
        <v>220106600</v>
      </c>
      <c r="V101" s="84">
        <v>220106600</v>
      </c>
      <c r="W101" s="48" t="s">
        <v>798</v>
      </c>
      <c r="X101" s="49" t="s">
        <v>9</v>
      </c>
      <c r="Y101" s="6">
        <v>29496</v>
      </c>
      <c r="Z101" s="17"/>
      <c r="AA101" s="6">
        <v>10000</v>
      </c>
      <c r="AB101" s="6">
        <v>10000</v>
      </c>
      <c r="AC101" s="6">
        <v>9496</v>
      </c>
      <c r="AD101" s="50">
        <f t="shared" si="25"/>
        <v>0</v>
      </c>
      <c r="AE101" s="52"/>
      <c r="AF101" s="52"/>
      <c r="AG101" s="52"/>
      <c r="AH101" s="52"/>
      <c r="AI101" s="52"/>
      <c r="AJ101" s="52"/>
      <c r="AK101" s="52"/>
      <c r="AL101" s="52"/>
      <c r="AM101" s="52"/>
      <c r="AN101" s="52"/>
      <c r="AO101" s="52">
        <f t="shared" si="26"/>
        <v>9496400</v>
      </c>
      <c r="AP101" s="52">
        <v>9496400</v>
      </c>
      <c r="AQ101" s="52"/>
      <c r="AR101" s="52"/>
      <c r="AS101" s="52"/>
      <c r="AT101" s="52"/>
      <c r="AU101" s="52"/>
      <c r="AV101" s="52"/>
      <c r="AW101" s="52"/>
      <c r="AX101" s="52"/>
      <c r="AY101" s="52"/>
      <c r="AZ101" s="52">
        <f t="shared" si="27"/>
        <v>24127500</v>
      </c>
      <c r="BA101" s="52">
        <v>24127500</v>
      </c>
      <c r="BB101" s="52"/>
      <c r="BC101" s="52"/>
      <c r="BD101" s="52"/>
      <c r="BE101" s="52"/>
      <c r="BF101" s="52"/>
      <c r="BG101" s="52"/>
      <c r="BH101" s="52"/>
      <c r="BI101" s="52"/>
      <c r="BJ101" s="52"/>
      <c r="BK101" s="52">
        <f t="shared" si="28"/>
        <v>24332500</v>
      </c>
      <c r="BL101" s="52">
        <v>24332500</v>
      </c>
      <c r="BM101" s="52"/>
      <c r="BN101" s="52"/>
      <c r="BO101" s="52"/>
      <c r="BP101" s="52"/>
      <c r="BQ101" s="52"/>
      <c r="BR101" s="52"/>
      <c r="BS101" s="52"/>
      <c r="BT101" s="52"/>
      <c r="BU101" s="53"/>
      <c r="BV101" s="54">
        <f t="shared" si="29"/>
        <v>57956400</v>
      </c>
      <c r="BW101" s="55"/>
    </row>
    <row r="102" spans="1:75" s="190" customFormat="1" ht="157.5" customHeight="1" x14ac:dyDescent="0.2">
      <c r="A102" s="206">
        <v>1</v>
      </c>
      <c r="B102" s="215" t="s">
        <v>19</v>
      </c>
      <c r="C102" s="17" t="s">
        <v>667</v>
      </c>
      <c r="D102" s="17" t="s">
        <v>149</v>
      </c>
      <c r="E102" s="82" t="s">
        <v>710</v>
      </c>
      <c r="F102" s="6" t="s">
        <v>711</v>
      </c>
      <c r="G102" s="17" t="s">
        <v>712</v>
      </c>
      <c r="H102" s="16" t="s">
        <v>713</v>
      </c>
      <c r="I102" s="6">
        <v>22</v>
      </c>
      <c r="J102" s="6" t="s">
        <v>672</v>
      </c>
      <c r="K102" s="15">
        <v>1</v>
      </c>
      <c r="L102" s="15" t="s">
        <v>672</v>
      </c>
      <c r="M102" s="208">
        <v>15</v>
      </c>
      <c r="N102" s="210">
        <v>2201</v>
      </c>
      <c r="O102" s="207" t="s">
        <v>23</v>
      </c>
      <c r="P102" s="6" t="s">
        <v>799</v>
      </c>
      <c r="Q102" s="84">
        <v>2201067</v>
      </c>
      <c r="R102" s="84">
        <v>2201067</v>
      </c>
      <c r="S102" s="17" t="s">
        <v>800</v>
      </c>
      <c r="T102" s="79" t="s">
        <v>801</v>
      </c>
      <c r="U102" s="84">
        <v>220106700</v>
      </c>
      <c r="V102" s="84">
        <v>220106700</v>
      </c>
      <c r="W102" s="48" t="s">
        <v>802</v>
      </c>
      <c r="X102" s="49" t="s">
        <v>8</v>
      </c>
      <c r="Y102" s="6">
        <v>54</v>
      </c>
      <c r="Z102" s="17"/>
      <c r="AA102" s="6">
        <v>54</v>
      </c>
      <c r="AB102" s="6">
        <v>54</v>
      </c>
      <c r="AC102" s="6">
        <v>54</v>
      </c>
      <c r="AD102" s="50">
        <f t="shared" si="25"/>
        <v>0</v>
      </c>
      <c r="AE102" s="52"/>
      <c r="AF102" s="52"/>
      <c r="AG102" s="52"/>
      <c r="AH102" s="52"/>
      <c r="AI102" s="52"/>
      <c r="AJ102" s="52"/>
      <c r="AK102" s="52"/>
      <c r="AL102" s="52"/>
      <c r="AM102" s="52"/>
      <c r="AN102" s="52"/>
      <c r="AO102" s="52">
        <f t="shared" si="26"/>
        <v>9496400</v>
      </c>
      <c r="AP102" s="52">
        <v>9496400</v>
      </c>
      <c r="AQ102" s="52"/>
      <c r="AR102" s="52"/>
      <c r="AS102" s="52"/>
      <c r="AT102" s="52"/>
      <c r="AU102" s="52"/>
      <c r="AV102" s="52"/>
      <c r="AW102" s="52"/>
      <c r="AX102" s="52"/>
      <c r="AY102" s="52"/>
      <c r="AZ102" s="52">
        <f t="shared" si="27"/>
        <v>19302000</v>
      </c>
      <c r="BA102" s="52">
        <v>19302000</v>
      </c>
      <c r="BB102" s="52"/>
      <c r="BC102" s="52"/>
      <c r="BD102" s="52"/>
      <c r="BE102" s="52"/>
      <c r="BF102" s="52"/>
      <c r="BG102" s="52"/>
      <c r="BH102" s="52"/>
      <c r="BI102" s="52"/>
      <c r="BJ102" s="52"/>
      <c r="BK102" s="52">
        <f t="shared" si="28"/>
        <v>19466000</v>
      </c>
      <c r="BL102" s="52">
        <v>19466000</v>
      </c>
      <c r="BM102" s="52"/>
      <c r="BN102" s="52"/>
      <c r="BO102" s="52"/>
      <c r="BP102" s="52"/>
      <c r="BQ102" s="52"/>
      <c r="BR102" s="52"/>
      <c r="BS102" s="52"/>
      <c r="BT102" s="52"/>
      <c r="BU102" s="53"/>
      <c r="BV102" s="54">
        <f t="shared" si="29"/>
        <v>48264400</v>
      </c>
      <c r="BW102" s="55"/>
    </row>
    <row r="103" spans="1:75" s="190" customFormat="1" ht="126" customHeight="1" x14ac:dyDescent="0.2">
      <c r="A103" s="206">
        <v>1</v>
      </c>
      <c r="B103" s="215" t="s">
        <v>19</v>
      </c>
      <c r="C103" s="17" t="s">
        <v>667</v>
      </c>
      <c r="D103" s="17" t="s">
        <v>1582</v>
      </c>
      <c r="E103" s="88">
        <v>0.75939999999999996</v>
      </c>
      <c r="F103" s="6">
        <v>2019</v>
      </c>
      <c r="G103" s="17" t="s">
        <v>1583</v>
      </c>
      <c r="H103" s="88">
        <v>1</v>
      </c>
      <c r="I103" s="6">
        <v>22</v>
      </c>
      <c r="J103" s="6" t="s">
        <v>672</v>
      </c>
      <c r="K103" s="15">
        <v>1</v>
      </c>
      <c r="L103" s="6" t="s">
        <v>672</v>
      </c>
      <c r="M103" s="208">
        <v>15</v>
      </c>
      <c r="N103" s="210">
        <v>2201</v>
      </c>
      <c r="O103" s="207" t="s">
        <v>23</v>
      </c>
      <c r="P103" s="6" t="s">
        <v>803</v>
      </c>
      <c r="Q103" s="84">
        <v>2201068</v>
      </c>
      <c r="R103" s="84">
        <v>2201068</v>
      </c>
      <c r="S103" s="17" t="s">
        <v>65</v>
      </c>
      <c r="T103" s="79" t="s">
        <v>804</v>
      </c>
      <c r="U103" s="84">
        <v>220106800</v>
      </c>
      <c r="V103" s="84">
        <v>220106800</v>
      </c>
      <c r="W103" s="48" t="s">
        <v>805</v>
      </c>
      <c r="X103" s="49" t="s">
        <v>9</v>
      </c>
      <c r="Y103" s="6">
        <v>266</v>
      </c>
      <c r="Z103" s="6">
        <v>48</v>
      </c>
      <c r="AA103" s="6">
        <v>70</v>
      </c>
      <c r="AB103" s="6">
        <v>76</v>
      </c>
      <c r="AC103" s="6">
        <v>72</v>
      </c>
      <c r="AD103" s="50">
        <f t="shared" si="25"/>
        <v>56644667</v>
      </c>
      <c r="AE103" s="52">
        <f>21866667+34778000</f>
        <v>56644667</v>
      </c>
      <c r="AF103" s="52"/>
      <c r="AG103" s="52"/>
      <c r="AH103" s="52"/>
      <c r="AI103" s="52"/>
      <c r="AJ103" s="52"/>
      <c r="AK103" s="52"/>
      <c r="AL103" s="52"/>
      <c r="AM103" s="52"/>
      <c r="AN103" s="52"/>
      <c r="AO103" s="52">
        <f t="shared" si="26"/>
        <v>29571893.649999999</v>
      </c>
      <c r="AP103" s="52">
        <f>20773333.65+3798560</f>
        <v>24571893.649999999</v>
      </c>
      <c r="AQ103" s="52"/>
      <c r="AR103" s="52">
        <v>5000000</v>
      </c>
      <c r="AS103" s="52"/>
      <c r="AT103" s="52"/>
      <c r="AU103" s="52"/>
      <c r="AV103" s="52"/>
      <c r="AW103" s="52"/>
      <c r="AX103" s="52"/>
      <c r="AY103" s="52"/>
      <c r="AZ103" s="52">
        <f t="shared" si="27"/>
        <v>73346418.986599997</v>
      </c>
      <c r="BA103" s="52">
        <f>21103520.3217+47242898.6649</f>
        <v>68346418.986599997</v>
      </c>
      <c r="BB103" s="52"/>
      <c r="BC103" s="52">
        <v>5000000</v>
      </c>
      <c r="BD103" s="52"/>
      <c r="BE103" s="52"/>
      <c r="BF103" s="52"/>
      <c r="BG103" s="52"/>
      <c r="BH103" s="52"/>
      <c r="BI103" s="52"/>
      <c r="BJ103" s="52"/>
      <c r="BK103" s="52">
        <f t="shared" si="28"/>
        <v>76976799.316699997</v>
      </c>
      <c r="BL103" s="52">
        <f>24332500+47644299.3167</f>
        <v>71976799.316699997</v>
      </c>
      <c r="BM103" s="52"/>
      <c r="BN103" s="52">
        <v>5000000</v>
      </c>
      <c r="BO103" s="52"/>
      <c r="BP103" s="52"/>
      <c r="BQ103" s="52"/>
      <c r="BR103" s="52"/>
      <c r="BS103" s="52"/>
      <c r="BT103" s="52"/>
      <c r="BU103" s="53"/>
      <c r="BV103" s="54">
        <f t="shared" si="29"/>
        <v>236539778.9533</v>
      </c>
      <c r="BW103" s="77"/>
    </row>
    <row r="104" spans="1:75" s="190" customFormat="1" ht="141.75" customHeight="1" x14ac:dyDescent="0.2">
      <c r="A104" s="206">
        <v>1</v>
      </c>
      <c r="B104" s="215" t="s">
        <v>19</v>
      </c>
      <c r="C104" s="17" t="s">
        <v>667</v>
      </c>
      <c r="D104" s="17" t="s">
        <v>162</v>
      </c>
      <c r="E104" s="16" t="s">
        <v>704</v>
      </c>
      <c r="F104" s="6" t="s">
        <v>571</v>
      </c>
      <c r="G104" s="17" t="s">
        <v>806</v>
      </c>
      <c r="H104" s="16" t="s">
        <v>807</v>
      </c>
      <c r="I104" s="6">
        <v>22</v>
      </c>
      <c r="J104" s="6" t="s">
        <v>672</v>
      </c>
      <c r="K104" s="15">
        <v>1</v>
      </c>
      <c r="L104" s="15" t="s">
        <v>672</v>
      </c>
      <c r="M104" s="208">
        <v>15</v>
      </c>
      <c r="N104" s="210">
        <v>2201</v>
      </c>
      <c r="O104" s="207" t="s">
        <v>23</v>
      </c>
      <c r="P104" s="6" t="s">
        <v>808</v>
      </c>
      <c r="Q104" s="84">
        <v>2201069</v>
      </c>
      <c r="R104" s="84">
        <v>2201069</v>
      </c>
      <c r="S104" s="17" t="s">
        <v>809</v>
      </c>
      <c r="T104" s="79" t="s">
        <v>810</v>
      </c>
      <c r="U104" s="84">
        <v>220106900</v>
      </c>
      <c r="V104" s="84">
        <v>220106900</v>
      </c>
      <c r="W104" s="48" t="s">
        <v>811</v>
      </c>
      <c r="X104" s="49" t="s">
        <v>9</v>
      </c>
      <c r="Y104" s="6">
        <v>12</v>
      </c>
      <c r="Z104" s="6">
        <v>0</v>
      </c>
      <c r="AA104" s="6">
        <v>3</v>
      </c>
      <c r="AB104" s="6">
        <v>5</v>
      </c>
      <c r="AC104" s="6">
        <v>4</v>
      </c>
      <c r="AD104" s="50">
        <f t="shared" si="25"/>
        <v>0</v>
      </c>
      <c r="AE104" s="52"/>
      <c r="AF104" s="52"/>
      <c r="AG104" s="52"/>
      <c r="AH104" s="52"/>
      <c r="AI104" s="52"/>
      <c r="AJ104" s="52"/>
      <c r="AK104" s="52"/>
      <c r="AL104" s="52"/>
      <c r="AM104" s="52"/>
      <c r="AN104" s="52"/>
      <c r="AO104" s="52">
        <f t="shared" si="26"/>
        <v>4748200</v>
      </c>
      <c r="AP104" s="52">
        <v>4748200</v>
      </c>
      <c r="AQ104" s="52"/>
      <c r="AR104" s="52"/>
      <c r="AS104" s="52"/>
      <c r="AT104" s="52"/>
      <c r="AU104" s="52"/>
      <c r="AV104" s="52"/>
      <c r="AW104" s="52"/>
      <c r="AX104" s="52"/>
      <c r="AY104" s="52"/>
      <c r="AZ104" s="52">
        <f t="shared" si="27"/>
        <v>48255000</v>
      </c>
      <c r="BA104" s="52">
        <v>48255000</v>
      </c>
      <c r="BB104" s="52"/>
      <c r="BC104" s="52"/>
      <c r="BD104" s="52"/>
      <c r="BE104" s="52"/>
      <c r="BF104" s="52"/>
      <c r="BG104" s="52"/>
      <c r="BH104" s="52"/>
      <c r="BI104" s="52"/>
      <c r="BJ104" s="52"/>
      <c r="BK104" s="52">
        <f t="shared" si="28"/>
        <v>48665000</v>
      </c>
      <c r="BL104" s="52">
        <v>48665000</v>
      </c>
      <c r="BM104" s="52"/>
      <c r="BN104" s="52"/>
      <c r="BO104" s="52"/>
      <c r="BP104" s="52"/>
      <c r="BQ104" s="52"/>
      <c r="BR104" s="52"/>
      <c r="BS104" s="52"/>
      <c r="BT104" s="52"/>
      <c r="BU104" s="53"/>
      <c r="BV104" s="54">
        <f t="shared" si="29"/>
        <v>101668200</v>
      </c>
      <c r="BW104" s="55"/>
    </row>
    <row r="105" spans="1:75" s="190" customFormat="1" ht="94.5" customHeight="1" x14ac:dyDescent="0.2">
      <c r="A105" s="206">
        <v>1</v>
      </c>
      <c r="B105" s="215" t="s">
        <v>19</v>
      </c>
      <c r="C105" s="17" t="s">
        <v>324</v>
      </c>
      <c r="D105" s="17" t="s">
        <v>156</v>
      </c>
      <c r="E105" s="82" t="s">
        <v>819</v>
      </c>
      <c r="F105" s="6" t="s">
        <v>475</v>
      </c>
      <c r="G105" s="17" t="s">
        <v>820</v>
      </c>
      <c r="H105" s="16" t="s">
        <v>821</v>
      </c>
      <c r="I105" s="6">
        <v>22</v>
      </c>
      <c r="J105" s="6" t="s">
        <v>672</v>
      </c>
      <c r="K105" s="15">
        <v>1</v>
      </c>
      <c r="L105" s="6" t="s">
        <v>672</v>
      </c>
      <c r="M105" s="208">
        <v>15</v>
      </c>
      <c r="N105" s="210">
        <v>2201</v>
      </c>
      <c r="O105" s="207" t="s">
        <v>23</v>
      </c>
      <c r="P105" s="6" t="s">
        <v>822</v>
      </c>
      <c r="Q105" s="84">
        <v>2201071</v>
      </c>
      <c r="R105" s="84">
        <v>2201071</v>
      </c>
      <c r="S105" s="91" t="s">
        <v>157</v>
      </c>
      <c r="T105" s="79" t="s">
        <v>823</v>
      </c>
      <c r="U105" s="84">
        <v>220107100</v>
      </c>
      <c r="V105" s="84">
        <v>220107100</v>
      </c>
      <c r="W105" s="48" t="s">
        <v>824</v>
      </c>
      <c r="X105" s="49" t="s">
        <v>8</v>
      </c>
      <c r="Y105" s="6">
        <v>54</v>
      </c>
      <c r="Z105" s="6">
        <v>54</v>
      </c>
      <c r="AA105" s="6">
        <v>54</v>
      </c>
      <c r="AB105" s="6">
        <v>54</v>
      </c>
      <c r="AC105" s="6">
        <v>54</v>
      </c>
      <c r="AD105" s="50">
        <f t="shared" si="25"/>
        <v>155683135464.94</v>
      </c>
      <c r="AE105" s="52"/>
      <c r="AF105" s="52"/>
      <c r="AG105" s="52">
        <v>155683135464.94</v>
      </c>
      <c r="AH105" s="52"/>
      <c r="AI105" s="52"/>
      <c r="AJ105" s="52"/>
      <c r="AK105" s="52"/>
      <c r="AL105" s="52"/>
      <c r="AM105" s="52"/>
      <c r="AN105" s="52"/>
      <c r="AO105" s="52">
        <f t="shared" si="26"/>
        <v>170778569599.94519</v>
      </c>
      <c r="AP105" s="52">
        <v>1134768979.9452</v>
      </c>
      <c r="AQ105" s="52">
        <v>2367749820</v>
      </c>
      <c r="AR105" s="52">
        <v>167276050800</v>
      </c>
      <c r="AS105" s="52"/>
      <c r="AT105" s="52"/>
      <c r="AU105" s="52"/>
      <c r="AV105" s="52"/>
      <c r="AW105" s="52"/>
      <c r="AX105" s="52"/>
      <c r="AY105" s="52"/>
      <c r="AZ105" s="52">
        <f t="shared" si="27"/>
        <v>184327685864</v>
      </c>
      <c r="BA105" s="52">
        <v>974751000</v>
      </c>
      <c r="BB105" s="52">
        <v>2696000000</v>
      </c>
      <c r="BC105" s="52">
        <v>180656934864</v>
      </c>
      <c r="BD105" s="52"/>
      <c r="BE105" s="52"/>
      <c r="BF105" s="52"/>
      <c r="BG105" s="52"/>
      <c r="BH105" s="52"/>
      <c r="BI105" s="52"/>
      <c r="BJ105" s="52"/>
      <c r="BK105" s="52">
        <f t="shared" si="28"/>
        <v>200557515104</v>
      </c>
      <c r="BL105" s="52">
        <v>2354412700</v>
      </c>
      <c r="BM105" s="52">
        <v>3094812751</v>
      </c>
      <c r="BN105" s="52">
        <v>195108289653</v>
      </c>
      <c r="BO105" s="52"/>
      <c r="BP105" s="52"/>
      <c r="BQ105" s="52"/>
      <c r="BR105" s="52"/>
      <c r="BS105" s="52"/>
      <c r="BT105" s="52"/>
      <c r="BU105" s="53"/>
      <c r="BV105" s="54">
        <f t="shared" si="29"/>
        <v>711346906032.88525</v>
      </c>
      <c r="BW105" s="55"/>
    </row>
    <row r="106" spans="1:75" s="190" customFormat="1" ht="157.5" customHeight="1" x14ac:dyDescent="0.2">
      <c r="A106" s="206">
        <v>1</v>
      </c>
      <c r="B106" s="215" t="s">
        <v>19</v>
      </c>
      <c r="C106" s="17" t="s">
        <v>667</v>
      </c>
      <c r="D106" s="17" t="s">
        <v>162</v>
      </c>
      <c r="E106" s="16" t="s">
        <v>704</v>
      </c>
      <c r="F106" s="6" t="s">
        <v>571</v>
      </c>
      <c r="G106" s="17" t="s">
        <v>705</v>
      </c>
      <c r="H106" s="16" t="s">
        <v>706</v>
      </c>
      <c r="I106" s="6">
        <v>22</v>
      </c>
      <c r="J106" s="6" t="s">
        <v>672</v>
      </c>
      <c r="K106" s="15">
        <v>1</v>
      </c>
      <c r="L106" s="15" t="s">
        <v>672</v>
      </c>
      <c r="M106" s="208">
        <v>15</v>
      </c>
      <c r="N106" s="210">
        <v>2201</v>
      </c>
      <c r="O106" s="207" t="s">
        <v>23</v>
      </c>
      <c r="P106" s="6" t="s">
        <v>812</v>
      </c>
      <c r="Q106" s="6" t="s">
        <v>77</v>
      </c>
      <c r="R106" s="6">
        <v>2201001</v>
      </c>
      <c r="S106" s="17" t="s">
        <v>813</v>
      </c>
      <c r="T106" s="79" t="s">
        <v>814</v>
      </c>
      <c r="U106" s="6" t="s">
        <v>77</v>
      </c>
      <c r="V106" s="6">
        <v>220100100</v>
      </c>
      <c r="W106" s="48" t="s">
        <v>815</v>
      </c>
      <c r="X106" s="49" t="s">
        <v>8</v>
      </c>
      <c r="Y106" s="6">
        <v>2</v>
      </c>
      <c r="Z106" s="6">
        <v>0</v>
      </c>
      <c r="AA106" s="6">
        <v>2</v>
      </c>
      <c r="AB106" s="6">
        <v>2</v>
      </c>
      <c r="AC106" s="6">
        <v>2</v>
      </c>
      <c r="AD106" s="50">
        <f t="shared" si="25"/>
        <v>0</v>
      </c>
      <c r="AE106" s="52"/>
      <c r="AF106" s="52"/>
      <c r="AG106" s="52"/>
      <c r="AH106" s="52"/>
      <c r="AI106" s="52"/>
      <c r="AJ106" s="52"/>
      <c r="AK106" s="52"/>
      <c r="AL106" s="52"/>
      <c r="AM106" s="52"/>
      <c r="AN106" s="52"/>
      <c r="AO106" s="52">
        <f t="shared" si="26"/>
        <v>9496400</v>
      </c>
      <c r="AP106" s="52">
        <v>9496400</v>
      </c>
      <c r="AQ106" s="52"/>
      <c r="AR106" s="52"/>
      <c r="AS106" s="52"/>
      <c r="AT106" s="52"/>
      <c r="AU106" s="52"/>
      <c r="AV106" s="52"/>
      <c r="AW106" s="52"/>
      <c r="AX106" s="52"/>
      <c r="AY106" s="52"/>
      <c r="AZ106" s="52">
        <f t="shared" si="27"/>
        <v>48255000</v>
      </c>
      <c r="BA106" s="52">
        <v>48255000</v>
      </c>
      <c r="BB106" s="52"/>
      <c r="BC106" s="52"/>
      <c r="BD106" s="52"/>
      <c r="BE106" s="52"/>
      <c r="BF106" s="52"/>
      <c r="BG106" s="52"/>
      <c r="BH106" s="52"/>
      <c r="BI106" s="52"/>
      <c r="BJ106" s="52"/>
      <c r="BK106" s="52">
        <f t="shared" si="28"/>
        <v>48665000</v>
      </c>
      <c r="BL106" s="52">
        <v>48665000</v>
      </c>
      <c r="BM106" s="52"/>
      <c r="BN106" s="52"/>
      <c r="BO106" s="52"/>
      <c r="BP106" s="52"/>
      <c r="BQ106" s="52"/>
      <c r="BR106" s="52"/>
      <c r="BS106" s="52"/>
      <c r="BT106" s="52"/>
      <c r="BU106" s="53"/>
      <c r="BV106" s="54">
        <f t="shared" si="29"/>
        <v>106416400</v>
      </c>
      <c r="BW106" s="55"/>
    </row>
    <row r="107" spans="1:75" s="190" customFormat="1" ht="141.75" customHeight="1" x14ac:dyDescent="0.2">
      <c r="A107" s="206">
        <v>1</v>
      </c>
      <c r="B107" s="215" t="s">
        <v>19</v>
      </c>
      <c r="C107" s="17" t="s">
        <v>667</v>
      </c>
      <c r="D107" s="17" t="s">
        <v>24</v>
      </c>
      <c r="E107" s="82" t="s">
        <v>704</v>
      </c>
      <c r="F107" s="6" t="s">
        <v>571</v>
      </c>
      <c r="G107" s="17" t="s">
        <v>816</v>
      </c>
      <c r="H107" s="16" t="s">
        <v>706</v>
      </c>
      <c r="I107" s="6">
        <v>22</v>
      </c>
      <c r="J107" s="6" t="s">
        <v>672</v>
      </c>
      <c r="K107" s="15">
        <v>1</v>
      </c>
      <c r="L107" s="6" t="s">
        <v>672</v>
      </c>
      <c r="M107" s="208">
        <v>15</v>
      </c>
      <c r="N107" s="210">
        <v>2201</v>
      </c>
      <c r="O107" s="207" t="s">
        <v>23</v>
      </c>
      <c r="P107" s="6" t="s">
        <v>817</v>
      </c>
      <c r="Q107" s="6" t="s">
        <v>77</v>
      </c>
      <c r="R107" s="6">
        <v>2201062</v>
      </c>
      <c r="S107" s="17" t="s">
        <v>25</v>
      </c>
      <c r="T107" s="79" t="s">
        <v>818</v>
      </c>
      <c r="U107" s="6" t="s">
        <v>77</v>
      </c>
      <c r="V107" s="6">
        <v>220106200</v>
      </c>
      <c r="W107" s="48" t="s">
        <v>161</v>
      </c>
      <c r="X107" s="49" t="s">
        <v>9</v>
      </c>
      <c r="Y107" s="6">
        <v>54</v>
      </c>
      <c r="Z107" s="6">
        <v>9</v>
      </c>
      <c r="AA107" s="6">
        <v>15</v>
      </c>
      <c r="AB107" s="6">
        <v>15</v>
      </c>
      <c r="AC107" s="6">
        <v>15</v>
      </c>
      <c r="AD107" s="50">
        <f t="shared" si="25"/>
        <v>3174263958.52</v>
      </c>
      <c r="AE107" s="52">
        <v>25000000</v>
      </c>
      <c r="AF107" s="52">
        <f>2575091000+372570330</f>
        <v>2947661330</v>
      </c>
      <c r="AG107" s="52">
        <v>12426628.52</v>
      </c>
      <c r="AH107" s="52"/>
      <c r="AI107" s="52"/>
      <c r="AJ107" s="52"/>
      <c r="AK107" s="52"/>
      <c r="AL107" s="52"/>
      <c r="AM107" s="52"/>
      <c r="AN107" s="52">
        <v>189176000</v>
      </c>
      <c r="AO107" s="52">
        <f t="shared" si="26"/>
        <v>2285619460.1879649</v>
      </c>
      <c r="AP107" s="52">
        <v>3798560</v>
      </c>
      <c r="AQ107" s="52">
        <f>1700000000+581820900.187965</f>
        <v>2281820900.1879649</v>
      </c>
      <c r="AR107" s="52"/>
      <c r="AS107" s="52"/>
      <c r="AT107" s="52"/>
      <c r="AU107" s="52"/>
      <c r="AV107" s="52"/>
      <c r="AW107" s="52"/>
      <c r="AX107" s="52"/>
      <c r="AY107" s="52"/>
      <c r="AZ107" s="52">
        <f t="shared" si="27"/>
        <v>3407963467.666667</v>
      </c>
      <c r="BA107" s="52">
        <v>33778500</v>
      </c>
      <c r="BB107" s="52">
        <f>2700000000+674184967.666667</f>
        <v>3374184967.666667</v>
      </c>
      <c r="BC107" s="52"/>
      <c r="BD107" s="52"/>
      <c r="BE107" s="52"/>
      <c r="BF107" s="52"/>
      <c r="BG107" s="52"/>
      <c r="BH107" s="52"/>
      <c r="BI107" s="52"/>
      <c r="BJ107" s="52"/>
      <c r="BK107" s="52">
        <f t="shared" si="28"/>
        <v>2805632741.0335488</v>
      </c>
      <c r="BL107" s="52">
        <v>34065500</v>
      </c>
      <c r="BM107" s="52">
        <f>2000000000+771567241.033549</f>
        <v>2771567241.0335488</v>
      </c>
      <c r="BN107" s="52"/>
      <c r="BO107" s="52"/>
      <c r="BP107" s="52"/>
      <c r="BQ107" s="52"/>
      <c r="BR107" s="52"/>
      <c r="BS107" s="52"/>
      <c r="BT107" s="52"/>
      <c r="BU107" s="53"/>
      <c r="BV107" s="54">
        <f t="shared" si="29"/>
        <v>11673479627.40818</v>
      </c>
      <c r="BW107" s="77"/>
    </row>
    <row r="108" spans="1:75" ht="27" customHeight="1" x14ac:dyDescent="0.2">
      <c r="A108" s="206"/>
      <c r="B108" s="215"/>
      <c r="C108" s="56"/>
      <c r="D108" s="17"/>
      <c r="E108" s="16"/>
      <c r="F108" s="6"/>
      <c r="G108" s="17"/>
      <c r="H108" s="16"/>
      <c r="I108" s="6"/>
      <c r="J108" s="6"/>
      <c r="K108" s="15"/>
      <c r="L108" s="6"/>
      <c r="M108" s="58">
        <v>16</v>
      </c>
      <c r="N108" s="58">
        <v>2301</v>
      </c>
      <c r="O108" s="59" t="s">
        <v>1655</v>
      </c>
      <c r="P108" s="59"/>
      <c r="Q108" s="60"/>
      <c r="R108" s="60"/>
      <c r="S108" s="60"/>
      <c r="T108" s="60"/>
      <c r="U108" s="60"/>
      <c r="V108" s="60"/>
      <c r="W108" s="43"/>
      <c r="X108" s="44"/>
      <c r="Y108" s="44"/>
      <c r="Z108" s="44"/>
      <c r="AA108" s="44"/>
      <c r="AB108" s="44"/>
      <c r="AC108" s="41"/>
      <c r="AD108" s="61">
        <f>SUM(AD109:AD116)</f>
        <v>200000000</v>
      </c>
      <c r="AE108" s="61">
        <f t="shared" ref="AE108:AN108" si="30">SUM(AE109:AE116)</f>
        <v>200000000</v>
      </c>
      <c r="AF108" s="61">
        <f t="shared" si="30"/>
        <v>0</v>
      </c>
      <c r="AG108" s="61">
        <f t="shared" si="30"/>
        <v>0</v>
      </c>
      <c r="AH108" s="61">
        <f t="shared" si="30"/>
        <v>0</v>
      </c>
      <c r="AI108" s="61">
        <f t="shared" si="30"/>
        <v>0</v>
      </c>
      <c r="AJ108" s="61">
        <f t="shared" si="30"/>
        <v>0</v>
      </c>
      <c r="AK108" s="61">
        <f t="shared" si="30"/>
        <v>0</v>
      </c>
      <c r="AL108" s="61">
        <f t="shared" si="30"/>
        <v>0</v>
      </c>
      <c r="AM108" s="61">
        <f t="shared" si="30"/>
        <v>0</v>
      </c>
      <c r="AN108" s="61">
        <f t="shared" si="30"/>
        <v>0</v>
      </c>
      <c r="AO108" s="61">
        <f>SUM(AO109:AO117)</f>
        <v>1378342037</v>
      </c>
      <c r="AP108" s="61">
        <f t="shared" ref="AP108:BV108" si="31">SUM(AP109:AP117)</f>
        <v>74842037</v>
      </c>
      <c r="AQ108" s="61">
        <f t="shared" si="31"/>
        <v>0</v>
      </c>
      <c r="AR108" s="61">
        <f t="shared" si="31"/>
        <v>0</v>
      </c>
      <c r="AS108" s="61">
        <f t="shared" si="31"/>
        <v>0</v>
      </c>
      <c r="AT108" s="61">
        <f t="shared" si="31"/>
        <v>0</v>
      </c>
      <c r="AU108" s="61">
        <f t="shared" si="31"/>
        <v>0</v>
      </c>
      <c r="AV108" s="61">
        <f t="shared" si="31"/>
        <v>1303500000</v>
      </c>
      <c r="AW108" s="61">
        <f t="shared" si="31"/>
        <v>0</v>
      </c>
      <c r="AX108" s="61">
        <f t="shared" si="31"/>
        <v>0</v>
      </c>
      <c r="AY108" s="61">
        <f t="shared" si="31"/>
        <v>0</v>
      </c>
      <c r="AZ108" s="61">
        <f t="shared" si="31"/>
        <v>1414785305</v>
      </c>
      <c r="BA108" s="61">
        <f t="shared" si="31"/>
        <v>111285305</v>
      </c>
      <c r="BB108" s="61">
        <f t="shared" si="31"/>
        <v>0</v>
      </c>
      <c r="BC108" s="61">
        <f t="shared" si="31"/>
        <v>0</v>
      </c>
      <c r="BD108" s="61">
        <f t="shared" si="31"/>
        <v>0</v>
      </c>
      <c r="BE108" s="61">
        <f t="shared" si="31"/>
        <v>0</v>
      </c>
      <c r="BF108" s="61">
        <f t="shared" si="31"/>
        <v>0</v>
      </c>
      <c r="BG108" s="61">
        <f t="shared" si="31"/>
        <v>1303500000</v>
      </c>
      <c r="BH108" s="61">
        <f t="shared" si="31"/>
        <v>0</v>
      </c>
      <c r="BI108" s="61">
        <f t="shared" si="31"/>
        <v>0</v>
      </c>
      <c r="BJ108" s="61">
        <f t="shared" si="31"/>
        <v>0</v>
      </c>
      <c r="BK108" s="61">
        <f t="shared" si="31"/>
        <v>2544949059</v>
      </c>
      <c r="BL108" s="61">
        <f t="shared" si="31"/>
        <v>372449059</v>
      </c>
      <c r="BM108" s="61">
        <f t="shared" si="31"/>
        <v>0</v>
      </c>
      <c r="BN108" s="61">
        <f t="shared" si="31"/>
        <v>0</v>
      </c>
      <c r="BO108" s="61">
        <f t="shared" si="31"/>
        <v>0</v>
      </c>
      <c r="BP108" s="61">
        <f t="shared" si="31"/>
        <v>0</v>
      </c>
      <c r="BQ108" s="61">
        <f t="shared" si="31"/>
        <v>0</v>
      </c>
      <c r="BR108" s="61">
        <f t="shared" si="31"/>
        <v>2172500000</v>
      </c>
      <c r="BS108" s="61">
        <f t="shared" si="31"/>
        <v>0</v>
      </c>
      <c r="BT108" s="61">
        <f t="shared" si="31"/>
        <v>0</v>
      </c>
      <c r="BU108" s="61">
        <f t="shared" si="31"/>
        <v>0</v>
      </c>
      <c r="BV108" s="61">
        <f t="shared" si="31"/>
        <v>5586052401</v>
      </c>
      <c r="BW108" s="55"/>
    </row>
    <row r="109" spans="1:75" s="190" customFormat="1" ht="173.25" customHeight="1" x14ac:dyDescent="0.2">
      <c r="A109" s="206">
        <v>1</v>
      </c>
      <c r="B109" s="215" t="s">
        <v>19</v>
      </c>
      <c r="C109" s="17" t="s">
        <v>825</v>
      </c>
      <c r="D109" s="17" t="s">
        <v>280</v>
      </c>
      <c r="E109" s="88" t="s">
        <v>840</v>
      </c>
      <c r="F109" s="6" t="s">
        <v>827</v>
      </c>
      <c r="G109" s="92" t="s">
        <v>841</v>
      </c>
      <c r="H109" s="88" t="s">
        <v>1702</v>
      </c>
      <c r="I109" s="6">
        <v>23</v>
      </c>
      <c r="J109" s="17" t="s">
        <v>829</v>
      </c>
      <c r="K109" s="15">
        <v>13</v>
      </c>
      <c r="L109" s="6" t="s">
        <v>346</v>
      </c>
      <c r="M109" s="208">
        <v>16</v>
      </c>
      <c r="N109" s="206">
        <v>2301</v>
      </c>
      <c r="O109" s="207" t="s">
        <v>1655</v>
      </c>
      <c r="P109" s="6" t="s">
        <v>849</v>
      </c>
      <c r="Q109" s="6">
        <v>2301004</v>
      </c>
      <c r="R109" s="6">
        <v>2301004</v>
      </c>
      <c r="S109" s="17" t="s">
        <v>105</v>
      </c>
      <c r="T109" s="6" t="s">
        <v>850</v>
      </c>
      <c r="U109" s="6">
        <v>230100400</v>
      </c>
      <c r="V109" s="6">
        <v>230100400</v>
      </c>
      <c r="W109" s="48" t="s">
        <v>851</v>
      </c>
      <c r="X109" s="49" t="s">
        <v>8</v>
      </c>
      <c r="Y109" s="6">
        <v>1</v>
      </c>
      <c r="Z109" s="6">
        <v>0</v>
      </c>
      <c r="AA109" s="6">
        <v>1</v>
      </c>
      <c r="AB109" s="6">
        <v>1</v>
      </c>
      <c r="AC109" s="6">
        <v>1</v>
      </c>
      <c r="AD109" s="50">
        <f>AE109+AF109+AG109+AH109+AI109+AJ109+AK109+AL109+AM109+AN109</f>
        <v>0</v>
      </c>
      <c r="AE109" s="52"/>
      <c r="AF109" s="52"/>
      <c r="AG109" s="52"/>
      <c r="AH109" s="52"/>
      <c r="AI109" s="52"/>
      <c r="AJ109" s="52"/>
      <c r="AK109" s="52"/>
      <c r="AL109" s="52"/>
      <c r="AM109" s="52"/>
      <c r="AN109" s="52"/>
      <c r="AO109" s="52">
        <f t="shared" ref="AO109:AO117" si="32">AP109+AQ109+AR109+AS109+AT109+AU109+AV109+AW109+AX109+AY109</f>
        <v>7496397</v>
      </c>
      <c r="AP109" s="52">
        <v>4496397</v>
      </c>
      <c r="AQ109" s="52"/>
      <c r="AR109" s="52"/>
      <c r="AS109" s="52"/>
      <c r="AT109" s="52"/>
      <c r="AU109" s="52"/>
      <c r="AV109" s="52">
        <v>3000000</v>
      </c>
      <c r="AW109" s="52"/>
      <c r="AX109" s="52"/>
      <c r="AY109" s="52"/>
      <c r="AZ109" s="52">
        <f t="shared" ref="AZ109:AZ117" si="33">BA109+BB109+BC109+BD109+BE109+BF109+BG109+BH109+BI109+BJ109</f>
        <v>10265951</v>
      </c>
      <c r="BA109" s="52">
        <v>7265951</v>
      </c>
      <c r="BB109" s="52"/>
      <c r="BC109" s="52"/>
      <c r="BD109" s="52"/>
      <c r="BE109" s="52"/>
      <c r="BF109" s="52"/>
      <c r="BG109" s="52">
        <v>3000000</v>
      </c>
      <c r="BH109" s="52"/>
      <c r="BI109" s="52"/>
      <c r="BJ109" s="52"/>
      <c r="BK109" s="52">
        <f t="shared" ref="BK109:BK117" si="34">BL109+BM109+BN109+BO109+BP109+BQ109+BR109+BS109+BT109+BU109</f>
        <v>19302885</v>
      </c>
      <c r="BL109" s="52">
        <v>14302885</v>
      </c>
      <c r="BM109" s="52"/>
      <c r="BN109" s="52"/>
      <c r="BO109" s="52"/>
      <c r="BP109" s="52"/>
      <c r="BQ109" s="52"/>
      <c r="BR109" s="52">
        <v>5000000</v>
      </c>
      <c r="BS109" s="52"/>
      <c r="BT109" s="52"/>
      <c r="BU109" s="53"/>
      <c r="BV109" s="54">
        <f>AD109+AO109+AZ109+BK109</f>
        <v>37065233</v>
      </c>
      <c r="BW109" s="55"/>
    </row>
    <row r="110" spans="1:75" s="190" customFormat="1" ht="141.75" customHeight="1" x14ac:dyDescent="0.2">
      <c r="A110" s="206">
        <v>1</v>
      </c>
      <c r="B110" s="215" t="s">
        <v>19</v>
      </c>
      <c r="C110" s="17" t="s">
        <v>825</v>
      </c>
      <c r="D110" s="17" t="s">
        <v>279</v>
      </c>
      <c r="E110" s="82" t="s">
        <v>826</v>
      </c>
      <c r="F110" s="6" t="s">
        <v>827</v>
      </c>
      <c r="G110" s="17" t="s">
        <v>828</v>
      </c>
      <c r="H110" s="88" t="s">
        <v>1703</v>
      </c>
      <c r="I110" s="6">
        <v>23</v>
      </c>
      <c r="J110" s="6" t="s">
        <v>829</v>
      </c>
      <c r="K110" s="15">
        <v>13</v>
      </c>
      <c r="L110" s="6" t="s">
        <v>346</v>
      </c>
      <c r="M110" s="208">
        <v>16</v>
      </c>
      <c r="N110" s="206">
        <v>2301</v>
      </c>
      <c r="O110" s="207" t="s">
        <v>1655</v>
      </c>
      <c r="P110" s="6" t="s">
        <v>830</v>
      </c>
      <c r="Q110" s="6">
        <v>2301012</v>
      </c>
      <c r="R110" s="15">
        <v>2301079</v>
      </c>
      <c r="S110" s="17" t="s">
        <v>831</v>
      </c>
      <c r="T110" s="79" t="s">
        <v>832</v>
      </c>
      <c r="U110" s="6">
        <v>230101204</v>
      </c>
      <c r="V110" s="6">
        <v>230107902</v>
      </c>
      <c r="W110" s="48" t="s">
        <v>833</v>
      </c>
      <c r="X110" s="49" t="s">
        <v>9</v>
      </c>
      <c r="Y110" s="6">
        <v>43</v>
      </c>
      <c r="Z110" s="6">
        <v>0</v>
      </c>
      <c r="AA110" s="6">
        <v>13</v>
      </c>
      <c r="AB110" s="6">
        <v>15</v>
      </c>
      <c r="AC110" s="6">
        <v>15</v>
      </c>
      <c r="AD110" s="50">
        <f>AE110+AF110+AG110+AH110+AI110+AJ110+AK110+AL110+AM110+AN110</f>
        <v>0</v>
      </c>
      <c r="AE110" s="52"/>
      <c r="AF110" s="52"/>
      <c r="AG110" s="52"/>
      <c r="AH110" s="52"/>
      <c r="AI110" s="52"/>
      <c r="AJ110" s="52"/>
      <c r="AK110" s="52"/>
      <c r="AL110" s="52"/>
      <c r="AM110" s="52"/>
      <c r="AN110" s="52"/>
      <c r="AO110" s="52">
        <f t="shared" si="32"/>
        <v>122000000</v>
      </c>
      <c r="AP110" s="52">
        <v>17000000</v>
      </c>
      <c r="AQ110" s="52"/>
      <c r="AR110" s="52"/>
      <c r="AS110" s="52"/>
      <c r="AT110" s="52"/>
      <c r="AU110" s="52"/>
      <c r="AV110" s="52">
        <v>105000000</v>
      </c>
      <c r="AW110" s="52"/>
      <c r="AX110" s="52"/>
      <c r="AY110" s="52"/>
      <c r="AZ110" s="52">
        <f t="shared" si="33"/>
        <v>113405321</v>
      </c>
      <c r="BA110" s="52">
        <v>8405321</v>
      </c>
      <c r="BB110" s="52"/>
      <c r="BC110" s="52"/>
      <c r="BD110" s="52"/>
      <c r="BE110" s="52"/>
      <c r="BF110" s="52"/>
      <c r="BG110" s="52">
        <v>105000000</v>
      </c>
      <c r="BH110" s="52"/>
      <c r="BI110" s="52"/>
      <c r="BJ110" s="52"/>
      <c r="BK110" s="52">
        <f t="shared" si="34"/>
        <v>221403325</v>
      </c>
      <c r="BL110" s="52">
        <v>46403325</v>
      </c>
      <c r="BM110" s="52"/>
      <c r="BN110" s="52"/>
      <c r="BO110" s="52"/>
      <c r="BP110" s="52"/>
      <c r="BQ110" s="52"/>
      <c r="BR110" s="52">
        <v>175000000</v>
      </c>
      <c r="BS110" s="52"/>
      <c r="BT110" s="52"/>
      <c r="BU110" s="53"/>
      <c r="BV110" s="54">
        <f>AD110+AO110+AZ110+BK110</f>
        <v>456808646</v>
      </c>
      <c r="BW110" s="55"/>
    </row>
    <row r="111" spans="1:75" s="190" customFormat="1" ht="173.25" customHeight="1" x14ac:dyDescent="0.2">
      <c r="A111" s="206">
        <v>1</v>
      </c>
      <c r="B111" s="215" t="s">
        <v>19</v>
      </c>
      <c r="C111" s="17" t="s">
        <v>825</v>
      </c>
      <c r="D111" s="17" t="s">
        <v>280</v>
      </c>
      <c r="E111" s="88" t="s">
        <v>840</v>
      </c>
      <c r="F111" s="6" t="s">
        <v>827</v>
      </c>
      <c r="G111" s="92" t="s">
        <v>841</v>
      </c>
      <c r="H111" s="88" t="s">
        <v>1702</v>
      </c>
      <c r="I111" s="6">
        <v>23</v>
      </c>
      <c r="J111" s="17" t="s">
        <v>829</v>
      </c>
      <c r="K111" s="15">
        <v>13</v>
      </c>
      <c r="L111" s="6" t="s">
        <v>346</v>
      </c>
      <c r="M111" s="208">
        <v>16</v>
      </c>
      <c r="N111" s="206">
        <v>2301</v>
      </c>
      <c r="O111" s="207" t="s">
        <v>1655</v>
      </c>
      <c r="P111" s="6" t="s">
        <v>845</v>
      </c>
      <c r="Q111" s="6">
        <v>2301015</v>
      </c>
      <c r="R111" s="6">
        <v>2301015</v>
      </c>
      <c r="S111" s="17" t="s">
        <v>846</v>
      </c>
      <c r="T111" s="6" t="s">
        <v>847</v>
      </c>
      <c r="U111" s="6">
        <v>230101500</v>
      </c>
      <c r="V111" s="6">
        <v>230101500</v>
      </c>
      <c r="W111" s="48" t="s">
        <v>848</v>
      </c>
      <c r="X111" s="49" t="s">
        <v>8</v>
      </c>
      <c r="Y111" s="6">
        <v>3</v>
      </c>
      <c r="Z111" s="6">
        <v>0</v>
      </c>
      <c r="AA111" s="6">
        <v>3</v>
      </c>
      <c r="AB111" s="6">
        <v>3</v>
      </c>
      <c r="AC111" s="6">
        <v>3</v>
      </c>
      <c r="AD111" s="50">
        <f>AE111+AF111+AG111+AH111+AI111+AJ111+AK111+AL111+AM111+AN111</f>
        <v>0</v>
      </c>
      <c r="AE111" s="52"/>
      <c r="AF111" s="52"/>
      <c r="AG111" s="52"/>
      <c r="AH111" s="52"/>
      <c r="AI111" s="52"/>
      <c r="AJ111" s="52"/>
      <c r="AK111" s="52"/>
      <c r="AL111" s="52"/>
      <c r="AM111" s="52"/>
      <c r="AN111" s="52"/>
      <c r="AO111" s="52">
        <f t="shared" si="32"/>
        <v>12996397</v>
      </c>
      <c r="AP111" s="52">
        <v>5496397</v>
      </c>
      <c r="AQ111" s="52"/>
      <c r="AR111" s="52"/>
      <c r="AS111" s="52"/>
      <c r="AT111" s="52"/>
      <c r="AU111" s="52"/>
      <c r="AV111" s="52">
        <v>7500000</v>
      </c>
      <c r="AW111" s="52"/>
      <c r="AX111" s="52"/>
      <c r="AY111" s="52"/>
      <c r="AZ111" s="52">
        <f t="shared" si="33"/>
        <v>15765951</v>
      </c>
      <c r="BA111" s="52">
        <v>8265951</v>
      </c>
      <c r="BB111" s="52"/>
      <c r="BC111" s="52"/>
      <c r="BD111" s="52"/>
      <c r="BE111" s="52"/>
      <c r="BF111" s="52"/>
      <c r="BG111" s="52">
        <v>7500000</v>
      </c>
      <c r="BH111" s="52"/>
      <c r="BI111" s="52"/>
      <c r="BJ111" s="52"/>
      <c r="BK111" s="52">
        <f t="shared" si="34"/>
        <v>46802885</v>
      </c>
      <c r="BL111" s="52">
        <v>34302885</v>
      </c>
      <c r="BM111" s="52"/>
      <c r="BN111" s="52"/>
      <c r="BO111" s="52"/>
      <c r="BP111" s="52"/>
      <c r="BQ111" s="52"/>
      <c r="BR111" s="52">
        <v>12500000</v>
      </c>
      <c r="BS111" s="52"/>
      <c r="BT111" s="52"/>
      <c r="BU111" s="53"/>
      <c r="BV111" s="54">
        <f>AD111+AO111+AZ111+BK111</f>
        <v>75565233</v>
      </c>
      <c r="BW111" s="55"/>
    </row>
    <row r="112" spans="1:75" s="190" customFormat="1" ht="141.75" customHeight="1" x14ac:dyDescent="0.2">
      <c r="A112" s="206">
        <v>1</v>
      </c>
      <c r="B112" s="215" t="s">
        <v>19</v>
      </c>
      <c r="C112" s="17" t="s">
        <v>825</v>
      </c>
      <c r="D112" s="17" t="s">
        <v>279</v>
      </c>
      <c r="E112" s="82" t="s">
        <v>826</v>
      </c>
      <c r="F112" s="6" t="s">
        <v>827</v>
      </c>
      <c r="G112" s="17" t="s">
        <v>828</v>
      </c>
      <c r="H112" s="88" t="s">
        <v>1703</v>
      </c>
      <c r="I112" s="6">
        <v>23</v>
      </c>
      <c r="J112" s="17" t="s">
        <v>829</v>
      </c>
      <c r="K112" s="15">
        <v>13</v>
      </c>
      <c r="L112" s="6" t="s">
        <v>346</v>
      </c>
      <c r="M112" s="208">
        <v>16</v>
      </c>
      <c r="N112" s="206">
        <v>2301</v>
      </c>
      <c r="O112" s="207" t="s">
        <v>1655</v>
      </c>
      <c r="P112" s="6" t="s">
        <v>834</v>
      </c>
      <c r="Q112" s="6">
        <v>2301024</v>
      </c>
      <c r="R112" s="6">
        <v>2301024</v>
      </c>
      <c r="S112" s="17" t="s">
        <v>835</v>
      </c>
      <c r="T112" s="6" t="s">
        <v>836</v>
      </c>
      <c r="U112" s="6">
        <v>230102401</v>
      </c>
      <c r="V112" s="6">
        <v>230102401</v>
      </c>
      <c r="W112" s="48" t="s">
        <v>837</v>
      </c>
      <c r="X112" s="49" t="s">
        <v>8</v>
      </c>
      <c r="Y112" s="6">
        <v>15</v>
      </c>
      <c r="Z112" s="6">
        <v>0</v>
      </c>
      <c r="AA112" s="6">
        <v>15</v>
      </c>
      <c r="AB112" s="6">
        <v>15</v>
      </c>
      <c r="AC112" s="6">
        <v>15</v>
      </c>
      <c r="AD112" s="93"/>
      <c r="AE112" s="93"/>
      <c r="AF112" s="52"/>
      <c r="AG112" s="52"/>
      <c r="AH112" s="52"/>
      <c r="AI112" s="52"/>
      <c r="AJ112" s="52"/>
      <c r="AK112" s="52"/>
      <c r="AL112" s="52"/>
      <c r="AM112" s="52"/>
      <c r="AN112" s="52"/>
      <c r="AO112" s="52">
        <f t="shared" si="32"/>
        <v>10278639</v>
      </c>
      <c r="AP112" s="52">
        <v>7278639</v>
      </c>
      <c r="AQ112" s="52"/>
      <c r="AR112" s="52"/>
      <c r="AS112" s="52"/>
      <c r="AT112" s="52"/>
      <c r="AU112" s="52"/>
      <c r="AV112" s="52">
        <v>3000000</v>
      </c>
      <c r="AW112" s="52"/>
      <c r="AX112" s="52"/>
      <c r="AY112" s="52"/>
      <c r="AZ112" s="52">
        <f t="shared" si="33"/>
        <v>13223977</v>
      </c>
      <c r="BA112" s="52">
        <v>10223977</v>
      </c>
      <c r="BB112" s="52"/>
      <c r="BC112" s="52"/>
      <c r="BD112" s="52"/>
      <c r="BE112" s="52"/>
      <c r="BF112" s="52"/>
      <c r="BG112" s="52">
        <v>3000000</v>
      </c>
      <c r="BH112" s="52"/>
      <c r="BI112" s="52"/>
      <c r="BJ112" s="52"/>
      <c r="BK112" s="52">
        <f t="shared" si="34"/>
        <v>38935631</v>
      </c>
      <c r="BL112" s="52">
        <v>33935631</v>
      </c>
      <c r="BM112" s="52"/>
      <c r="BN112" s="52"/>
      <c r="BO112" s="52"/>
      <c r="BP112" s="52"/>
      <c r="BQ112" s="52"/>
      <c r="BR112" s="52">
        <v>5000000</v>
      </c>
      <c r="BS112" s="52"/>
      <c r="BT112" s="52"/>
      <c r="BU112" s="53"/>
      <c r="BV112" s="54">
        <f>AD113+AO112+AZ112+BK112</f>
        <v>214462247</v>
      </c>
      <c r="BW112" s="77"/>
    </row>
    <row r="113" spans="1:75" s="190" customFormat="1" ht="141.75" customHeight="1" x14ac:dyDescent="0.2">
      <c r="A113" s="206">
        <v>1</v>
      </c>
      <c r="B113" s="215" t="s">
        <v>19</v>
      </c>
      <c r="C113" s="17" t="s">
        <v>825</v>
      </c>
      <c r="D113" s="17" t="s">
        <v>279</v>
      </c>
      <c r="E113" s="82" t="s">
        <v>826</v>
      </c>
      <c r="F113" s="6" t="s">
        <v>827</v>
      </c>
      <c r="G113" s="17" t="s">
        <v>828</v>
      </c>
      <c r="H113" s="88" t="s">
        <v>1703</v>
      </c>
      <c r="I113" s="6">
        <v>23</v>
      </c>
      <c r="J113" s="17" t="s">
        <v>829</v>
      </c>
      <c r="K113" s="15">
        <v>13</v>
      </c>
      <c r="L113" s="6" t="s">
        <v>346</v>
      </c>
      <c r="M113" s="208">
        <v>16</v>
      </c>
      <c r="N113" s="206">
        <v>2301</v>
      </c>
      <c r="O113" s="207" t="s">
        <v>1655</v>
      </c>
      <c r="P113" s="6" t="s">
        <v>834</v>
      </c>
      <c r="Q113" s="6">
        <v>2301024</v>
      </c>
      <c r="R113" s="6">
        <v>2301024</v>
      </c>
      <c r="S113" s="17" t="s">
        <v>835</v>
      </c>
      <c r="T113" s="6" t="s">
        <v>838</v>
      </c>
      <c r="U113" s="6">
        <v>230102404</v>
      </c>
      <c r="V113" s="6">
        <v>230102404</v>
      </c>
      <c r="W113" s="48" t="s">
        <v>839</v>
      </c>
      <c r="X113" s="49" t="s">
        <v>9</v>
      </c>
      <c r="Y113" s="6">
        <v>12</v>
      </c>
      <c r="Z113" s="6">
        <v>1</v>
      </c>
      <c r="AA113" s="6">
        <v>3</v>
      </c>
      <c r="AB113" s="6">
        <v>4</v>
      </c>
      <c r="AC113" s="6">
        <v>4</v>
      </c>
      <c r="AD113" s="50">
        <f>AE113+AF112+AG112+AH112+AI112+AJ112+AK112+AL112+AM112+AN112</f>
        <v>152024000</v>
      </c>
      <c r="AE113" s="52">
        <v>152024000</v>
      </c>
      <c r="AF113" s="52">
        <v>0</v>
      </c>
      <c r="AG113" s="52">
        <v>0</v>
      </c>
      <c r="AH113" s="52">
        <v>0</v>
      </c>
      <c r="AI113" s="52">
        <v>0</v>
      </c>
      <c r="AJ113" s="52">
        <v>0</v>
      </c>
      <c r="AK113" s="52">
        <v>0</v>
      </c>
      <c r="AL113" s="52">
        <v>0</v>
      </c>
      <c r="AM113" s="52">
        <v>0</v>
      </c>
      <c r="AN113" s="52">
        <v>0</v>
      </c>
      <c r="AO113" s="52">
        <f t="shared" si="32"/>
        <v>545270897</v>
      </c>
      <c r="AP113" s="52">
        <v>20270897</v>
      </c>
      <c r="AQ113" s="52">
        <v>0</v>
      </c>
      <c r="AR113" s="52">
        <v>0</v>
      </c>
      <c r="AS113" s="52">
        <v>0</v>
      </c>
      <c r="AT113" s="52">
        <v>0</v>
      </c>
      <c r="AU113" s="52">
        <v>0</v>
      </c>
      <c r="AV113" s="52">
        <v>525000000</v>
      </c>
      <c r="AW113" s="52">
        <v>0</v>
      </c>
      <c r="AX113" s="52">
        <v>0</v>
      </c>
      <c r="AY113" s="52">
        <v>0</v>
      </c>
      <c r="AZ113" s="52">
        <f t="shared" si="33"/>
        <v>564849007</v>
      </c>
      <c r="BA113" s="52">
        <v>39849007</v>
      </c>
      <c r="BB113" s="52">
        <v>0</v>
      </c>
      <c r="BC113" s="52">
        <v>0</v>
      </c>
      <c r="BD113" s="52">
        <v>0</v>
      </c>
      <c r="BE113" s="52">
        <v>0</v>
      </c>
      <c r="BF113" s="52">
        <v>0</v>
      </c>
      <c r="BG113" s="52">
        <v>525000000</v>
      </c>
      <c r="BH113" s="52">
        <v>0</v>
      </c>
      <c r="BI113" s="52">
        <v>0</v>
      </c>
      <c r="BJ113" s="52">
        <v>0</v>
      </c>
      <c r="BK113" s="52">
        <f t="shared" si="34"/>
        <v>964393585</v>
      </c>
      <c r="BL113" s="52">
        <v>89393585</v>
      </c>
      <c r="BM113" s="52">
        <v>0</v>
      </c>
      <c r="BN113" s="52">
        <v>0</v>
      </c>
      <c r="BO113" s="52">
        <v>0</v>
      </c>
      <c r="BP113" s="52">
        <v>0</v>
      </c>
      <c r="BQ113" s="52">
        <v>0</v>
      </c>
      <c r="BR113" s="52">
        <v>875000000</v>
      </c>
      <c r="BS113" s="52"/>
      <c r="BT113" s="52"/>
      <c r="BU113" s="53"/>
      <c r="BV113" s="54">
        <f>AD114+AO113+AZ113+BK113</f>
        <v>2122489489</v>
      </c>
      <c r="BW113" s="55"/>
    </row>
    <row r="114" spans="1:75" s="190" customFormat="1" ht="128.25" customHeight="1" x14ac:dyDescent="0.2">
      <c r="A114" s="206">
        <v>1</v>
      </c>
      <c r="B114" s="215" t="s">
        <v>19</v>
      </c>
      <c r="C114" s="17" t="s">
        <v>825</v>
      </c>
      <c r="D114" s="17" t="s">
        <v>280</v>
      </c>
      <c r="E114" s="88" t="s">
        <v>840</v>
      </c>
      <c r="F114" s="6" t="s">
        <v>827</v>
      </c>
      <c r="G114" s="92" t="s">
        <v>841</v>
      </c>
      <c r="H114" s="88" t="s">
        <v>1702</v>
      </c>
      <c r="I114" s="6">
        <v>23</v>
      </c>
      <c r="J114" s="6" t="s">
        <v>829</v>
      </c>
      <c r="K114" s="15">
        <v>13</v>
      </c>
      <c r="L114" s="6" t="s">
        <v>346</v>
      </c>
      <c r="M114" s="208">
        <v>16</v>
      </c>
      <c r="N114" s="206">
        <v>2301</v>
      </c>
      <c r="O114" s="207" t="s">
        <v>1655</v>
      </c>
      <c r="P114" s="6" t="s">
        <v>842</v>
      </c>
      <c r="Q114" s="6">
        <v>2301030</v>
      </c>
      <c r="R114" s="6">
        <v>2301030</v>
      </c>
      <c r="S114" s="17" t="s">
        <v>281</v>
      </c>
      <c r="T114" s="6" t="s">
        <v>843</v>
      </c>
      <c r="U114" s="6">
        <v>230103000</v>
      </c>
      <c r="V114" s="6">
        <v>230103000</v>
      </c>
      <c r="W114" s="48" t="s">
        <v>844</v>
      </c>
      <c r="X114" s="49" t="s">
        <v>9</v>
      </c>
      <c r="Y114" s="6">
        <v>17000</v>
      </c>
      <c r="Z114" s="6">
        <v>500</v>
      </c>
      <c r="AA114" s="6">
        <v>2500</v>
      </c>
      <c r="AB114" s="6">
        <v>7000</v>
      </c>
      <c r="AC114" s="6">
        <v>7000</v>
      </c>
      <c r="AD114" s="50">
        <f>AE114+AF114+AG114+AH114+AI114+AJ114+AK114+AL114+AM114+AN114</f>
        <v>47976000</v>
      </c>
      <c r="AE114" s="52">
        <v>47976000</v>
      </c>
      <c r="AF114" s="52"/>
      <c r="AG114" s="52"/>
      <c r="AH114" s="52"/>
      <c r="AI114" s="52"/>
      <c r="AJ114" s="52"/>
      <c r="AK114" s="52"/>
      <c r="AL114" s="52"/>
      <c r="AM114" s="52"/>
      <c r="AN114" s="52"/>
      <c r="AO114" s="52">
        <f t="shared" si="32"/>
        <v>457267770</v>
      </c>
      <c r="AP114" s="52">
        <v>7267770</v>
      </c>
      <c r="AQ114" s="52"/>
      <c r="AR114" s="52"/>
      <c r="AS114" s="52"/>
      <c r="AT114" s="52"/>
      <c r="AU114" s="52"/>
      <c r="AV114" s="52">
        <v>450000000</v>
      </c>
      <c r="AW114" s="52"/>
      <c r="AX114" s="52"/>
      <c r="AY114" s="52"/>
      <c r="AZ114" s="52">
        <f t="shared" si="33"/>
        <v>460738752</v>
      </c>
      <c r="BA114" s="52">
        <v>10738752</v>
      </c>
      <c r="BB114" s="52"/>
      <c r="BC114" s="52"/>
      <c r="BD114" s="52"/>
      <c r="BE114" s="52"/>
      <c r="BF114" s="52"/>
      <c r="BG114" s="52">
        <v>450000000</v>
      </c>
      <c r="BH114" s="52"/>
      <c r="BI114" s="52"/>
      <c r="BJ114" s="52"/>
      <c r="BK114" s="52">
        <f t="shared" si="34"/>
        <v>782730235</v>
      </c>
      <c r="BL114" s="52">
        <v>32730235</v>
      </c>
      <c r="BM114" s="52"/>
      <c r="BN114" s="52"/>
      <c r="BO114" s="52"/>
      <c r="BP114" s="52"/>
      <c r="BQ114" s="52"/>
      <c r="BR114" s="52">
        <v>750000000</v>
      </c>
      <c r="BS114" s="52"/>
      <c r="BT114" s="52"/>
      <c r="BU114" s="53"/>
      <c r="BV114" s="54">
        <f>AD114+AO114+AZ114+BK114</f>
        <v>1748712757</v>
      </c>
      <c r="BW114" s="55"/>
    </row>
    <row r="115" spans="1:75" s="190" customFormat="1" ht="173.25" customHeight="1" x14ac:dyDescent="0.2">
      <c r="A115" s="206">
        <v>1</v>
      </c>
      <c r="B115" s="215" t="s">
        <v>19</v>
      </c>
      <c r="C115" s="17" t="s">
        <v>825</v>
      </c>
      <c r="D115" s="17" t="s">
        <v>280</v>
      </c>
      <c r="E115" s="88" t="s">
        <v>840</v>
      </c>
      <c r="F115" s="6" t="s">
        <v>827</v>
      </c>
      <c r="G115" s="92" t="s">
        <v>841</v>
      </c>
      <c r="H115" s="88" t="s">
        <v>1702</v>
      </c>
      <c r="I115" s="6">
        <v>23</v>
      </c>
      <c r="J115" s="17" t="s">
        <v>829</v>
      </c>
      <c r="K115" s="15">
        <v>13</v>
      </c>
      <c r="L115" s="6" t="s">
        <v>346</v>
      </c>
      <c r="M115" s="208">
        <v>16</v>
      </c>
      <c r="N115" s="206">
        <v>2301</v>
      </c>
      <c r="O115" s="207" t="s">
        <v>1655</v>
      </c>
      <c r="P115" s="6" t="s">
        <v>852</v>
      </c>
      <c r="Q115" s="6">
        <v>2301035</v>
      </c>
      <c r="R115" s="6">
        <v>2301035</v>
      </c>
      <c r="S115" s="17" t="s">
        <v>853</v>
      </c>
      <c r="T115" s="6" t="s">
        <v>854</v>
      </c>
      <c r="U115" s="6">
        <v>230103500</v>
      </c>
      <c r="V115" s="6">
        <v>230103500</v>
      </c>
      <c r="W115" s="48" t="s">
        <v>855</v>
      </c>
      <c r="X115" s="49" t="s">
        <v>9</v>
      </c>
      <c r="Y115" s="6">
        <v>100</v>
      </c>
      <c r="Z115" s="6">
        <v>0</v>
      </c>
      <c r="AA115" s="6">
        <v>20</v>
      </c>
      <c r="AB115" s="6">
        <v>40</v>
      </c>
      <c r="AC115" s="6">
        <v>40</v>
      </c>
      <c r="AD115" s="50">
        <f>AE115+AF115+AG115+AH115+AI115+AJ115+AK115+AL115+AM115+AN115</f>
        <v>0</v>
      </c>
      <c r="AE115" s="52"/>
      <c r="AF115" s="52"/>
      <c r="AG115" s="52"/>
      <c r="AH115" s="52"/>
      <c r="AI115" s="52"/>
      <c r="AJ115" s="52"/>
      <c r="AK115" s="52"/>
      <c r="AL115" s="52"/>
      <c r="AM115" s="52"/>
      <c r="AN115" s="52"/>
      <c r="AO115" s="52">
        <f t="shared" si="32"/>
        <v>46442843</v>
      </c>
      <c r="AP115" s="52">
        <v>1442843</v>
      </c>
      <c r="AQ115" s="52"/>
      <c r="AR115" s="52"/>
      <c r="AS115" s="52"/>
      <c r="AT115" s="52"/>
      <c r="AU115" s="52"/>
      <c r="AV115" s="52">
        <v>45000000</v>
      </c>
      <c r="AW115" s="52"/>
      <c r="AX115" s="52"/>
      <c r="AY115" s="52"/>
      <c r="AZ115" s="52">
        <f t="shared" si="33"/>
        <v>50118200</v>
      </c>
      <c r="BA115" s="52">
        <v>5118200</v>
      </c>
      <c r="BB115" s="52"/>
      <c r="BC115" s="52"/>
      <c r="BD115" s="52"/>
      <c r="BE115" s="52"/>
      <c r="BF115" s="52"/>
      <c r="BG115" s="52">
        <v>45000000</v>
      </c>
      <c r="BH115" s="52"/>
      <c r="BI115" s="52"/>
      <c r="BJ115" s="52"/>
      <c r="BK115" s="52">
        <f t="shared" si="34"/>
        <v>91356838</v>
      </c>
      <c r="BL115" s="52">
        <v>16356838</v>
      </c>
      <c r="BM115" s="52"/>
      <c r="BN115" s="52"/>
      <c r="BO115" s="52"/>
      <c r="BP115" s="52"/>
      <c r="BQ115" s="52"/>
      <c r="BR115" s="52">
        <v>75000000</v>
      </c>
      <c r="BS115" s="52"/>
      <c r="BT115" s="52"/>
      <c r="BU115" s="53"/>
      <c r="BV115" s="54">
        <f>AD115+AO115+AZ115+BK115</f>
        <v>187917881</v>
      </c>
      <c r="BW115" s="55"/>
    </row>
    <row r="116" spans="1:75" s="190" customFormat="1" ht="173.25" customHeight="1" x14ac:dyDescent="0.2">
      <c r="A116" s="206">
        <v>1</v>
      </c>
      <c r="B116" s="215" t="s">
        <v>19</v>
      </c>
      <c r="C116" s="17" t="s">
        <v>825</v>
      </c>
      <c r="D116" s="17" t="s">
        <v>280</v>
      </c>
      <c r="E116" s="88" t="s">
        <v>840</v>
      </c>
      <c r="F116" s="6" t="s">
        <v>827</v>
      </c>
      <c r="G116" s="92" t="s">
        <v>841</v>
      </c>
      <c r="H116" s="88" t="s">
        <v>1702</v>
      </c>
      <c r="I116" s="6">
        <v>23</v>
      </c>
      <c r="J116" s="17" t="s">
        <v>829</v>
      </c>
      <c r="K116" s="15">
        <v>13</v>
      </c>
      <c r="L116" s="6" t="s">
        <v>346</v>
      </c>
      <c r="M116" s="208">
        <v>16</v>
      </c>
      <c r="N116" s="206">
        <v>2301</v>
      </c>
      <c r="O116" s="207" t="s">
        <v>1655</v>
      </c>
      <c r="P116" s="6" t="s">
        <v>856</v>
      </c>
      <c r="Q116" s="6">
        <v>2301042</v>
      </c>
      <c r="R116" s="6">
        <v>2301042</v>
      </c>
      <c r="S116" s="17" t="s">
        <v>857</v>
      </c>
      <c r="T116" s="6" t="s">
        <v>858</v>
      </c>
      <c r="U116" s="6">
        <v>230104201</v>
      </c>
      <c r="V116" s="6">
        <v>230104201</v>
      </c>
      <c r="W116" s="48" t="s">
        <v>859</v>
      </c>
      <c r="X116" s="49" t="s">
        <v>8</v>
      </c>
      <c r="Y116" s="6">
        <v>1</v>
      </c>
      <c r="Z116" s="6">
        <v>0</v>
      </c>
      <c r="AA116" s="6">
        <v>1</v>
      </c>
      <c r="AB116" s="6">
        <v>1</v>
      </c>
      <c r="AC116" s="6">
        <v>1</v>
      </c>
      <c r="AD116" s="50">
        <f>AE116+AF116+AG116+AH116+AI116+AJ116+AK116+AL116+AM116+AN116</f>
        <v>0</v>
      </c>
      <c r="AE116" s="52"/>
      <c r="AF116" s="52"/>
      <c r="AG116" s="52"/>
      <c r="AH116" s="52"/>
      <c r="AI116" s="52"/>
      <c r="AJ116" s="52"/>
      <c r="AK116" s="52"/>
      <c r="AL116" s="52"/>
      <c r="AM116" s="52"/>
      <c r="AN116" s="52"/>
      <c r="AO116" s="52">
        <f t="shared" si="32"/>
        <v>21267770</v>
      </c>
      <c r="AP116" s="52">
        <v>6267770</v>
      </c>
      <c r="AQ116" s="52"/>
      <c r="AR116" s="52"/>
      <c r="AS116" s="52"/>
      <c r="AT116" s="52"/>
      <c r="AU116" s="52"/>
      <c r="AV116" s="52">
        <v>15000000</v>
      </c>
      <c r="AW116" s="52"/>
      <c r="AX116" s="52"/>
      <c r="AY116" s="52"/>
      <c r="AZ116" s="52">
        <f t="shared" si="33"/>
        <v>25738752</v>
      </c>
      <c r="BA116" s="52">
        <v>10738752</v>
      </c>
      <c r="BB116" s="52"/>
      <c r="BC116" s="52"/>
      <c r="BD116" s="52"/>
      <c r="BE116" s="52"/>
      <c r="BF116" s="52"/>
      <c r="BG116" s="52">
        <v>15000000</v>
      </c>
      <c r="BH116" s="52"/>
      <c r="BI116" s="52"/>
      <c r="BJ116" s="52"/>
      <c r="BK116" s="52">
        <f t="shared" si="34"/>
        <v>58730235</v>
      </c>
      <c r="BL116" s="52">
        <v>33730235</v>
      </c>
      <c r="BM116" s="52"/>
      <c r="BN116" s="52"/>
      <c r="BO116" s="52"/>
      <c r="BP116" s="52"/>
      <c r="BQ116" s="52"/>
      <c r="BR116" s="52">
        <v>25000000</v>
      </c>
      <c r="BS116" s="52"/>
      <c r="BT116" s="52"/>
      <c r="BU116" s="53"/>
      <c r="BV116" s="54">
        <f>AD116+AO116+AZ116+BK116</f>
        <v>105736757</v>
      </c>
      <c r="BW116" s="55"/>
    </row>
    <row r="117" spans="1:75" s="190" customFormat="1" ht="141.75" customHeight="1" x14ac:dyDescent="0.2">
      <c r="A117" s="206">
        <v>1</v>
      </c>
      <c r="B117" s="215" t="s">
        <v>19</v>
      </c>
      <c r="C117" s="17" t="s">
        <v>825</v>
      </c>
      <c r="D117" s="17" t="s">
        <v>279</v>
      </c>
      <c r="E117" s="82" t="s">
        <v>826</v>
      </c>
      <c r="F117" s="6" t="s">
        <v>827</v>
      </c>
      <c r="G117" s="17" t="s">
        <v>828</v>
      </c>
      <c r="H117" s="88" t="s">
        <v>1703</v>
      </c>
      <c r="I117" s="94">
        <v>23</v>
      </c>
      <c r="J117" s="95" t="s">
        <v>829</v>
      </c>
      <c r="K117" s="96">
        <v>13</v>
      </c>
      <c r="L117" s="94" t="s">
        <v>346</v>
      </c>
      <c r="M117" s="208">
        <v>16</v>
      </c>
      <c r="N117" s="206">
        <v>2301</v>
      </c>
      <c r="O117" s="207" t="s">
        <v>1655</v>
      </c>
      <c r="P117" s="6" t="s">
        <v>1688</v>
      </c>
      <c r="Q117" s="6">
        <v>2301062</v>
      </c>
      <c r="R117" s="6">
        <v>2301062</v>
      </c>
      <c r="S117" s="17" t="s">
        <v>1689</v>
      </c>
      <c r="T117" s="6" t="s">
        <v>1690</v>
      </c>
      <c r="U117" s="17">
        <v>230106201</v>
      </c>
      <c r="V117" s="6">
        <v>230106201</v>
      </c>
      <c r="W117" s="48" t="s">
        <v>1691</v>
      </c>
      <c r="X117" s="49" t="s">
        <v>1692</v>
      </c>
      <c r="Y117" s="6">
        <v>7</v>
      </c>
      <c r="Z117" s="6">
        <v>0</v>
      </c>
      <c r="AA117" s="6">
        <v>9</v>
      </c>
      <c r="AB117" s="6">
        <v>8</v>
      </c>
      <c r="AC117" s="6">
        <v>7</v>
      </c>
      <c r="AD117" s="50"/>
      <c r="AE117" s="52"/>
      <c r="AF117" s="52"/>
      <c r="AG117" s="52"/>
      <c r="AH117" s="52"/>
      <c r="AI117" s="52"/>
      <c r="AJ117" s="52"/>
      <c r="AK117" s="52"/>
      <c r="AL117" s="52"/>
      <c r="AM117" s="52"/>
      <c r="AN117" s="52"/>
      <c r="AO117" s="97">
        <f t="shared" si="32"/>
        <v>155321324</v>
      </c>
      <c r="AP117" s="97">
        <v>5321324</v>
      </c>
      <c r="AQ117" s="97"/>
      <c r="AR117" s="97"/>
      <c r="AS117" s="97"/>
      <c r="AT117" s="97"/>
      <c r="AU117" s="97"/>
      <c r="AV117" s="97">
        <v>150000000</v>
      </c>
      <c r="AW117" s="97"/>
      <c r="AX117" s="97"/>
      <c r="AY117" s="97"/>
      <c r="AZ117" s="97">
        <f t="shared" si="33"/>
        <v>160679394</v>
      </c>
      <c r="BA117" s="97">
        <v>10679394</v>
      </c>
      <c r="BB117" s="97"/>
      <c r="BC117" s="97"/>
      <c r="BD117" s="97"/>
      <c r="BE117" s="97"/>
      <c r="BF117" s="97"/>
      <c r="BG117" s="97">
        <v>150000000</v>
      </c>
      <c r="BH117" s="97"/>
      <c r="BI117" s="97"/>
      <c r="BJ117" s="97"/>
      <c r="BK117" s="97">
        <f t="shared" si="34"/>
        <v>321293440</v>
      </c>
      <c r="BL117" s="97">
        <v>71293440</v>
      </c>
      <c r="BM117" s="97"/>
      <c r="BN117" s="97"/>
      <c r="BO117" s="97"/>
      <c r="BP117" s="97"/>
      <c r="BQ117" s="97"/>
      <c r="BR117" s="97">
        <v>250000000</v>
      </c>
      <c r="BS117" s="97"/>
      <c r="BT117" s="97"/>
      <c r="BU117" s="98"/>
      <c r="BV117" s="54">
        <f>AD117+AO117+AZ117+BK117</f>
        <v>637294158</v>
      </c>
      <c r="BW117" s="55"/>
    </row>
    <row r="118" spans="1:75" ht="32.25" customHeight="1" x14ac:dyDescent="0.2">
      <c r="A118" s="206"/>
      <c r="B118" s="215"/>
      <c r="C118" s="56"/>
      <c r="D118" s="17"/>
      <c r="E118" s="16"/>
      <c r="F118" s="6"/>
      <c r="G118" s="17"/>
      <c r="H118" s="16"/>
      <c r="I118" s="6"/>
      <c r="J118" s="6"/>
      <c r="K118" s="15"/>
      <c r="L118" s="6"/>
      <c r="M118" s="58">
        <v>17</v>
      </c>
      <c r="N118" s="58">
        <v>2302</v>
      </c>
      <c r="O118" s="59" t="s">
        <v>282</v>
      </c>
      <c r="P118" s="59"/>
      <c r="Q118" s="60"/>
      <c r="R118" s="60"/>
      <c r="S118" s="60"/>
      <c r="T118" s="60"/>
      <c r="U118" s="60"/>
      <c r="V118" s="60"/>
      <c r="W118" s="43"/>
      <c r="X118" s="44"/>
      <c r="Y118" s="44"/>
      <c r="Z118" s="44"/>
      <c r="AA118" s="44"/>
      <c r="AB118" s="44"/>
      <c r="AC118" s="41"/>
      <c r="AD118" s="61">
        <f t="shared" ref="AD118:AJ118" si="35">SUM(AD119:AD124)</f>
        <v>7747432067</v>
      </c>
      <c r="AE118" s="61">
        <f t="shared" si="35"/>
        <v>7164000</v>
      </c>
      <c r="AF118" s="61">
        <f t="shared" si="35"/>
        <v>0</v>
      </c>
      <c r="AG118" s="61">
        <f t="shared" si="35"/>
        <v>0</v>
      </c>
      <c r="AH118" s="61">
        <f t="shared" si="35"/>
        <v>0</v>
      </c>
      <c r="AI118" s="61">
        <f t="shared" si="35"/>
        <v>0</v>
      </c>
      <c r="AJ118" s="61">
        <f t="shared" si="35"/>
        <v>0</v>
      </c>
      <c r="AK118" s="61">
        <f t="shared" ref="AK118:AW118" si="36">SUM(AK119:AK124)</f>
        <v>7740268067</v>
      </c>
      <c r="AL118" s="61">
        <f t="shared" si="36"/>
        <v>0</v>
      </c>
      <c r="AM118" s="61">
        <f t="shared" si="36"/>
        <v>0</v>
      </c>
      <c r="AN118" s="61">
        <f t="shared" si="36"/>
        <v>0</v>
      </c>
      <c r="AO118" s="61">
        <f t="shared" si="36"/>
        <v>5579894762</v>
      </c>
      <c r="AP118" s="61">
        <f t="shared" si="36"/>
        <v>84694184</v>
      </c>
      <c r="AQ118" s="61">
        <f t="shared" si="36"/>
        <v>0</v>
      </c>
      <c r="AR118" s="61">
        <f t="shared" si="36"/>
        <v>0</v>
      </c>
      <c r="AS118" s="61">
        <f t="shared" si="36"/>
        <v>0</v>
      </c>
      <c r="AT118" s="61">
        <f t="shared" si="36"/>
        <v>0</v>
      </c>
      <c r="AU118" s="61">
        <f t="shared" si="36"/>
        <v>0</v>
      </c>
      <c r="AV118" s="61">
        <f t="shared" si="36"/>
        <v>5495200578</v>
      </c>
      <c r="AW118" s="61">
        <f t="shared" si="36"/>
        <v>0</v>
      </c>
      <c r="AX118" s="61">
        <f t="shared" ref="AX118:BV118" si="37">SUM(AX119:AX124)</f>
        <v>0</v>
      </c>
      <c r="AY118" s="61">
        <f t="shared" si="37"/>
        <v>0</v>
      </c>
      <c r="AZ118" s="61">
        <f t="shared" si="37"/>
        <v>5407844311</v>
      </c>
      <c r="BA118" s="61">
        <f t="shared" si="37"/>
        <v>176000000</v>
      </c>
      <c r="BB118" s="61">
        <f t="shared" si="37"/>
        <v>0</v>
      </c>
      <c r="BC118" s="61">
        <f t="shared" si="37"/>
        <v>0</v>
      </c>
      <c r="BD118" s="61">
        <f t="shared" si="37"/>
        <v>0</v>
      </c>
      <c r="BE118" s="61">
        <f t="shared" si="37"/>
        <v>0</v>
      </c>
      <c r="BF118" s="61">
        <f t="shared" si="37"/>
        <v>0</v>
      </c>
      <c r="BG118" s="61">
        <f t="shared" si="37"/>
        <v>5231844311</v>
      </c>
      <c r="BH118" s="61">
        <f t="shared" si="37"/>
        <v>0</v>
      </c>
      <c r="BI118" s="61">
        <f t="shared" si="37"/>
        <v>0</v>
      </c>
      <c r="BJ118" s="61">
        <f t="shared" si="37"/>
        <v>0</v>
      </c>
      <c r="BK118" s="61">
        <f t="shared" si="37"/>
        <v>6141246260</v>
      </c>
      <c r="BL118" s="61">
        <f t="shared" si="37"/>
        <v>184900194</v>
      </c>
      <c r="BM118" s="61">
        <f t="shared" si="37"/>
        <v>0</v>
      </c>
      <c r="BN118" s="61">
        <f t="shared" si="37"/>
        <v>0</v>
      </c>
      <c r="BO118" s="61">
        <f t="shared" si="37"/>
        <v>0</v>
      </c>
      <c r="BP118" s="61">
        <f t="shared" si="37"/>
        <v>0</v>
      </c>
      <c r="BQ118" s="61">
        <f t="shared" si="37"/>
        <v>0</v>
      </c>
      <c r="BR118" s="61">
        <f t="shared" si="37"/>
        <v>5956346066</v>
      </c>
      <c r="BS118" s="61">
        <f t="shared" si="37"/>
        <v>0</v>
      </c>
      <c r="BT118" s="61">
        <f t="shared" si="37"/>
        <v>0</v>
      </c>
      <c r="BU118" s="61">
        <f t="shared" si="37"/>
        <v>0</v>
      </c>
      <c r="BV118" s="61">
        <f t="shared" si="37"/>
        <v>24876417400</v>
      </c>
      <c r="BW118" s="55"/>
    </row>
    <row r="119" spans="1:75" s="190" customFormat="1" ht="173.25" customHeight="1" x14ac:dyDescent="0.2">
      <c r="A119" s="206">
        <v>1</v>
      </c>
      <c r="B119" s="215" t="s">
        <v>19</v>
      </c>
      <c r="C119" s="17" t="s">
        <v>860</v>
      </c>
      <c r="D119" s="17" t="s">
        <v>280</v>
      </c>
      <c r="E119" s="88" t="s">
        <v>840</v>
      </c>
      <c r="F119" s="6" t="s">
        <v>827</v>
      </c>
      <c r="G119" s="92" t="s">
        <v>841</v>
      </c>
      <c r="H119" s="88" t="s">
        <v>1702</v>
      </c>
      <c r="I119" s="6">
        <v>23</v>
      </c>
      <c r="J119" s="17" t="s">
        <v>829</v>
      </c>
      <c r="K119" s="15">
        <v>13</v>
      </c>
      <c r="L119" s="15" t="s">
        <v>346</v>
      </c>
      <c r="M119" s="206">
        <v>17</v>
      </c>
      <c r="N119" s="206">
        <v>2302</v>
      </c>
      <c r="O119" s="207" t="s">
        <v>282</v>
      </c>
      <c r="P119" s="6" t="s">
        <v>869</v>
      </c>
      <c r="Q119" s="6">
        <v>2302021</v>
      </c>
      <c r="R119" s="6">
        <v>2302021</v>
      </c>
      <c r="S119" s="17" t="s">
        <v>870</v>
      </c>
      <c r="T119" s="78" t="s">
        <v>871</v>
      </c>
      <c r="U119" s="6">
        <v>230202100</v>
      </c>
      <c r="V119" s="6">
        <v>230202100</v>
      </c>
      <c r="W119" s="48" t="s">
        <v>872</v>
      </c>
      <c r="X119" s="49" t="s">
        <v>9</v>
      </c>
      <c r="Y119" s="6">
        <v>28</v>
      </c>
      <c r="Z119" s="6">
        <v>0</v>
      </c>
      <c r="AA119" s="6">
        <v>8</v>
      </c>
      <c r="AB119" s="6">
        <v>10</v>
      </c>
      <c r="AC119" s="6">
        <v>10</v>
      </c>
      <c r="AD119" s="50">
        <f t="shared" ref="AD119:AD124" si="38">AE119+AF119+AG119+AH119+AI119+AJ119+AK119+AL119+AM119+AN119</f>
        <v>139347098</v>
      </c>
      <c r="AE119" s="52"/>
      <c r="AF119" s="52"/>
      <c r="AG119" s="52"/>
      <c r="AH119" s="52"/>
      <c r="AI119" s="52"/>
      <c r="AJ119" s="52"/>
      <c r="AK119" s="52">
        <v>139347098</v>
      </c>
      <c r="AL119" s="52"/>
      <c r="AM119" s="52"/>
      <c r="AN119" s="52"/>
      <c r="AO119" s="52">
        <f t="shared" ref="AO119:AO124" si="39">AP119+AQ119+AR119+AS119+AT119+AU119+AV119+AW119+AX119+AY119</f>
        <v>103382084</v>
      </c>
      <c r="AP119" s="52">
        <v>13382084</v>
      </c>
      <c r="AQ119" s="52"/>
      <c r="AR119" s="52"/>
      <c r="AS119" s="52"/>
      <c r="AT119" s="52"/>
      <c r="AU119" s="52"/>
      <c r="AV119" s="52">
        <v>90000000</v>
      </c>
      <c r="AW119" s="52"/>
      <c r="AX119" s="52"/>
      <c r="AY119" s="52"/>
      <c r="AZ119" s="52">
        <f t="shared" ref="AZ119:AZ124" si="40">BA119+BB119+BC119+BD119+BE119+BF119+BG119+BH119+BI119+BJ119</f>
        <v>115000000</v>
      </c>
      <c r="BA119" s="52">
        <v>25000000</v>
      </c>
      <c r="BB119" s="52"/>
      <c r="BC119" s="52"/>
      <c r="BD119" s="52"/>
      <c r="BE119" s="52"/>
      <c r="BF119" s="52"/>
      <c r="BG119" s="52">
        <v>90000000</v>
      </c>
      <c r="BH119" s="52"/>
      <c r="BI119" s="52"/>
      <c r="BJ119" s="52"/>
      <c r="BK119" s="52">
        <f t="shared" ref="BK119:BK124" si="41">BL119+BM119+BN119+BO119+BP119+BQ119+BR119+BS119+BT119+BU119</f>
        <v>191120279</v>
      </c>
      <c r="BL119" s="52">
        <v>41120279</v>
      </c>
      <c r="BM119" s="52"/>
      <c r="BN119" s="52"/>
      <c r="BO119" s="52"/>
      <c r="BP119" s="52"/>
      <c r="BQ119" s="52"/>
      <c r="BR119" s="52">
        <v>150000000</v>
      </c>
      <c r="BS119" s="52"/>
      <c r="BT119" s="52"/>
      <c r="BU119" s="53"/>
      <c r="BV119" s="54">
        <f t="shared" ref="BV119:BV124" si="42">AD119+AO119+AZ119+BK119</f>
        <v>548849461</v>
      </c>
      <c r="BW119" s="55"/>
    </row>
    <row r="120" spans="1:75" s="190" customFormat="1" ht="141.75" customHeight="1" x14ac:dyDescent="0.2">
      <c r="A120" s="23">
        <v>1</v>
      </c>
      <c r="B120" s="215" t="s">
        <v>19</v>
      </c>
      <c r="C120" s="17" t="s">
        <v>860</v>
      </c>
      <c r="D120" s="17" t="s">
        <v>877</v>
      </c>
      <c r="E120" s="82">
        <v>0.56999999999999995</v>
      </c>
      <c r="F120" s="6">
        <v>2018</v>
      </c>
      <c r="G120" s="17" t="s">
        <v>878</v>
      </c>
      <c r="H120" s="88">
        <v>0.80300000000000005</v>
      </c>
      <c r="I120" s="6">
        <v>23</v>
      </c>
      <c r="J120" s="17" t="s">
        <v>829</v>
      </c>
      <c r="K120" s="15">
        <v>13</v>
      </c>
      <c r="L120" s="15" t="s">
        <v>346</v>
      </c>
      <c r="M120" s="208">
        <v>17</v>
      </c>
      <c r="N120" s="206">
        <v>2302</v>
      </c>
      <c r="O120" s="207" t="s">
        <v>282</v>
      </c>
      <c r="P120" s="63" t="s">
        <v>879</v>
      </c>
      <c r="Q120" s="6">
        <v>2302058</v>
      </c>
      <c r="R120" s="6">
        <v>2302058</v>
      </c>
      <c r="S120" s="17" t="s">
        <v>880</v>
      </c>
      <c r="T120" s="63" t="s">
        <v>881</v>
      </c>
      <c r="U120" s="6">
        <v>230205800</v>
      </c>
      <c r="V120" s="6">
        <v>230205800</v>
      </c>
      <c r="W120" s="48" t="s">
        <v>882</v>
      </c>
      <c r="X120" s="6" t="s">
        <v>9</v>
      </c>
      <c r="Y120" s="6">
        <v>1000</v>
      </c>
      <c r="Z120" s="6">
        <v>0</v>
      </c>
      <c r="AA120" s="6">
        <v>300</v>
      </c>
      <c r="AB120" s="6">
        <v>300</v>
      </c>
      <c r="AC120" s="6">
        <v>400</v>
      </c>
      <c r="AD120" s="50">
        <f t="shared" si="38"/>
        <v>0</v>
      </c>
      <c r="AE120" s="52"/>
      <c r="AF120" s="52"/>
      <c r="AG120" s="52"/>
      <c r="AH120" s="52"/>
      <c r="AI120" s="52"/>
      <c r="AJ120" s="52"/>
      <c r="AK120" s="52"/>
      <c r="AL120" s="52"/>
      <c r="AM120" s="52"/>
      <c r="AN120" s="52"/>
      <c r="AO120" s="52">
        <f t="shared" si="39"/>
        <v>170657059</v>
      </c>
      <c r="AP120" s="52">
        <f>14657059+6000000</f>
        <v>20657059</v>
      </c>
      <c r="AQ120" s="52"/>
      <c r="AR120" s="52"/>
      <c r="AS120" s="52"/>
      <c r="AT120" s="52"/>
      <c r="AU120" s="52"/>
      <c r="AV120" s="52">
        <v>150000000</v>
      </c>
      <c r="AW120" s="52"/>
      <c r="AX120" s="52"/>
      <c r="AY120" s="52"/>
      <c r="AZ120" s="52">
        <f t="shared" si="40"/>
        <v>186000000</v>
      </c>
      <c r="BA120" s="52">
        <f>30000000+6000000</f>
        <v>36000000</v>
      </c>
      <c r="BB120" s="52"/>
      <c r="BC120" s="52"/>
      <c r="BD120" s="52"/>
      <c r="BE120" s="52"/>
      <c r="BF120" s="52"/>
      <c r="BG120" s="52">
        <v>150000000</v>
      </c>
      <c r="BH120" s="52"/>
      <c r="BI120" s="52"/>
      <c r="BJ120" s="52"/>
      <c r="BK120" s="99">
        <f t="shared" si="41"/>
        <v>286141026</v>
      </c>
      <c r="BL120" s="52">
        <f>30141026+6000000</f>
        <v>36141026</v>
      </c>
      <c r="BM120" s="52"/>
      <c r="BN120" s="52"/>
      <c r="BO120" s="52"/>
      <c r="BP120" s="52"/>
      <c r="BQ120" s="52"/>
      <c r="BR120" s="52">
        <v>250000000</v>
      </c>
      <c r="BS120" s="52"/>
      <c r="BT120" s="52"/>
      <c r="BU120" s="53"/>
      <c r="BV120" s="54">
        <f t="shared" si="42"/>
        <v>642798085</v>
      </c>
      <c r="BW120" s="55"/>
    </row>
    <row r="121" spans="1:75" s="190" customFormat="1" ht="141.75" customHeight="1" x14ac:dyDescent="0.2">
      <c r="A121" s="206">
        <v>1</v>
      </c>
      <c r="B121" s="215" t="s">
        <v>19</v>
      </c>
      <c r="C121" s="17" t="s">
        <v>860</v>
      </c>
      <c r="D121" s="17" t="s">
        <v>877</v>
      </c>
      <c r="E121" s="82">
        <v>0.56999999999999995</v>
      </c>
      <c r="F121" s="6">
        <v>2018</v>
      </c>
      <c r="G121" s="17" t="s">
        <v>878</v>
      </c>
      <c r="H121" s="88">
        <v>0.80300000000000005</v>
      </c>
      <c r="I121" s="6">
        <v>23</v>
      </c>
      <c r="J121" s="17" t="s">
        <v>829</v>
      </c>
      <c r="K121" s="15">
        <v>13</v>
      </c>
      <c r="L121" s="15" t="s">
        <v>346</v>
      </c>
      <c r="M121" s="206">
        <v>17</v>
      </c>
      <c r="N121" s="206">
        <v>2302</v>
      </c>
      <c r="O121" s="207" t="s">
        <v>282</v>
      </c>
      <c r="P121" s="78" t="s">
        <v>883</v>
      </c>
      <c r="Q121" s="6">
        <v>2302068</v>
      </c>
      <c r="R121" s="6">
        <v>2302068</v>
      </c>
      <c r="S121" s="17" t="s">
        <v>884</v>
      </c>
      <c r="T121" s="78" t="s">
        <v>885</v>
      </c>
      <c r="U121" s="6">
        <v>230206800</v>
      </c>
      <c r="V121" s="6">
        <v>230206800</v>
      </c>
      <c r="W121" s="48" t="s">
        <v>886</v>
      </c>
      <c r="X121" s="6" t="s">
        <v>9</v>
      </c>
      <c r="Y121" s="6">
        <v>200</v>
      </c>
      <c r="Z121" s="6">
        <v>0</v>
      </c>
      <c r="AA121" s="6">
        <v>60</v>
      </c>
      <c r="AB121" s="6">
        <v>60</v>
      </c>
      <c r="AC121" s="6">
        <v>80</v>
      </c>
      <c r="AD121" s="50">
        <f t="shared" si="38"/>
        <v>0</v>
      </c>
      <c r="AE121" s="52"/>
      <c r="AF121" s="52"/>
      <c r="AG121" s="52"/>
      <c r="AH121" s="52"/>
      <c r="AI121" s="52"/>
      <c r="AJ121" s="52"/>
      <c r="AK121" s="52"/>
      <c r="AL121" s="52"/>
      <c r="AM121" s="52"/>
      <c r="AN121" s="52"/>
      <c r="AO121" s="52">
        <f t="shared" si="39"/>
        <v>110214216</v>
      </c>
      <c r="AP121" s="52">
        <f>15214216+5000000</f>
        <v>20214216</v>
      </c>
      <c r="AQ121" s="52"/>
      <c r="AR121" s="52"/>
      <c r="AS121" s="52"/>
      <c r="AT121" s="52"/>
      <c r="AU121" s="52"/>
      <c r="AV121" s="52">
        <v>90000000</v>
      </c>
      <c r="AW121" s="52"/>
      <c r="AX121" s="52"/>
      <c r="AY121" s="52"/>
      <c r="AZ121" s="52">
        <f t="shared" si="40"/>
        <v>120000000</v>
      </c>
      <c r="BA121" s="52">
        <f>25000000+5000000</f>
        <v>30000000</v>
      </c>
      <c r="BB121" s="52"/>
      <c r="BC121" s="52"/>
      <c r="BD121" s="52"/>
      <c r="BE121" s="52"/>
      <c r="BF121" s="52"/>
      <c r="BG121" s="52">
        <v>90000000</v>
      </c>
      <c r="BH121" s="52"/>
      <c r="BI121" s="52"/>
      <c r="BJ121" s="52"/>
      <c r="BK121" s="99">
        <f t="shared" si="41"/>
        <v>186784188</v>
      </c>
      <c r="BL121" s="52">
        <f>30784188+6000000</f>
        <v>36784188</v>
      </c>
      <c r="BM121" s="52"/>
      <c r="BN121" s="52"/>
      <c r="BO121" s="52"/>
      <c r="BP121" s="52"/>
      <c r="BQ121" s="52"/>
      <c r="BR121" s="52">
        <v>150000000</v>
      </c>
      <c r="BS121" s="52"/>
      <c r="BT121" s="52"/>
      <c r="BU121" s="53"/>
      <c r="BV121" s="54">
        <f t="shared" si="42"/>
        <v>416998404</v>
      </c>
      <c r="BW121" s="100"/>
    </row>
    <row r="122" spans="1:75" s="190" customFormat="1" ht="141.75" customHeight="1" x14ac:dyDescent="0.2">
      <c r="A122" s="206">
        <v>1</v>
      </c>
      <c r="B122" s="215" t="s">
        <v>19</v>
      </c>
      <c r="C122" s="17" t="s">
        <v>860</v>
      </c>
      <c r="D122" s="17" t="s">
        <v>279</v>
      </c>
      <c r="E122" s="82" t="s">
        <v>826</v>
      </c>
      <c r="F122" s="6" t="s">
        <v>827</v>
      </c>
      <c r="G122" s="17" t="s">
        <v>828</v>
      </c>
      <c r="H122" s="88" t="s">
        <v>1703</v>
      </c>
      <c r="I122" s="6">
        <v>23</v>
      </c>
      <c r="J122" s="17" t="s">
        <v>829</v>
      </c>
      <c r="K122" s="15">
        <v>13</v>
      </c>
      <c r="L122" s="15" t="s">
        <v>346</v>
      </c>
      <c r="M122" s="206">
        <v>17</v>
      </c>
      <c r="N122" s="206">
        <v>2302</v>
      </c>
      <c r="O122" s="207" t="s">
        <v>282</v>
      </c>
      <c r="P122" s="6" t="s">
        <v>861</v>
      </c>
      <c r="Q122" s="6">
        <v>2302022</v>
      </c>
      <c r="R122" s="6">
        <v>2302022</v>
      </c>
      <c r="S122" s="17" t="s">
        <v>862</v>
      </c>
      <c r="T122" s="78" t="s">
        <v>863</v>
      </c>
      <c r="U122" s="6">
        <v>230202200</v>
      </c>
      <c r="V122" s="6">
        <v>230202200</v>
      </c>
      <c r="W122" s="48" t="s">
        <v>864</v>
      </c>
      <c r="X122" s="49" t="s">
        <v>9</v>
      </c>
      <c r="Y122" s="6">
        <v>80</v>
      </c>
      <c r="Z122" s="6">
        <v>0</v>
      </c>
      <c r="AA122" s="6">
        <v>20</v>
      </c>
      <c r="AB122" s="6">
        <v>30</v>
      </c>
      <c r="AC122" s="6">
        <v>30</v>
      </c>
      <c r="AD122" s="50">
        <f t="shared" si="38"/>
        <v>0</v>
      </c>
      <c r="AE122" s="52"/>
      <c r="AF122" s="52"/>
      <c r="AG122" s="52"/>
      <c r="AH122" s="52"/>
      <c r="AI122" s="52"/>
      <c r="AJ122" s="52"/>
      <c r="AK122" s="52"/>
      <c r="AL122" s="52"/>
      <c r="AM122" s="52"/>
      <c r="AN122" s="52"/>
      <c r="AO122" s="52">
        <f t="shared" si="39"/>
        <v>160000000</v>
      </c>
      <c r="AP122" s="52">
        <v>10000000</v>
      </c>
      <c r="AQ122" s="52"/>
      <c r="AR122" s="52"/>
      <c r="AS122" s="52"/>
      <c r="AT122" s="52"/>
      <c r="AU122" s="52"/>
      <c r="AV122" s="52">
        <v>150000000</v>
      </c>
      <c r="AW122" s="52"/>
      <c r="AX122" s="52"/>
      <c r="AY122" s="52"/>
      <c r="AZ122" s="52">
        <f t="shared" si="40"/>
        <v>180000000</v>
      </c>
      <c r="BA122" s="52">
        <v>30000000</v>
      </c>
      <c r="BB122" s="52"/>
      <c r="BC122" s="52"/>
      <c r="BD122" s="52"/>
      <c r="BE122" s="52"/>
      <c r="BF122" s="52"/>
      <c r="BG122" s="52">
        <v>150000000</v>
      </c>
      <c r="BH122" s="52"/>
      <c r="BI122" s="52"/>
      <c r="BJ122" s="52"/>
      <c r="BK122" s="52">
        <f t="shared" si="41"/>
        <v>276356838</v>
      </c>
      <c r="BL122" s="52">
        <v>26356838</v>
      </c>
      <c r="BM122" s="52"/>
      <c r="BN122" s="52"/>
      <c r="BO122" s="52"/>
      <c r="BP122" s="52"/>
      <c r="BQ122" s="52"/>
      <c r="BR122" s="52">
        <v>250000000</v>
      </c>
      <c r="BS122" s="52"/>
      <c r="BT122" s="52"/>
      <c r="BU122" s="53"/>
      <c r="BV122" s="54">
        <f t="shared" si="42"/>
        <v>616356838</v>
      </c>
      <c r="BW122" s="55"/>
    </row>
    <row r="123" spans="1:75" s="190" customFormat="1" ht="173.25" customHeight="1" x14ac:dyDescent="0.2">
      <c r="A123" s="206">
        <v>1</v>
      </c>
      <c r="B123" s="215" t="s">
        <v>19</v>
      </c>
      <c r="C123" s="17" t="s">
        <v>860</v>
      </c>
      <c r="D123" s="17" t="s">
        <v>280</v>
      </c>
      <c r="E123" s="88" t="s">
        <v>840</v>
      </c>
      <c r="F123" s="6" t="s">
        <v>827</v>
      </c>
      <c r="G123" s="92" t="s">
        <v>841</v>
      </c>
      <c r="H123" s="88" t="s">
        <v>1702</v>
      </c>
      <c r="I123" s="6">
        <v>23</v>
      </c>
      <c r="J123" s="17" t="s">
        <v>829</v>
      </c>
      <c r="K123" s="15">
        <v>13</v>
      </c>
      <c r="L123" s="15" t="s">
        <v>346</v>
      </c>
      <c r="M123" s="208">
        <v>17</v>
      </c>
      <c r="N123" s="206">
        <v>2302</v>
      </c>
      <c r="O123" s="207" t="s">
        <v>282</v>
      </c>
      <c r="P123" s="6" t="s">
        <v>873</v>
      </c>
      <c r="Q123" s="6">
        <v>2302039</v>
      </c>
      <c r="R123" s="6">
        <v>2302039</v>
      </c>
      <c r="S123" s="17" t="s">
        <v>874</v>
      </c>
      <c r="T123" s="63" t="s">
        <v>875</v>
      </c>
      <c r="U123" s="6">
        <v>230203900</v>
      </c>
      <c r="V123" s="6" t="s">
        <v>1686</v>
      </c>
      <c r="W123" s="48" t="s">
        <v>876</v>
      </c>
      <c r="X123" s="49" t="s">
        <v>8</v>
      </c>
      <c r="Y123" s="6">
        <v>1</v>
      </c>
      <c r="Z123" s="6">
        <v>1</v>
      </c>
      <c r="AA123" s="6">
        <v>1</v>
      </c>
      <c r="AB123" s="6">
        <v>1</v>
      </c>
      <c r="AC123" s="6">
        <v>1</v>
      </c>
      <c r="AD123" s="50">
        <f t="shared" si="38"/>
        <v>7600920969</v>
      </c>
      <c r="AE123" s="52"/>
      <c r="AF123" s="52"/>
      <c r="AG123" s="52"/>
      <c r="AH123" s="52"/>
      <c r="AI123" s="52"/>
      <c r="AJ123" s="52"/>
      <c r="AK123" s="52">
        <v>7600920969</v>
      </c>
      <c r="AL123" s="52"/>
      <c r="AM123" s="52"/>
      <c r="AN123" s="52"/>
      <c r="AO123" s="52">
        <f t="shared" si="39"/>
        <v>5011534295</v>
      </c>
      <c r="AP123" s="52">
        <v>11333717</v>
      </c>
      <c r="AQ123" s="52"/>
      <c r="AR123" s="52"/>
      <c r="AS123" s="52"/>
      <c r="AT123" s="52"/>
      <c r="AU123" s="52"/>
      <c r="AV123" s="52">
        <v>5000200578</v>
      </c>
      <c r="AW123" s="52"/>
      <c r="AX123" s="52"/>
      <c r="AY123" s="52"/>
      <c r="AZ123" s="52">
        <f t="shared" si="40"/>
        <v>4766844311</v>
      </c>
      <c r="BA123" s="52">
        <v>30000000</v>
      </c>
      <c r="BB123" s="52"/>
      <c r="BC123" s="52"/>
      <c r="BD123" s="52"/>
      <c r="BE123" s="52"/>
      <c r="BF123" s="52"/>
      <c r="BG123" s="52">
        <v>4736844311</v>
      </c>
      <c r="BH123" s="52"/>
      <c r="BI123" s="52"/>
      <c r="BJ123" s="52"/>
      <c r="BK123" s="52">
        <f t="shared" si="41"/>
        <v>5159951835</v>
      </c>
      <c r="BL123" s="52">
        <v>28605769</v>
      </c>
      <c r="BM123" s="52"/>
      <c r="BN123" s="52"/>
      <c r="BO123" s="52"/>
      <c r="BP123" s="52"/>
      <c r="BQ123" s="52"/>
      <c r="BR123" s="52">
        <v>5131346066</v>
      </c>
      <c r="BS123" s="52"/>
      <c r="BT123" s="52"/>
      <c r="BU123" s="53"/>
      <c r="BV123" s="54">
        <f t="shared" si="42"/>
        <v>22539251410</v>
      </c>
      <c r="BW123" s="55"/>
    </row>
    <row r="124" spans="1:75" s="190" customFormat="1" ht="141.75" customHeight="1" x14ac:dyDescent="0.2">
      <c r="A124" s="206">
        <v>1</v>
      </c>
      <c r="B124" s="215" t="s">
        <v>19</v>
      </c>
      <c r="C124" s="17" t="s">
        <v>860</v>
      </c>
      <c r="D124" s="17" t="s">
        <v>279</v>
      </c>
      <c r="E124" s="82" t="s">
        <v>826</v>
      </c>
      <c r="F124" s="6" t="s">
        <v>827</v>
      </c>
      <c r="G124" s="17" t="s">
        <v>828</v>
      </c>
      <c r="H124" s="88" t="s">
        <v>1703</v>
      </c>
      <c r="I124" s="6">
        <v>23</v>
      </c>
      <c r="J124" s="17" t="s">
        <v>829</v>
      </c>
      <c r="K124" s="15">
        <v>13</v>
      </c>
      <c r="L124" s="6" t="s">
        <v>346</v>
      </c>
      <c r="M124" s="206">
        <v>17</v>
      </c>
      <c r="N124" s="206">
        <v>2302</v>
      </c>
      <c r="O124" s="207" t="s">
        <v>282</v>
      </c>
      <c r="P124" s="6" t="s">
        <v>865</v>
      </c>
      <c r="Q124" s="6">
        <v>2302042</v>
      </c>
      <c r="R124" s="6">
        <v>2302042</v>
      </c>
      <c r="S124" s="17" t="s">
        <v>866</v>
      </c>
      <c r="T124" s="78" t="s">
        <v>867</v>
      </c>
      <c r="U124" s="6">
        <v>230204200</v>
      </c>
      <c r="V124" s="6">
        <v>230204200</v>
      </c>
      <c r="W124" s="48" t="s">
        <v>868</v>
      </c>
      <c r="X124" s="49" t="s">
        <v>9</v>
      </c>
      <c r="Y124" s="6">
        <v>3</v>
      </c>
      <c r="Z124" s="6">
        <v>1</v>
      </c>
      <c r="AA124" s="6">
        <v>1</v>
      </c>
      <c r="AB124" s="6">
        <v>1</v>
      </c>
      <c r="AC124" s="6">
        <v>0</v>
      </c>
      <c r="AD124" s="50">
        <f t="shared" si="38"/>
        <v>7164000</v>
      </c>
      <c r="AE124" s="52">
        <v>7164000</v>
      </c>
      <c r="AF124" s="52"/>
      <c r="AG124" s="52"/>
      <c r="AH124" s="52"/>
      <c r="AI124" s="52"/>
      <c r="AJ124" s="52"/>
      <c r="AK124" s="52"/>
      <c r="AL124" s="52"/>
      <c r="AM124" s="52"/>
      <c r="AN124" s="52"/>
      <c r="AO124" s="52">
        <f t="shared" si="39"/>
        <v>24107108</v>
      </c>
      <c r="AP124" s="52">
        <v>9107108</v>
      </c>
      <c r="AQ124" s="52"/>
      <c r="AR124" s="52"/>
      <c r="AS124" s="52"/>
      <c r="AT124" s="52"/>
      <c r="AU124" s="52"/>
      <c r="AV124" s="52">
        <v>15000000</v>
      </c>
      <c r="AW124" s="52"/>
      <c r="AX124" s="52"/>
      <c r="AY124" s="52"/>
      <c r="AZ124" s="52">
        <f t="shared" si="40"/>
        <v>40000000</v>
      </c>
      <c r="BA124" s="52">
        <v>25000000</v>
      </c>
      <c r="BB124" s="52"/>
      <c r="BC124" s="52"/>
      <c r="BD124" s="52"/>
      <c r="BE124" s="52"/>
      <c r="BF124" s="52"/>
      <c r="BG124" s="52">
        <v>15000000</v>
      </c>
      <c r="BH124" s="52"/>
      <c r="BI124" s="52"/>
      <c r="BJ124" s="52"/>
      <c r="BK124" s="52">
        <f t="shared" si="41"/>
        <v>40892094</v>
      </c>
      <c r="BL124" s="52">
        <v>15892094</v>
      </c>
      <c r="BM124" s="52"/>
      <c r="BN124" s="52"/>
      <c r="BO124" s="52"/>
      <c r="BP124" s="52"/>
      <c r="BQ124" s="52"/>
      <c r="BR124" s="52">
        <v>25000000</v>
      </c>
      <c r="BS124" s="52"/>
      <c r="BT124" s="52"/>
      <c r="BU124" s="53"/>
      <c r="BV124" s="54">
        <f t="shared" si="42"/>
        <v>112163202</v>
      </c>
      <c r="BW124" s="55"/>
    </row>
    <row r="125" spans="1:75" ht="31.5" customHeight="1" x14ac:dyDescent="0.2">
      <c r="A125" s="206"/>
      <c r="B125" s="215"/>
      <c r="C125" s="56"/>
      <c r="D125" s="17"/>
      <c r="E125" s="16"/>
      <c r="F125" s="6"/>
      <c r="G125" s="17"/>
      <c r="H125" s="16"/>
      <c r="I125" s="6"/>
      <c r="J125" s="6"/>
      <c r="K125" s="15"/>
      <c r="L125" s="6"/>
      <c r="M125" s="58">
        <v>25</v>
      </c>
      <c r="N125" s="58">
        <v>3301</v>
      </c>
      <c r="O125" s="59" t="s">
        <v>26</v>
      </c>
      <c r="P125" s="60"/>
      <c r="Q125" s="60"/>
      <c r="R125" s="60"/>
      <c r="S125" s="60"/>
      <c r="T125" s="60"/>
      <c r="U125" s="60"/>
      <c r="V125" s="60"/>
      <c r="W125" s="43"/>
      <c r="X125" s="44"/>
      <c r="Y125" s="44"/>
      <c r="Z125" s="44"/>
      <c r="AA125" s="44"/>
      <c r="AB125" s="44"/>
      <c r="AC125" s="41"/>
      <c r="AD125" s="61">
        <f>SUBTOTAL(9,AD126:AD135)</f>
        <v>6761512093.8299999</v>
      </c>
      <c r="AE125" s="61">
        <f t="shared" ref="AE125:BV125" si="43">SUBTOTAL(9,AE126:AE135)</f>
        <v>924149741</v>
      </c>
      <c r="AF125" s="61">
        <f t="shared" si="43"/>
        <v>2577375983.8299999</v>
      </c>
      <c r="AG125" s="61">
        <f t="shared" si="43"/>
        <v>0</v>
      </c>
      <c r="AH125" s="61">
        <f t="shared" si="43"/>
        <v>0</v>
      </c>
      <c r="AI125" s="61">
        <f t="shared" si="43"/>
        <v>0</v>
      </c>
      <c r="AJ125" s="61">
        <f t="shared" si="43"/>
        <v>0</v>
      </c>
      <c r="AK125" s="61">
        <f t="shared" si="43"/>
        <v>3259986369</v>
      </c>
      <c r="AL125" s="61">
        <f t="shared" si="43"/>
        <v>0</v>
      </c>
      <c r="AM125" s="61">
        <f t="shared" si="43"/>
        <v>0</v>
      </c>
      <c r="AN125" s="61">
        <f t="shared" si="43"/>
        <v>0</v>
      </c>
      <c r="AO125" s="61">
        <f t="shared" si="43"/>
        <v>1924592272.4000001</v>
      </c>
      <c r="AP125" s="61">
        <f t="shared" si="43"/>
        <v>760471362.39999998</v>
      </c>
      <c r="AQ125" s="61">
        <f t="shared" si="43"/>
        <v>1164120910</v>
      </c>
      <c r="AR125" s="61">
        <f t="shared" si="43"/>
        <v>0</v>
      </c>
      <c r="AS125" s="61">
        <f t="shared" si="43"/>
        <v>0</v>
      </c>
      <c r="AT125" s="61">
        <f t="shared" si="43"/>
        <v>0</v>
      </c>
      <c r="AU125" s="61">
        <f t="shared" si="43"/>
        <v>0</v>
      </c>
      <c r="AV125" s="61">
        <f t="shared" si="43"/>
        <v>0</v>
      </c>
      <c r="AW125" s="61">
        <f t="shared" si="43"/>
        <v>0</v>
      </c>
      <c r="AX125" s="61">
        <f t="shared" si="43"/>
        <v>0</v>
      </c>
      <c r="AY125" s="61">
        <f t="shared" si="43"/>
        <v>0</v>
      </c>
      <c r="AZ125" s="61">
        <f t="shared" si="43"/>
        <v>2751430028.73</v>
      </c>
      <c r="BA125" s="61">
        <f t="shared" si="43"/>
        <v>1402504924.73</v>
      </c>
      <c r="BB125" s="61">
        <f t="shared" si="43"/>
        <v>1348925104</v>
      </c>
      <c r="BC125" s="61">
        <f t="shared" si="43"/>
        <v>0</v>
      </c>
      <c r="BD125" s="61">
        <f t="shared" si="43"/>
        <v>0</v>
      </c>
      <c r="BE125" s="61">
        <f t="shared" si="43"/>
        <v>0</v>
      </c>
      <c r="BF125" s="61">
        <f t="shared" si="43"/>
        <v>0</v>
      </c>
      <c r="BG125" s="61">
        <f t="shared" si="43"/>
        <v>0</v>
      </c>
      <c r="BH125" s="61">
        <f t="shared" si="43"/>
        <v>0</v>
      </c>
      <c r="BI125" s="61">
        <f t="shared" si="43"/>
        <v>0</v>
      </c>
      <c r="BJ125" s="61">
        <f t="shared" si="43"/>
        <v>0</v>
      </c>
      <c r="BK125" s="61">
        <f t="shared" si="43"/>
        <v>3819688910.3400002</v>
      </c>
      <c r="BL125" s="61">
        <f t="shared" si="43"/>
        <v>2275919068.3400002</v>
      </c>
      <c r="BM125" s="61">
        <f t="shared" si="43"/>
        <v>1543769842</v>
      </c>
      <c r="BN125" s="61">
        <f t="shared" si="43"/>
        <v>0</v>
      </c>
      <c r="BO125" s="61">
        <f t="shared" si="43"/>
        <v>0</v>
      </c>
      <c r="BP125" s="61">
        <f t="shared" si="43"/>
        <v>0</v>
      </c>
      <c r="BQ125" s="61">
        <f t="shared" si="43"/>
        <v>0</v>
      </c>
      <c r="BR125" s="61">
        <f t="shared" si="43"/>
        <v>0</v>
      </c>
      <c r="BS125" s="61">
        <f t="shared" si="43"/>
        <v>0</v>
      </c>
      <c r="BT125" s="61">
        <f t="shared" si="43"/>
        <v>0</v>
      </c>
      <c r="BU125" s="62">
        <f t="shared" si="43"/>
        <v>0</v>
      </c>
      <c r="BV125" s="61">
        <f t="shared" si="43"/>
        <v>15257223305.299999</v>
      </c>
      <c r="BW125" s="55"/>
    </row>
    <row r="126" spans="1:75" s="190" customFormat="1" ht="78.75" customHeight="1" x14ac:dyDescent="0.2">
      <c r="A126" s="206">
        <v>1</v>
      </c>
      <c r="B126" s="215" t="s">
        <v>19</v>
      </c>
      <c r="C126" s="17" t="s">
        <v>212</v>
      </c>
      <c r="D126" s="17" t="s">
        <v>177</v>
      </c>
      <c r="E126" s="16" t="s">
        <v>951</v>
      </c>
      <c r="F126" s="6">
        <v>2018</v>
      </c>
      <c r="G126" s="17" t="s">
        <v>952</v>
      </c>
      <c r="H126" s="82">
        <v>1</v>
      </c>
      <c r="I126" s="6">
        <v>33</v>
      </c>
      <c r="J126" s="101" t="s">
        <v>953</v>
      </c>
      <c r="K126" s="15">
        <v>5</v>
      </c>
      <c r="L126" s="101" t="s">
        <v>954</v>
      </c>
      <c r="M126" s="206">
        <v>25</v>
      </c>
      <c r="N126" s="209">
        <v>3301</v>
      </c>
      <c r="O126" s="207" t="s">
        <v>26</v>
      </c>
      <c r="P126" s="6" t="s">
        <v>955</v>
      </c>
      <c r="Q126" s="14">
        <v>3301051</v>
      </c>
      <c r="R126" s="14">
        <v>3301051</v>
      </c>
      <c r="S126" s="17" t="s">
        <v>178</v>
      </c>
      <c r="T126" s="6" t="s">
        <v>956</v>
      </c>
      <c r="U126" s="14">
        <v>330105110</v>
      </c>
      <c r="V126" s="14">
        <v>330105110</v>
      </c>
      <c r="W126" s="48" t="s">
        <v>957</v>
      </c>
      <c r="X126" s="49" t="s">
        <v>9</v>
      </c>
      <c r="Y126" s="6">
        <v>1000</v>
      </c>
      <c r="Z126" s="6">
        <v>50</v>
      </c>
      <c r="AA126" s="6">
        <v>250</v>
      </c>
      <c r="AB126" s="6">
        <v>350</v>
      </c>
      <c r="AC126" s="6">
        <v>350</v>
      </c>
      <c r="AD126" s="50">
        <f t="shared" ref="AD126:AD135" si="44">AE126+AF126+AG126+AH126+AI126+AJ126+AK126+AL126+AM126+AN126</f>
        <v>20000000</v>
      </c>
      <c r="AE126" s="52">
        <v>20000000</v>
      </c>
      <c r="AF126" s="52"/>
      <c r="AG126" s="52"/>
      <c r="AH126" s="52"/>
      <c r="AI126" s="52"/>
      <c r="AJ126" s="52"/>
      <c r="AK126" s="52"/>
      <c r="AL126" s="52"/>
      <c r="AM126" s="52"/>
      <c r="AN126" s="52"/>
      <c r="AO126" s="52">
        <f t="shared" ref="AO126:AO135" si="45">AP126+AQ126+AR126+AS126+AT126+AU126+AV126+AW126+AX126+AY126</f>
        <v>14250000</v>
      </c>
      <c r="AP126" s="52">
        <v>14250000</v>
      </c>
      <c r="AQ126" s="52"/>
      <c r="AR126" s="52"/>
      <c r="AS126" s="52"/>
      <c r="AT126" s="52"/>
      <c r="AU126" s="52"/>
      <c r="AV126" s="52"/>
      <c r="AW126" s="52"/>
      <c r="AX126" s="52"/>
      <c r="AY126" s="52"/>
      <c r="AZ126" s="52">
        <f t="shared" ref="AZ126:AZ135" si="46">BA126+BB126+BC126+BD126+BE126+BF126+BG126+BH126+BI126+BJ126</f>
        <v>31848300</v>
      </c>
      <c r="BA126" s="52">
        <v>31848300</v>
      </c>
      <c r="BB126" s="52"/>
      <c r="BC126" s="52"/>
      <c r="BD126" s="52"/>
      <c r="BE126" s="52"/>
      <c r="BF126" s="52"/>
      <c r="BG126" s="52"/>
      <c r="BH126" s="52"/>
      <c r="BI126" s="52"/>
      <c r="BJ126" s="52"/>
      <c r="BK126" s="52">
        <f t="shared" ref="BK126:BK135" si="47">BL126+BM126+BN126+BO126+BP126+BQ126+BR126+BS126+BT126+BU126</f>
        <v>68131000</v>
      </c>
      <c r="BL126" s="52">
        <v>68131000</v>
      </c>
      <c r="BM126" s="52"/>
      <c r="BN126" s="52"/>
      <c r="BO126" s="52"/>
      <c r="BP126" s="52"/>
      <c r="BQ126" s="52"/>
      <c r="BR126" s="52"/>
      <c r="BS126" s="52"/>
      <c r="BT126" s="52"/>
      <c r="BU126" s="53"/>
      <c r="BV126" s="54">
        <f t="shared" ref="BV126:BV135" si="48">AD126+AO126+AZ126+BK126</f>
        <v>134229300</v>
      </c>
      <c r="BW126" s="77"/>
    </row>
    <row r="127" spans="1:75" s="190" customFormat="1" ht="63" customHeight="1" x14ac:dyDescent="0.2">
      <c r="A127" s="206">
        <v>1</v>
      </c>
      <c r="B127" s="215" t="s">
        <v>19</v>
      </c>
      <c r="C127" s="17" t="s">
        <v>958</v>
      </c>
      <c r="D127" s="17" t="s">
        <v>92</v>
      </c>
      <c r="E127" s="102" t="s">
        <v>959</v>
      </c>
      <c r="F127" s="6" t="s">
        <v>960</v>
      </c>
      <c r="G127" s="17" t="s">
        <v>961</v>
      </c>
      <c r="H127" s="103" t="s">
        <v>962</v>
      </c>
      <c r="I127" s="6">
        <v>33</v>
      </c>
      <c r="J127" s="101" t="s">
        <v>953</v>
      </c>
      <c r="K127" s="15">
        <v>5</v>
      </c>
      <c r="L127" s="101" t="s">
        <v>953</v>
      </c>
      <c r="M127" s="206">
        <v>25</v>
      </c>
      <c r="N127" s="211">
        <v>3301</v>
      </c>
      <c r="O127" s="207" t="s">
        <v>26</v>
      </c>
      <c r="P127" s="6" t="s">
        <v>965</v>
      </c>
      <c r="Q127" s="87">
        <v>3301052</v>
      </c>
      <c r="R127" s="87">
        <v>3301052</v>
      </c>
      <c r="S127" s="18" t="s">
        <v>966</v>
      </c>
      <c r="T127" s="6" t="s">
        <v>967</v>
      </c>
      <c r="U127" s="87">
        <v>330105203</v>
      </c>
      <c r="V127" s="87">
        <v>330105203</v>
      </c>
      <c r="W127" s="48" t="s">
        <v>968</v>
      </c>
      <c r="X127" s="49" t="s">
        <v>8</v>
      </c>
      <c r="Y127" s="6">
        <v>135</v>
      </c>
      <c r="Z127" s="6">
        <v>135</v>
      </c>
      <c r="AA127" s="6">
        <v>135</v>
      </c>
      <c r="AB127" s="6">
        <v>135</v>
      </c>
      <c r="AC127" s="6">
        <v>135</v>
      </c>
      <c r="AD127" s="50">
        <f t="shared" si="44"/>
        <v>3259986369</v>
      </c>
      <c r="AE127" s="52"/>
      <c r="AF127" s="52"/>
      <c r="AG127" s="52"/>
      <c r="AH127" s="52"/>
      <c r="AI127" s="52"/>
      <c r="AJ127" s="52"/>
      <c r="AK127" s="52">
        <v>3259986369</v>
      </c>
      <c r="AL127" s="52"/>
      <c r="AM127" s="52"/>
      <c r="AN127" s="52"/>
      <c r="AO127" s="52">
        <f t="shared" si="45"/>
        <v>0</v>
      </c>
      <c r="AP127" s="52"/>
      <c r="AQ127" s="52"/>
      <c r="AR127" s="52"/>
      <c r="AS127" s="52"/>
      <c r="AT127" s="52"/>
      <c r="AU127" s="52"/>
      <c r="AV127" s="52"/>
      <c r="AW127" s="52"/>
      <c r="AX127" s="52"/>
      <c r="AY127" s="52"/>
      <c r="AZ127" s="52">
        <f t="shared" si="46"/>
        <v>0</v>
      </c>
      <c r="BA127" s="52"/>
      <c r="BB127" s="52"/>
      <c r="BC127" s="52"/>
      <c r="BD127" s="52"/>
      <c r="BE127" s="52"/>
      <c r="BF127" s="52"/>
      <c r="BG127" s="52"/>
      <c r="BH127" s="52"/>
      <c r="BI127" s="52"/>
      <c r="BJ127" s="52"/>
      <c r="BK127" s="52">
        <f t="shared" si="47"/>
        <v>0</v>
      </c>
      <c r="BL127" s="52"/>
      <c r="BM127" s="52"/>
      <c r="BN127" s="52"/>
      <c r="BO127" s="52"/>
      <c r="BP127" s="52"/>
      <c r="BQ127" s="52"/>
      <c r="BR127" s="52"/>
      <c r="BS127" s="52"/>
      <c r="BT127" s="52"/>
      <c r="BU127" s="53"/>
      <c r="BV127" s="54">
        <f t="shared" si="48"/>
        <v>3259986369</v>
      </c>
      <c r="BW127" s="77"/>
    </row>
    <row r="128" spans="1:75" s="190" customFormat="1" ht="63" customHeight="1" x14ac:dyDescent="0.2">
      <c r="A128" s="206">
        <v>1</v>
      </c>
      <c r="B128" s="215" t="s">
        <v>19</v>
      </c>
      <c r="C128" s="17" t="s">
        <v>958</v>
      </c>
      <c r="D128" s="17" t="s">
        <v>985</v>
      </c>
      <c r="E128" s="103" t="s">
        <v>980</v>
      </c>
      <c r="F128" s="6" t="s">
        <v>986</v>
      </c>
      <c r="G128" s="17" t="s">
        <v>970</v>
      </c>
      <c r="H128" s="103" t="s">
        <v>981</v>
      </c>
      <c r="I128" s="6">
        <v>33</v>
      </c>
      <c r="J128" s="6" t="s">
        <v>953</v>
      </c>
      <c r="K128" s="15">
        <v>5</v>
      </c>
      <c r="L128" s="101" t="s">
        <v>953</v>
      </c>
      <c r="M128" s="206">
        <v>25</v>
      </c>
      <c r="N128" s="211">
        <v>3301</v>
      </c>
      <c r="O128" s="207" t="s">
        <v>26</v>
      </c>
      <c r="P128" s="6" t="s">
        <v>987</v>
      </c>
      <c r="Q128" s="84">
        <v>3301068</v>
      </c>
      <c r="R128" s="6">
        <v>3301068</v>
      </c>
      <c r="S128" s="17" t="s">
        <v>27</v>
      </c>
      <c r="T128" s="6" t="s">
        <v>988</v>
      </c>
      <c r="U128" s="84" t="s">
        <v>989</v>
      </c>
      <c r="V128" s="6" t="s">
        <v>989</v>
      </c>
      <c r="W128" s="48" t="s">
        <v>990</v>
      </c>
      <c r="X128" s="49" t="s">
        <v>9</v>
      </c>
      <c r="Y128" s="6">
        <v>10</v>
      </c>
      <c r="Z128" s="6">
        <v>1</v>
      </c>
      <c r="AA128" s="6">
        <v>2</v>
      </c>
      <c r="AB128" s="6">
        <v>4</v>
      </c>
      <c r="AC128" s="6">
        <v>3</v>
      </c>
      <c r="AD128" s="50">
        <f t="shared" si="44"/>
        <v>50000000</v>
      </c>
      <c r="AE128" s="52">
        <v>50000000</v>
      </c>
      <c r="AF128" s="52"/>
      <c r="AG128" s="52"/>
      <c r="AH128" s="52"/>
      <c r="AI128" s="52"/>
      <c r="AJ128" s="52"/>
      <c r="AK128" s="52"/>
      <c r="AL128" s="52"/>
      <c r="AM128" s="52"/>
      <c r="AN128" s="52"/>
      <c r="AO128" s="52">
        <f t="shared" si="45"/>
        <v>13000000</v>
      </c>
      <c r="AP128" s="52">
        <v>13000000</v>
      </c>
      <c r="AQ128" s="52"/>
      <c r="AR128" s="52"/>
      <c r="AS128" s="52"/>
      <c r="AT128" s="52"/>
      <c r="AU128" s="52"/>
      <c r="AV128" s="52"/>
      <c r="AW128" s="52"/>
      <c r="AX128" s="52"/>
      <c r="AY128" s="52"/>
      <c r="AZ128" s="52">
        <f t="shared" si="46"/>
        <v>20000000</v>
      </c>
      <c r="BA128" s="52">
        <v>20000000</v>
      </c>
      <c r="BB128" s="52"/>
      <c r="BC128" s="52"/>
      <c r="BD128" s="52"/>
      <c r="BE128" s="52"/>
      <c r="BF128" s="52"/>
      <c r="BG128" s="52"/>
      <c r="BH128" s="52"/>
      <c r="BI128" s="52"/>
      <c r="BJ128" s="52"/>
      <c r="BK128" s="52">
        <f t="shared" si="47"/>
        <v>24000000</v>
      </c>
      <c r="BL128" s="52">
        <v>24000000</v>
      </c>
      <c r="BM128" s="52"/>
      <c r="BN128" s="52"/>
      <c r="BO128" s="52"/>
      <c r="BP128" s="52"/>
      <c r="BQ128" s="52"/>
      <c r="BR128" s="52"/>
      <c r="BS128" s="52"/>
      <c r="BT128" s="52"/>
      <c r="BU128" s="53"/>
      <c r="BV128" s="54">
        <f t="shared" si="48"/>
        <v>107000000</v>
      </c>
      <c r="BW128" s="77"/>
    </row>
    <row r="129" spans="1:75" s="190" customFormat="1" ht="63" customHeight="1" x14ac:dyDescent="0.2">
      <c r="A129" s="206">
        <v>1</v>
      </c>
      <c r="B129" s="215" t="s">
        <v>19</v>
      </c>
      <c r="C129" s="17" t="s">
        <v>958</v>
      </c>
      <c r="D129" s="17" t="s">
        <v>1628</v>
      </c>
      <c r="E129" s="103" t="s">
        <v>980</v>
      </c>
      <c r="F129" s="6" t="s">
        <v>960</v>
      </c>
      <c r="G129" s="17" t="s">
        <v>970</v>
      </c>
      <c r="H129" s="103" t="s">
        <v>981</v>
      </c>
      <c r="I129" s="6">
        <v>33</v>
      </c>
      <c r="J129" s="101" t="s">
        <v>953</v>
      </c>
      <c r="K129" s="15">
        <v>5</v>
      </c>
      <c r="L129" s="101" t="s">
        <v>953</v>
      </c>
      <c r="M129" s="206">
        <v>25</v>
      </c>
      <c r="N129" s="211">
        <v>3301</v>
      </c>
      <c r="O129" s="207" t="s">
        <v>26</v>
      </c>
      <c r="P129" s="6" t="s">
        <v>982</v>
      </c>
      <c r="Q129" s="87">
        <v>3301073</v>
      </c>
      <c r="R129" s="84">
        <v>3301073</v>
      </c>
      <c r="S129" s="17" t="s">
        <v>94</v>
      </c>
      <c r="T129" s="6" t="s">
        <v>983</v>
      </c>
      <c r="U129" s="87">
        <v>330107301</v>
      </c>
      <c r="V129" s="87">
        <v>330107301</v>
      </c>
      <c r="W129" s="48" t="s">
        <v>984</v>
      </c>
      <c r="X129" s="49" t="s">
        <v>9</v>
      </c>
      <c r="Y129" s="6">
        <v>1800</v>
      </c>
      <c r="Z129" s="6">
        <v>200</v>
      </c>
      <c r="AA129" s="6">
        <v>500</v>
      </c>
      <c r="AB129" s="6">
        <v>550</v>
      </c>
      <c r="AC129" s="6">
        <v>550</v>
      </c>
      <c r="AD129" s="50">
        <f t="shared" si="44"/>
        <v>1308657774.3500001</v>
      </c>
      <c r="AE129" s="52"/>
      <c r="AF129" s="52">
        <v>1308657774.3500001</v>
      </c>
      <c r="AG129" s="52"/>
      <c r="AH129" s="52"/>
      <c r="AI129" s="52"/>
      <c r="AJ129" s="52"/>
      <c r="AK129" s="52"/>
      <c r="AL129" s="52"/>
      <c r="AM129" s="52"/>
      <c r="AN129" s="52"/>
      <c r="AO129" s="52">
        <f t="shared" si="45"/>
        <v>903090682</v>
      </c>
      <c r="AP129" s="52">
        <v>30000000</v>
      </c>
      <c r="AQ129" s="52">
        <v>873090682</v>
      </c>
      <c r="AR129" s="52"/>
      <c r="AS129" s="52"/>
      <c r="AT129" s="52"/>
      <c r="AU129" s="52"/>
      <c r="AV129" s="52"/>
      <c r="AW129" s="52"/>
      <c r="AX129" s="52"/>
      <c r="AY129" s="52"/>
      <c r="AZ129" s="52">
        <f t="shared" si="46"/>
        <v>1489693828</v>
      </c>
      <c r="BA129" s="52">
        <v>478000000</v>
      </c>
      <c r="BB129" s="52">
        <v>1011693828</v>
      </c>
      <c r="BC129" s="52"/>
      <c r="BD129" s="52"/>
      <c r="BE129" s="52"/>
      <c r="BF129" s="52"/>
      <c r="BG129" s="52"/>
      <c r="BH129" s="52"/>
      <c r="BI129" s="52"/>
      <c r="BJ129" s="52"/>
      <c r="BK129" s="52">
        <f t="shared" si="47"/>
        <v>2251615450.3400002</v>
      </c>
      <c r="BL129" s="52">
        <v>1093788068.3399999</v>
      </c>
      <c r="BM129" s="52">
        <v>1157827382</v>
      </c>
      <c r="BN129" s="52"/>
      <c r="BO129" s="52"/>
      <c r="BP129" s="52"/>
      <c r="BQ129" s="52"/>
      <c r="BR129" s="52"/>
      <c r="BS129" s="52"/>
      <c r="BT129" s="52"/>
      <c r="BU129" s="53"/>
      <c r="BV129" s="54">
        <f t="shared" si="48"/>
        <v>5953057734.6900005</v>
      </c>
      <c r="BW129" s="77"/>
    </row>
    <row r="130" spans="1:75" s="190" customFormat="1" ht="63" customHeight="1" x14ac:dyDescent="0.2">
      <c r="A130" s="206">
        <v>1</v>
      </c>
      <c r="B130" s="215" t="s">
        <v>19</v>
      </c>
      <c r="C130" s="17" t="s">
        <v>958</v>
      </c>
      <c r="D130" s="17" t="s">
        <v>1630</v>
      </c>
      <c r="E130" s="103" t="s">
        <v>969</v>
      </c>
      <c r="F130" s="6" t="s">
        <v>960</v>
      </c>
      <c r="G130" s="17" t="s">
        <v>970</v>
      </c>
      <c r="H130" s="103" t="s">
        <v>971</v>
      </c>
      <c r="I130" s="6">
        <v>33</v>
      </c>
      <c r="J130" s="101" t="s">
        <v>953</v>
      </c>
      <c r="K130" s="15">
        <v>5</v>
      </c>
      <c r="L130" s="101" t="s">
        <v>953</v>
      </c>
      <c r="M130" s="206">
        <v>25</v>
      </c>
      <c r="N130" s="211">
        <v>3301</v>
      </c>
      <c r="O130" s="207" t="s">
        <v>26</v>
      </c>
      <c r="P130" s="6" t="s">
        <v>972</v>
      </c>
      <c r="Q130" s="87">
        <v>3301085</v>
      </c>
      <c r="R130" s="84">
        <v>3301085</v>
      </c>
      <c r="S130" s="17" t="s">
        <v>95</v>
      </c>
      <c r="T130" s="6" t="s">
        <v>973</v>
      </c>
      <c r="U130" s="14" t="s">
        <v>974</v>
      </c>
      <c r="V130" s="14" t="s">
        <v>974</v>
      </c>
      <c r="W130" s="48" t="s">
        <v>975</v>
      </c>
      <c r="X130" s="49" t="s">
        <v>9</v>
      </c>
      <c r="Y130" s="6">
        <v>270958</v>
      </c>
      <c r="Z130" s="6">
        <v>958</v>
      </c>
      <c r="AA130" s="6">
        <v>40000</v>
      </c>
      <c r="AB130" s="6">
        <f>90000+25000</f>
        <v>115000</v>
      </c>
      <c r="AC130" s="6">
        <f>90000+25000</f>
        <v>115000</v>
      </c>
      <c r="AD130" s="50">
        <f t="shared" si="44"/>
        <v>110000000</v>
      </c>
      <c r="AE130" s="52"/>
      <c r="AF130" s="52">
        <v>110000000</v>
      </c>
      <c r="AG130" s="52"/>
      <c r="AH130" s="52"/>
      <c r="AI130" s="52"/>
      <c r="AJ130" s="52"/>
      <c r="AK130" s="52"/>
      <c r="AL130" s="52"/>
      <c r="AM130" s="52"/>
      <c r="AN130" s="52"/>
      <c r="AO130" s="52">
        <f t="shared" si="45"/>
        <v>90515114</v>
      </c>
      <c r="AP130" s="52"/>
      <c r="AQ130" s="52">
        <v>90515114</v>
      </c>
      <c r="AR130" s="52"/>
      <c r="AS130" s="52"/>
      <c r="AT130" s="52"/>
      <c r="AU130" s="52"/>
      <c r="AV130" s="52"/>
      <c r="AW130" s="52"/>
      <c r="AX130" s="52"/>
      <c r="AY130" s="52"/>
      <c r="AZ130" s="52">
        <f t="shared" si="46"/>
        <v>90000000</v>
      </c>
      <c r="BA130" s="52"/>
      <c r="BB130" s="52">
        <v>90000000</v>
      </c>
      <c r="BC130" s="52"/>
      <c r="BD130" s="52"/>
      <c r="BE130" s="52"/>
      <c r="BF130" s="52"/>
      <c r="BG130" s="52"/>
      <c r="BH130" s="52"/>
      <c r="BI130" s="52"/>
      <c r="BJ130" s="52"/>
      <c r="BK130" s="52">
        <f t="shared" si="47"/>
        <v>100000000</v>
      </c>
      <c r="BL130" s="52"/>
      <c r="BM130" s="52">
        <v>100000000</v>
      </c>
      <c r="BN130" s="52"/>
      <c r="BO130" s="52"/>
      <c r="BP130" s="52"/>
      <c r="BQ130" s="52"/>
      <c r="BR130" s="52"/>
      <c r="BS130" s="52"/>
      <c r="BT130" s="52"/>
      <c r="BU130" s="53"/>
      <c r="BV130" s="54">
        <f t="shared" si="48"/>
        <v>390515114</v>
      </c>
      <c r="BW130" s="77"/>
    </row>
    <row r="131" spans="1:75" s="190" customFormat="1" ht="63" customHeight="1" x14ac:dyDescent="0.2">
      <c r="A131" s="206">
        <v>1</v>
      </c>
      <c r="B131" s="215" t="s">
        <v>19</v>
      </c>
      <c r="C131" s="17" t="s">
        <v>958</v>
      </c>
      <c r="D131" s="17" t="s">
        <v>1629</v>
      </c>
      <c r="E131" s="102" t="s">
        <v>959</v>
      </c>
      <c r="F131" s="6" t="s">
        <v>960</v>
      </c>
      <c r="G131" s="17" t="s">
        <v>961</v>
      </c>
      <c r="H131" s="103" t="s">
        <v>962</v>
      </c>
      <c r="I131" s="6">
        <v>33</v>
      </c>
      <c r="J131" s="101" t="s">
        <v>953</v>
      </c>
      <c r="K131" s="15">
        <v>5</v>
      </c>
      <c r="L131" s="101" t="s">
        <v>953</v>
      </c>
      <c r="M131" s="206">
        <v>25</v>
      </c>
      <c r="N131" s="211">
        <v>3301</v>
      </c>
      <c r="O131" s="207" t="s">
        <v>26</v>
      </c>
      <c r="P131" s="6" t="s">
        <v>963</v>
      </c>
      <c r="Q131" s="87">
        <v>3301087</v>
      </c>
      <c r="R131" s="84">
        <v>3301087</v>
      </c>
      <c r="S131" s="18" t="s">
        <v>93</v>
      </c>
      <c r="T131" s="6" t="s">
        <v>964</v>
      </c>
      <c r="U131" s="87">
        <v>330108701</v>
      </c>
      <c r="V131" s="87">
        <v>330108701</v>
      </c>
      <c r="W131" s="48" t="s">
        <v>543</v>
      </c>
      <c r="X131" s="49" t="s">
        <v>9</v>
      </c>
      <c r="Y131" s="6">
        <v>18785</v>
      </c>
      <c r="Z131" s="6">
        <v>1600</v>
      </c>
      <c r="AA131" s="6">
        <v>5700</v>
      </c>
      <c r="AB131" s="6">
        <v>5735</v>
      </c>
      <c r="AC131" s="6">
        <v>5750</v>
      </c>
      <c r="AD131" s="50">
        <f t="shared" si="44"/>
        <v>774149741</v>
      </c>
      <c r="AE131" s="52">
        <v>774149741</v>
      </c>
      <c r="AF131" s="52"/>
      <c r="AG131" s="52"/>
      <c r="AH131" s="52"/>
      <c r="AI131" s="52"/>
      <c r="AJ131" s="52"/>
      <c r="AK131" s="52"/>
      <c r="AL131" s="52"/>
      <c r="AM131" s="52"/>
      <c r="AN131" s="52"/>
      <c r="AO131" s="52">
        <f t="shared" si="45"/>
        <v>620221362.39999998</v>
      </c>
      <c r="AP131" s="52">
        <v>620221362.39999998</v>
      </c>
      <c r="AQ131" s="52"/>
      <c r="AR131" s="52"/>
      <c r="AS131" s="52"/>
      <c r="AT131" s="52"/>
      <c r="AU131" s="52"/>
      <c r="AV131" s="52"/>
      <c r="AW131" s="52"/>
      <c r="AX131" s="52"/>
      <c r="AY131" s="52"/>
      <c r="AZ131" s="52">
        <f t="shared" si="46"/>
        <v>762656624.73000002</v>
      </c>
      <c r="BA131" s="52">
        <v>762656624.73000002</v>
      </c>
      <c r="BB131" s="52"/>
      <c r="BC131" s="52"/>
      <c r="BD131" s="52"/>
      <c r="BE131" s="52"/>
      <c r="BF131" s="52"/>
      <c r="BG131" s="52"/>
      <c r="BH131" s="52"/>
      <c r="BI131" s="52"/>
      <c r="BJ131" s="52"/>
      <c r="BK131" s="52">
        <f t="shared" si="47"/>
        <v>965000000</v>
      </c>
      <c r="BL131" s="52">
        <v>965000000</v>
      </c>
      <c r="BM131" s="52"/>
      <c r="BN131" s="52"/>
      <c r="BO131" s="52"/>
      <c r="BP131" s="52"/>
      <c r="BQ131" s="52"/>
      <c r="BR131" s="52"/>
      <c r="BS131" s="52"/>
      <c r="BT131" s="52"/>
      <c r="BU131" s="53"/>
      <c r="BV131" s="54">
        <f t="shared" si="48"/>
        <v>3122027728.1300001</v>
      </c>
      <c r="BW131" s="77"/>
    </row>
    <row r="132" spans="1:75" s="190" customFormat="1" ht="63" customHeight="1" x14ac:dyDescent="0.2">
      <c r="A132" s="206">
        <v>1</v>
      </c>
      <c r="B132" s="215" t="s">
        <v>19</v>
      </c>
      <c r="C132" s="17" t="s">
        <v>958</v>
      </c>
      <c r="D132" s="17" t="s">
        <v>1628</v>
      </c>
      <c r="E132" s="103" t="s">
        <v>980</v>
      </c>
      <c r="F132" s="6" t="s">
        <v>960</v>
      </c>
      <c r="G132" s="17" t="s">
        <v>970</v>
      </c>
      <c r="H132" s="103" t="s">
        <v>981</v>
      </c>
      <c r="I132" s="6">
        <v>33</v>
      </c>
      <c r="J132" s="101" t="s">
        <v>953</v>
      </c>
      <c r="K132" s="15">
        <v>5</v>
      </c>
      <c r="L132" s="101" t="s">
        <v>953</v>
      </c>
      <c r="M132" s="206">
        <v>25</v>
      </c>
      <c r="N132" s="211">
        <v>3301</v>
      </c>
      <c r="O132" s="207" t="s">
        <v>26</v>
      </c>
      <c r="P132" s="6" t="s">
        <v>991</v>
      </c>
      <c r="Q132" s="87">
        <v>3301095</v>
      </c>
      <c r="R132" s="84">
        <v>3301095</v>
      </c>
      <c r="S132" s="17" t="s">
        <v>98</v>
      </c>
      <c r="T132" s="6" t="s">
        <v>992</v>
      </c>
      <c r="U132" s="104" t="s">
        <v>993</v>
      </c>
      <c r="V132" s="104" t="s">
        <v>993</v>
      </c>
      <c r="W132" s="48" t="s">
        <v>994</v>
      </c>
      <c r="X132" s="49" t="s">
        <v>9</v>
      </c>
      <c r="Y132" s="6">
        <v>480</v>
      </c>
      <c r="Z132" s="6">
        <v>30</v>
      </c>
      <c r="AA132" s="6">
        <v>150</v>
      </c>
      <c r="AB132" s="6">
        <v>150</v>
      </c>
      <c r="AC132" s="6">
        <v>150</v>
      </c>
      <c r="AD132" s="50">
        <f t="shared" si="44"/>
        <v>1063903990.74</v>
      </c>
      <c r="AE132" s="52"/>
      <c r="AF132" s="52">
        <v>1063903990.74</v>
      </c>
      <c r="AG132" s="52"/>
      <c r="AH132" s="52"/>
      <c r="AI132" s="52"/>
      <c r="AJ132" s="52"/>
      <c r="AK132" s="52"/>
      <c r="AL132" s="52"/>
      <c r="AM132" s="52"/>
      <c r="AN132" s="52"/>
      <c r="AO132" s="52">
        <f t="shared" si="45"/>
        <v>165515114</v>
      </c>
      <c r="AP132" s="52">
        <v>20000000</v>
      </c>
      <c r="AQ132" s="52">
        <v>145515114</v>
      </c>
      <c r="AR132" s="52"/>
      <c r="AS132" s="52"/>
      <c r="AT132" s="52"/>
      <c r="AU132" s="52"/>
      <c r="AV132" s="52"/>
      <c r="AW132" s="52"/>
      <c r="AX132" s="52"/>
      <c r="AY132" s="52"/>
      <c r="AZ132" s="52">
        <f t="shared" si="46"/>
        <v>208615638</v>
      </c>
      <c r="BA132" s="52">
        <v>40000000</v>
      </c>
      <c r="BB132" s="52">
        <v>168615638</v>
      </c>
      <c r="BC132" s="52"/>
      <c r="BD132" s="52"/>
      <c r="BE132" s="52"/>
      <c r="BF132" s="52"/>
      <c r="BG132" s="52"/>
      <c r="BH132" s="52"/>
      <c r="BI132" s="52"/>
      <c r="BJ132" s="52"/>
      <c r="BK132" s="52">
        <f t="shared" si="47"/>
        <v>244971230</v>
      </c>
      <c r="BL132" s="52">
        <v>52000000</v>
      </c>
      <c r="BM132" s="52">
        <v>192971230</v>
      </c>
      <c r="BN132" s="52"/>
      <c r="BO132" s="52"/>
      <c r="BP132" s="52"/>
      <c r="BQ132" s="52"/>
      <c r="BR132" s="52"/>
      <c r="BS132" s="52"/>
      <c r="BT132" s="52"/>
      <c r="BU132" s="53"/>
      <c r="BV132" s="54">
        <f t="shared" si="48"/>
        <v>1683005972.74</v>
      </c>
      <c r="BW132" s="77"/>
    </row>
    <row r="133" spans="1:75" s="190" customFormat="1" ht="94.5" customHeight="1" x14ac:dyDescent="0.2">
      <c r="A133" s="206">
        <v>1</v>
      </c>
      <c r="B133" s="215" t="s">
        <v>19</v>
      </c>
      <c r="C133" s="17" t="s">
        <v>958</v>
      </c>
      <c r="D133" s="17" t="s">
        <v>1628</v>
      </c>
      <c r="E133" s="103" t="s">
        <v>980</v>
      </c>
      <c r="F133" s="6" t="s">
        <v>960</v>
      </c>
      <c r="G133" s="17" t="s">
        <v>995</v>
      </c>
      <c r="H133" s="103" t="s">
        <v>981</v>
      </c>
      <c r="I133" s="6">
        <v>33</v>
      </c>
      <c r="J133" s="101" t="s">
        <v>953</v>
      </c>
      <c r="K133" s="15">
        <v>5</v>
      </c>
      <c r="L133" s="101" t="s">
        <v>953</v>
      </c>
      <c r="M133" s="206">
        <v>25</v>
      </c>
      <c r="N133" s="211">
        <v>3301</v>
      </c>
      <c r="O133" s="207" t="s">
        <v>26</v>
      </c>
      <c r="P133" s="6" t="s">
        <v>996</v>
      </c>
      <c r="Q133" s="87">
        <v>3301099</v>
      </c>
      <c r="R133" s="84">
        <v>3301099</v>
      </c>
      <c r="S133" s="17" t="s">
        <v>97</v>
      </c>
      <c r="T133" s="6" t="s">
        <v>997</v>
      </c>
      <c r="U133" s="104" t="s">
        <v>998</v>
      </c>
      <c r="V133" s="104" t="s">
        <v>998</v>
      </c>
      <c r="W133" s="48" t="s">
        <v>999</v>
      </c>
      <c r="X133" s="49" t="s">
        <v>8</v>
      </c>
      <c r="Y133" s="6">
        <v>1</v>
      </c>
      <c r="Z133" s="6">
        <v>1</v>
      </c>
      <c r="AA133" s="6">
        <v>1</v>
      </c>
      <c r="AB133" s="6">
        <v>1</v>
      </c>
      <c r="AC133" s="6">
        <v>1</v>
      </c>
      <c r="AD133" s="50">
        <f t="shared" si="44"/>
        <v>80000000</v>
      </c>
      <c r="AE133" s="52">
        <v>80000000</v>
      </c>
      <c r="AF133" s="52"/>
      <c r="AG133" s="52"/>
      <c r="AH133" s="52"/>
      <c r="AI133" s="52"/>
      <c r="AJ133" s="52"/>
      <c r="AK133" s="52"/>
      <c r="AL133" s="52"/>
      <c r="AM133" s="52"/>
      <c r="AN133" s="52"/>
      <c r="AO133" s="52">
        <f t="shared" si="45"/>
        <v>50000000</v>
      </c>
      <c r="AP133" s="52">
        <v>50000000</v>
      </c>
      <c r="AQ133" s="52"/>
      <c r="AR133" s="52"/>
      <c r="AS133" s="52"/>
      <c r="AT133" s="52"/>
      <c r="AU133" s="52"/>
      <c r="AV133" s="52"/>
      <c r="AW133" s="52"/>
      <c r="AX133" s="52"/>
      <c r="AY133" s="52"/>
      <c r="AZ133" s="52">
        <f t="shared" si="46"/>
        <v>50000000</v>
      </c>
      <c r="BA133" s="52">
        <v>50000000</v>
      </c>
      <c r="BB133" s="52"/>
      <c r="BC133" s="52"/>
      <c r="BD133" s="52"/>
      <c r="BE133" s="52"/>
      <c r="BF133" s="52"/>
      <c r="BG133" s="52"/>
      <c r="BH133" s="52"/>
      <c r="BI133" s="52"/>
      <c r="BJ133" s="52"/>
      <c r="BK133" s="52">
        <f t="shared" si="47"/>
        <v>53000000</v>
      </c>
      <c r="BL133" s="52">
        <v>53000000</v>
      </c>
      <c r="BM133" s="52"/>
      <c r="BN133" s="52"/>
      <c r="BO133" s="52"/>
      <c r="BP133" s="52"/>
      <c r="BQ133" s="52"/>
      <c r="BR133" s="52"/>
      <c r="BS133" s="52"/>
      <c r="BT133" s="52"/>
      <c r="BU133" s="53"/>
      <c r="BV133" s="54">
        <f t="shared" si="48"/>
        <v>233000000</v>
      </c>
      <c r="BW133" s="77"/>
    </row>
    <row r="134" spans="1:75" s="190" customFormat="1" ht="63" customHeight="1" x14ac:dyDescent="0.2">
      <c r="A134" s="206">
        <v>1</v>
      </c>
      <c r="B134" s="215" t="s">
        <v>19</v>
      </c>
      <c r="C134" s="17" t="s">
        <v>958</v>
      </c>
      <c r="D134" s="17" t="s">
        <v>1630</v>
      </c>
      <c r="E134" s="103" t="s">
        <v>969</v>
      </c>
      <c r="F134" s="6" t="s">
        <v>960</v>
      </c>
      <c r="G134" s="17" t="s">
        <v>970</v>
      </c>
      <c r="H134" s="103" t="s">
        <v>971</v>
      </c>
      <c r="I134" s="6">
        <v>33</v>
      </c>
      <c r="J134" s="101" t="s">
        <v>953</v>
      </c>
      <c r="K134" s="15">
        <v>5</v>
      </c>
      <c r="L134" s="101" t="s">
        <v>953</v>
      </c>
      <c r="M134" s="206">
        <v>25</v>
      </c>
      <c r="N134" s="211">
        <v>3301</v>
      </c>
      <c r="O134" s="207" t="s">
        <v>26</v>
      </c>
      <c r="P134" s="6" t="s">
        <v>976</v>
      </c>
      <c r="Q134" s="87">
        <v>3301100</v>
      </c>
      <c r="R134" s="84">
        <v>3301100</v>
      </c>
      <c r="S134" s="17" t="s">
        <v>96</v>
      </c>
      <c r="T134" s="6" t="s">
        <v>977</v>
      </c>
      <c r="U134" s="104" t="s">
        <v>978</v>
      </c>
      <c r="V134" s="104" t="s">
        <v>978</v>
      </c>
      <c r="W134" s="48" t="s">
        <v>979</v>
      </c>
      <c r="X134" s="49" t="s">
        <v>9</v>
      </c>
      <c r="Y134" s="6">
        <v>40</v>
      </c>
      <c r="Z134" s="6">
        <v>5</v>
      </c>
      <c r="AA134" s="6">
        <v>10</v>
      </c>
      <c r="AB134" s="6">
        <v>15</v>
      </c>
      <c r="AC134" s="6">
        <v>10</v>
      </c>
      <c r="AD134" s="50">
        <f t="shared" si="44"/>
        <v>94814218.739999995</v>
      </c>
      <c r="AE134" s="52"/>
      <c r="AF134" s="52">
        <v>94814218.739999995</v>
      </c>
      <c r="AG134" s="52"/>
      <c r="AH134" s="52"/>
      <c r="AI134" s="52"/>
      <c r="AJ134" s="52"/>
      <c r="AK134" s="52"/>
      <c r="AL134" s="52"/>
      <c r="AM134" s="52"/>
      <c r="AN134" s="52"/>
      <c r="AO134" s="52">
        <f t="shared" si="45"/>
        <v>55000000</v>
      </c>
      <c r="AP134" s="52"/>
      <c r="AQ134" s="52">
        <v>55000000</v>
      </c>
      <c r="AR134" s="52"/>
      <c r="AS134" s="52"/>
      <c r="AT134" s="52"/>
      <c r="AU134" s="52"/>
      <c r="AV134" s="52"/>
      <c r="AW134" s="52"/>
      <c r="AX134" s="52"/>
      <c r="AY134" s="52"/>
      <c r="AZ134" s="52">
        <f t="shared" si="46"/>
        <v>78615638</v>
      </c>
      <c r="BA134" s="52"/>
      <c r="BB134" s="52">
        <v>78615638</v>
      </c>
      <c r="BC134" s="52"/>
      <c r="BD134" s="52"/>
      <c r="BE134" s="52"/>
      <c r="BF134" s="52"/>
      <c r="BG134" s="52"/>
      <c r="BH134" s="52"/>
      <c r="BI134" s="52"/>
      <c r="BJ134" s="52"/>
      <c r="BK134" s="52">
        <f t="shared" si="47"/>
        <v>92971230</v>
      </c>
      <c r="BL134" s="52"/>
      <c r="BM134" s="52">
        <v>92971230</v>
      </c>
      <c r="BN134" s="52"/>
      <c r="BO134" s="52"/>
      <c r="BP134" s="52"/>
      <c r="BQ134" s="52"/>
      <c r="BR134" s="52"/>
      <c r="BS134" s="52"/>
      <c r="BT134" s="52"/>
      <c r="BU134" s="53"/>
      <c r="BV134" s="54">
        <f t="shared" si="48"/>
        <v>321401086.74000001</v>
      </c>
      <c r="BW134" s="77"/>
    </row>
    <row r="135" spans="1:75" s="190" customFormat="1" ht="78.75" customHeight="1" x14ac:dyDescent="0.2">
      <c r="A135" s="206">
        <v>1</v>
      </c>
      <c r="B135" s="215" t="s">
        <v>19</v>
      </c>
      <c r="C135" s="17" t="s">
        <v>958</v>
      </c>
      <c r="D135" s="17" t="s">
        <v>985</v>
      </c>
      <c r="E135" s="103" t="s">
        <v>980</v>
      </c>
      <c r="F135" s="6" t="s">
        <v>960</v>
      </c>
      <c r="G135" s="17" t="s">
        <v>995</v>
      </c>
      <c r="H135" s="103" t="s">
        <v>981</v>
      </c>
      <c r="I135" s="6">
        <v>33</v>
      </c>
      <c r="J135" s="101" t="s">
        <v>953</v>
      </c>
      <c r="K135" s="15">
        <v>5</v>
      </c>
      <c r="L135" s="101" t="s">
        <v>953</v>
      </c>
      <c r="M135" s="206">
        <v>25</v>
      </c>
      <c r="N135" s="210">
        <v>3301</v>
      </c>
      <c r="O135" s="207" t="s">
        <v>26</v>
      </c>
      <c r="P135" s="83" t="s">
        <v>1554</v>
      </c>
      <c r="Q135" s="84" t="s">
        <v>951</v>
      </c>
      <c r="R135" s="84">
        <v>3301070</v>
      </c>
      <c r="S135" s="105" t="s">
        <v>1555</v>
      </c>
      <c r="T135" s="83" t="s">
        <v>1556</v>
      </c>
      <c r="U135" s="83" t="s">
        <v>951</v>
      </c>
      <c r="V135" s="84">
        <v>330107000</v>
      </c>
      <c r="W135" s="106" t="s">
        <v>1557</v>
      </c>
      <c r="X135" s="49" t="s">
        <v>9</v>
      </c>
      <c r="Y135" s="6">
        <v>1</v>
      </c>
      <c r="Z135" s="6"/>
      <c r="AA135" s="6">
        <v>0.3</v>
      </c>
      <c r="AB135" s="6">
        <v>0.4</v>
      </c>
      <c r="AC135" s="6">
        <v>0.3</v>
      </c>
      <c r="AD135" s="50">
        <f t="shared" si="44"/>
        <v>0</v>
      </c>
      <c r="AE135" s="107"/>
      <c r="AF135" s="108"/>
      <c r="AG135" s="108"/>
      <c r="AH135" s="108"/>
      <c r="AI135" s="108"/>
      <c r="AJ135" s="108"/>
      <c r="AK135" s="107"/>
      <c r="AL135" s="108"/>
      <c r="AM135" s="108"/>
      <c r="AN135" s="108"/>
      <c r="AO135" s="52">
        <f t="shared" si="45"/>
        <v>13000000</v>
      </c>
      <c r="AP135" s="109">
        <v>13000000</v>
      </c>
      <c r="AQ135" s="109"/>
      <c r="AR135" s="109"/>
      <c r="AS135" s="109"/>
      <c r="AT135" s="109"/>
      <c r="AU135" s="109"/>
      <c r="AV135" s="109"/>
      <c r="AW135" s="109"/>
      <c r="AX135" s="109"/>
      <c r="AY135" s="109"/>
      <c r="AZ135" s="52">
        <f t="shared" si="46"/>
        <v>20000000</v>
      </c>
      <c r="BA135" s="109">
        <v>20000000</v>
      </c>
      <c r="BB135" s="109"/>
      <c r="BC135" s="109"/>
      <c r="BD135" s="109"/>
      <c r="BE135" s="109"/>
      <c r="BF135" s="109"/>
      <c r="BG135" s="109"/>
      <c r="BH135" s="109"/>
      <c r="BI135" s="109"/>
      <c r="BJ135" s="109"/>
      <c r="BK135" s="52">
        <f t="shared" si="47"/>
        <v>20000000</v>
      </c>
      <c r="BL135" s="109">
        <v>20000000</v>
      </c>
      <c r="BM135" s="109"/>
      <c r="BN135" s="109"/>
      <c r="BO135" s="109"/>
      <c r="BP135" s="109"/>
      <c r="BQ135" s="109"/>
      <c r="BR135" s="109"/>
      <c r="BS135" s="109"/>
      <c r="BT135" s="109"/>
      <c r="BU135" s="110"/>
      <c r="BV135" s="54">
        <f t="shared" si="48"/>
        <v>53000000</v>
      </c>
      <c r="BW135" s="77"/>
    </row>
    <row r="136" spans="1:75" ht="28.5" customHeight="1" x14ac:dyDescent="0.2">
      <c r="A136" s="206"/>
      <c r="B136" s="215"/>
      <c r="C136" s="56"/>
      <c r="D136" s="17"/>
      <c r="E136" s="16"/>
      <c r="F136" s="6"/>
      <c r="G136" s="17"/>
      <c r="H136" s="16"/>
      <c r="I136" s="6"/>
      <c r="J136" s="6"/>
      <c r="K136" s="15"/>
      <c r="L136" s="6"/>
      <c r="M136" s="58">
        <v>26</v>
      </c>
      <c r="N136" s="111">
        <v>3302</v>
      </c>
      <c r="O136" s="59" t="s">
        <v>99</v>
      </c>
      <c r="P136" s="58"/>
      <c r="Q136" s="58"/>
      <c r="R136" s="58"/>
      <c r="S136" s="60"/>
      <c r="T136" s="60"/>
      <c r="U136" s="60"/>
      <c r="V136" s="60"/>
      <c r="W136" s="43"/>
      <c r="X136" s="44"/>
      <c r="Y136" s="44"/>
      <c r="Z136" s="44"/>
      <c r="AA136" s="44"/>
      <c r="AB136" s="44"/>
      <c r="AC136" s="41"/>
      <c r="AD136" s="61">
        <f>SUM(AD137:AD138)</f>
        <v>367355981.30000001</v>
      </c>
      <c r="AE136" s="61">
        <f t="shared" ref="AE136:BV136" si="49">SUM(AE137:AE138)</f>
        <v>80000000</v>
      </c>
      <c r="AF136" s="61">
        <f t="shared" si="49"/>
        <v>287355981.30000001</v>
      </c>
      <c r="AG136" s="61">
        <f t="shared" si="49"/>
        <v>0</v>
      </c>
      <c r="AH136" s="61">
        <f t="shared" si="49"/>
        <v>0</v>
      </c>
      <c r="AI136" s="61">
        <f t="shared" si="49"/>
        <v>0</v>
      </c>
      <c r="AJ136" s="61">
        <f t="shared" si="49"/>
        <v>0</v>
      </c>
      <c r="AK136" s="61">
        <f t="shared" si="49"/>
        <v>0</v>
      </c>
      <c r="AL136" s="61">
        <f t="shared" si="49"/>
        <v>0</v>
      </c>
      <c r="AM136" s="61">
        <f t="shared" si="49"/>
        <v>0</v>
      </c>
      <c r="AN136" s="61">
        <f t="shared" si="49"/>
        <v>0</v>
      </c>
      <c r="AO136" s="61">
        <f t="shared" si="49"/>
        <v>276196670</v>
      </c>
      <c r="AP136" s="61">
        <f t="shared" si="49"/>
        <v>133000000</v>
      </c>
      <c r="AQ136" s="61">
        <f t="shared" si="49"/>
        <v>143196670</v>
      </c>
      <c r="AR136" s="61">
        <f t="shared" si="49"/>
        <v>0</v>
      </c>
      <c r="AS136" s="61">
        <f t="shared" si="49"/>
        <v>0</v>
      </c>
      <c r="AT136" s="61">
        <f t="shared" si="49"/>
        <v>0</v>
      </c>
      <c r="AU136" s="61">
        <f t="shared" si="49"/>
        <v>0</v>
      </c>
      <c r="AV136" s="61">
        <f t="shared" si="49"/>
        <v>0</v>
      </c>
      <c r="AW136" s="61">
        <f t="shared" si="49"/>
        <v>0</v>
      </c>
      <c r="AX136" s="61">
        <f t="shared" si="49"/>
        <v>0</v>
      </c>
      <c r="AY136" s="61">
        <f t="shared" si="49"/>
        <v>0</v>
      </c>
      <c r="AZ136" s="61">
        <f t="shared" si="49"/>
        <v>301043141</v>
      </c>
      <c r="BA136" s="61">
        <f t="shared" si="49"/>
        <v>135114000</v>
      </c>
      <c r="BB136" s="61">
        <f t="shared" si="49"/>
        <v>165929141</v>
      </c>
      <c r="BC136" s="61">
        <f t="shared" si="49"/>
        <v>0</v>
      </c>
      <c r="BD136" s="61">
        <f t="shared" si="49"/>
        <v>0</v>
      </c>
      <c r="BE136" s="61">
        <f t="shared" si="49"/>
        <v>0</v>
      </c>
      <c r="BF136" s="61">
        <f t="shared" si="49"/>
        <v>0</v>
      </c>
      <c r="BG136" s="61">
        <f t="shared" si="49"/>
        <v>0</v>
      </c>
      <c r="BH136" s="61">
        <f t="shared" si="49"/>
        <v>0</v>
      </c>
      <c r="BI136" s="61">
        <f t="shared" si="49"/>
        <v>0</v>
      </c>
      <c r="BJ136" s="61">
        <f t="shared" si="49"/>
        <v>0</v>
      </c>
      <c r="BK136" s="61">
        <f t="shared" si="49"/>
        <v>326158683</v>
      </c>
      <c r="BL136" s="61">
        <f t="shared" si="49"/>
        <v>136262000</v>
      </c>
      <c r="BM136" s="61">
        <f t="shared" si="49"/>
        <v>189896683</v>
      </c>
      <c r="BN136" s="61">
        <f t="shared" si="49"/>
        <v>0</v>
      </c>
      <c r="BO136" s="61">
        <f t="shared" si="49"/>
        <v>0</v>
      </c>
      <c r="BP136" s="61">
        <f t="shared" si="49"/>
        <v>0</v>
      </c>
      <c r="BQ136" s="61">
        <f t="shared" si="49"/>
        <v>0</v>
      </c>
      <c r="BR136" s="61">
        <f t="shared" si="49"/>
        <v>0</v>
      </c>
      <c r="BS136" s="61">
        <f t="shared" si="49"/>
        <v>0</v>
      </c>
      <c r="BT136" s="61">
        <f t="shared" si="49"/>
        <v>0</v>
      </c>
      <c r="BU136" s="62">
        <f t="shared" si="49"/>
        <v>0</v>
      </c>
      <c r="BV136" s="61">
        <f t="shared" si="49"/>
        <v>1270754475.3</v>
      </c>
      <c r="BW136" s="55"/>
    </row>
    <row r="137" spans="1:75" s="190" customFormat="1" ht="94.5" customHeight="1" x14ac:dyDescent="0.2">
      <c r="A137" s="206">
        <v>1</v>
      </c>
      <c r="B137" s="215" t="s">
        <v>19</v>
      </c>
      <c r="C137" s="17" t="s">
        <v>958</v>
      </c>
      <c r="D137" s="17" t="s">
        <v>1631</v>
      </c>
      <c r="E137" s="103" t="s">
        <v>1000</v>
      </c>
      <c r="F137" s="6" t="s">
        <v>960</v>
      </c>
      <c r="G137" s="17" t="s">
        <v>995</v>
      </c>
      <c r="H137" s="103" t="s">
        <v>1001</v>
      </c>
      <c r="I137" s="6">
        <v>33</v>
      </c>
      <c r="J137" s="101" t="s">
        <v>953</v>
      </c>
      <c r="K137" s="15">
        <v>5</v>
      </c>
      <c r="L137" s="101" t="s">
        <v>953</v>
      </c>
      <c r="M137" s="206">
        <v>26</v>
      </c>
      <c r="N137" s="211">
        <v>3302</v>
      </c>
      <c r="O137" s="207" t="s">
        <v>99</v>
      </c>
      <c r="P137" s="6" t="s">
        <v>1002</v>
      </c>
      <c r="Q137" s="84">
        <v>3302042</v>
      </c>
      <c r="R137" s="84">
        <v>3302042</v>
      </c>
      <c r="S137" s="17" t="s">
        <v>100</v>
      </c>
      <c r="T137" s="6" t="s">
        <v>1003</v>
      </c>
      <c r="U137" s="84" t="s">
        <v>1004</v>
      </c>
      <c r="V137" s="84" t="s">
        <v>1004</v>
      </c>
      <c r="W137" s="48" t="s">
        <v>1005</v>
      </c>
      <c r="X137" s="49" t="s">
        <v>9</v>
      </c>
      <c r="Y137" s="6">
        <v>48</v>
      </c>
      <c r="Z137" s="6">
        <v>12</v>
      </c>
      <c r="AA137" s="6">
        <v>12</v>
      </c>
      <c r="AB137" s="6">
        <v>12</v>
      </c>
      <c r="AC137" s="6">
        <v>12</v>
      </c>
      <c r="AD137" s="50">
        <f>AE137+AF137+AG137+AH137+AI137+AJ137+AK137+AL137+AM137+AN137</f>
        <v>80000000</v>
      </c>
      <c r="AE137" s="52">
        <v>80000000</v>
      </c>
      <c r="AF137" s="52"/>
      <c r="AG137" s="52"/>
      <c r="AH137" s="52"/>
      <c r="AI137" s="52"/>
      <c r="AJ137" s="52"/>
      <c r="AK137" s="52"/>
      <c r="AL137" s="52"/>
      <c r="AM137" s="52"/>
      <c r="AN137" s="52"/>
      <c r="AO137" s="52">
        <f>AP137+AQ137+AR137+AS137+AT137+AU137+AV137+AW137+AX137+AY137</f>
        <v>136500000</v>
      </c>
      <c r="AP137" s="52">
        <v>66500000</v>
      </c>
      <c r="AQ137" s="52">
        <v>70000000</v>
      </c>
      <c r="AR137" s="52"/>
      <c r="AS137" s="52"/>
      <c r="AT137" s="52"/>
      <c r="AU137" s="52"/>
      <c r="AV137" s="52"/>
      <c r="AW137" s="52"/>
      <c r="AX137" s="52"/>
      <c r="AY137" s="52"/>
      <c r="AZ137" s="52">
        <f>BA137+BB137+BC137+BD137+BE137+BF137+BG137+BH137+BI137+BJ137</f>
        <v>153486141</v>
      </c>
      <c r="BA137" s="52">
        <v>67557000</v>
      </c>
      <c r="BB137" s="52">
        <v>85929141</v>
      </c>
      <c r="BC137" s="52"/>
      <c r="BD137" s="52"/>
      <c r="BE137" s="52"/>
      <c r="BF137" s="52"/>
      <c r="BG137" s="52"/>
      <c r="BH137" s="52"/>
      <c r="BI137" s="52"/>
      <c r="BJ137" s="52"/>
      <c r="BK137" s="52">
        <f>BL137+BM137+BN137+BO137+BP137+BQ137+BR137+BS137+BT137+BU137</f>
        <v>158131000</v>
      </c>
      <c r="BL137" s="52">
        <v>68131000</v>
      </c>
      <c r="BM137" s="52">
        <v>90000000</v>
      </c>
      <c r="BN137" s="52"/>
      <c r="BO137" s="52"/>
      <c r="BP137" s="52"/>
      <c r="BQ137" s="52"/>
      <c r="BR137" s="52"/>
      <c r="BS137" s="52"/>
      <c r="BT137" s="52"/>
      <c r="BU137" s="53"/>
      <c r="BV137" s="54">
        <f>AD137+AO137+AZ137+BK137</f>
        <v>528117141</v>
      </c>
      <c r="BW137" s="55"/>
    </row>
    <row r="138" spans="1:75" s="190" customFormat="1" ht="78.75" customHeight="1" x14ac:dyDescent="0.2">
      <c r="A138" s="206">
        <v>1</v>
      </c>
      <c r="B138" s="215" t="s">
        <v>19</v>
      </c>
      <c r="C138" s="17" t="s">
        <v>958</v>
      </c>
      <c r="D138" s="17" t="s">
        <v>1631</v>
      </c>
      <c r="E138" s="103" t="s">
        <v>1000</v>
      </c>
      <c r="F138" s="6" t="s">
        <v>960</v>
      </c>
      <c r="G138" s="17" t="s">
        <v>995</v>
      </c>
      <c r="H138" s="103" t="s">
        <v>1001</v>
      </c>
      <c r="I138" s="6">
        <v>33</v>
      </c>
      <c r="J138" s="101" t="s">
        <v>953</v>
      </c>
      <c r="K138" s="15">
        <v>5</v>
      </c>
      <c r="L138" s="101" t="s">
        <v>953</v>
      </c>
      <c r="M138" s="206">
        <v>26</v>
      </c>
      <c r="N138" s="211">
        <v>3302</v>
      </c>
      <c r="O138" s="207" t="s">
        <v>99</v>
      </c>
      <c r="P138" s="6" t="s">
        <v>1006</v>
      </c>
      <c r="Q138" s="104" t="s">
        <v>101</v>
      </c>
      <c r="R138" s="104" t="s">
        <v>101</v>
      </c>
      <c r="S138" s="17" t="s">
        <v>102</v>
      </c>
      <c r="T138" s="6" t="s">
        <v>1007</v>
      </c>
      <c r="U138" s="104" t="s">
        <v>1008</v>
      </c>
      <c r="V138" s="104" t="s">
        <v>1008</v>
      </c>
      <c r="W138" s="48" t="s">
        <v>979</v>
      </c>
      <c r="X138" s="49" t="s">
        <v>8</v>
      </c>
      <c r="Y138" s="6">
        <v>4</v>
      </c>
      <c r="Z138" s="6">
        <v>4</v>
      </c>
      <c r="AA138" s="6">
        <v>4</v>
      </c>
      <c r="AB138" s="6">
        <v>4</v>
      </c>
      <c r="AC138" s="6">
        <v>4</v>
      </c>
      <c r="AD138" s="50">
        <f>AE138+AF138+AG138+AH138+AI138+AJ138+AK138+AL138+AM138+AN138</f>
        <v>287355981.30000001</v>
      </c>
      <c r="AE138" s="52"/>
      <c r="AF138" s="52">
        <v>287355981.30000001</v>
      </c>
      <c r="AG138" s="52"/>
      <c r="AH138" s="52"/>
      <c r="AI138" s="52"/>
      <c r="AJ138" s="52"/>
      <c r="AK138" s="52"/>
      <c r="AL138" s="52"/>
      <c r="AM138" s="52"/>
      <c r="AN138" s="52"/>
      <c r="AO138" s="52">
        <f>AP138+AQ138+AR138+AS138+AT138+AU138+AV138+AW138+AX138+AY138</f>
        <v>139696670</v>
      </c>
      <c r="AP138" s="52">
        <v>66500000</v>
      </c>
      <c r="AQ138" s="52">
        <v>73196670</v>
      </c>
      <c r="AR138" s="52"/>
      <c r="AS138" s="52"/>
      <c r="AT138" s="52"/>
      <c r="AU138" s="52"/>
      <c r="AV138" s="52"/>
      <c r="AW138" s="52"/>
      <c r="AX138" s="52"/>
      <c r="AY138" s="52"/>
      <c r="AZ138" s="52">
        <f>BA138+BB138+BC138+BD138+BE138+BF138+BG138+BH138+BI138+BJ138</f>
        <v>147557000</v>
      </c>
      <c r="BA138" s="52">
        <v>67557000</v>
      </c>
      <c r="BB138" s="52">
        <v>80000000</v>
      </c>
      <c r="BC138" s="52"/>
      <c r="BD138" s="52"/>
      <c r="BE138" s="52"/>
      <c r="BF138" s="52"/>
      <c r="BG138" s="52"/>
      <c r="BH138" s="52"/>
      <c r="BI138" s="52"/>
      <c r="BJ138" s="52"/>
      <c r="BK138" s="52">
        <f>BL138+BM138+BN138+BO138+BP138+BQ138+BR138+BS138+BT138+BU138</f>
        <v>168027683</v>
      </c>
      <c r="BL138" s="52">
        <v>68131000</v>
      </c>
      <c r="BM138" s="52">
        <v>99896683</v>
      </c>
      <c r="BN138" s="52"/>
      <c r="BO138" s="52"/>
      <c r="BP138" s="52"/>
      <c r="BQ138" s="52"/>
      <c r="BR138" s="52"/>
      <c r="BS138" s="52"/>
      <c r="BT138" s="52"/>
      <c r="BU138" s="53"/>
      <c r="BV138" s="54">
        <f>AD138+AO138+AZ138+BK138</f>
        <v>742637334.29999995</v>
      </c>
      <c r="BW138" s="55"/>
    </row>
    <row r="139" spans="1:75" ht="23.25" customHeight="1" x14ac:dyDescent="0.2">
      <c r="A139" s="206"/>
      <c r="B139" s="215"/>
      <c r="C139" s="56"/>
      <c r="D139" s="17"/>
      <c r="E139" s="16"/>
      <c r="F139" s="6"/>
      <c r="G139" s="17"/>
      <c r="H139" s="16"/>
      <c r="I139" s="6"/>
      <c r="J139" s="6"/>
      <c r="K139" s="15"/>
      <c r="L139" s="6"/>
      <c r="M139" s="58">
        <v>35</v>
      </c>
      <c r="N139" s="58">
        <v>4101</v>
      </c>
      <c r="O139" s="59" t="s">
        <v>66</v>
      </c>
      <c r="P139" s="58"/>
      <c r="Q139" s="60"/>
      <c r="R139" s="60"/>
      <c r="S139" s="60"/>
      <c r="T139" s="60"/>
      <c r="U139" s="60"/>
      <c r="V139" s="60"/>
      <c r="W139" s="43"/>
      <c r="X139" s="44"/>
      <c r="Y139" s="44"/>
      <c r="Z139" s="44"/>
      <c r="AA139" s="44"/>
      <c r="AB139" s="44"/>
      <c r="AC139" s="41"/>
      <c r="AD139" s="61">
        <f>SUBTOTAL(9,AD140:AD144)</f>
        <v>522730761</v>
      </c>
      <c r="AE139" s="61">
        <f t="shared" ref="AE139:BV139" si="50">SUBTOTAL(9,AE140:AE144)</f>
        <v>522730761</v>
      </c>
      <c r="AF139" s="61">
        <f t="shared" si="50"/>
        <v>0</v>
      </c>
      <c r="AG139" s="61">
        <f t="shared" si="50"/>
        <v>0</v>
      </c>
      <c r="AH139" s="61">
        <f t="shared" si="50"/>
        <v>0</v>
      </c>
      <c r="AI139" s="61">
        <f t="shared" si="50"/>
        <v>0</v>
      </c>
      <c r="AJ139" s="61">
        <f t="shared" si="50"/>
        <v>0</v>
      </c>
      <c r="AK139" s="61">
        <f t="shared" si="50"/>
        <v>0</v>
      </c>
      <c r="AL139" s="61">
        <f t="shared" si="50"/>
        <v>0</v>
      </c>
      <c r="AM139" s="61">
        <f t="shared" si="50"/>
        <v>0</v>
      </c>
      <c r="AN139" s="61">
        <f t="shared" si="50"/>
        <v>0</v>
      </c>
      <c r="AO139" s="61">
        <f t="shared" si="50"/>
        <v>205730761</v>
      </c>
      <c r="AP139" s="61">
        <f t="shared" si="50"/>
        <v>205730761</v>
      </c>
      <c r="AQ139" s="61">
        <f t="shared" si="50"/>
        <v>0</v>
      </c>
      <c r="AR139" s="61">
        <f t="shared" si="50"/>
        <v>0</v>
      </c>
      <c r="AS139" s="61">
        <f t="shared" si="50"/>
        <v>0</v>
      </c>
      <c r="AT139" s="61">
        <f t="shared" si="50"/>
        <v>0</v>
      </c>
      <c r="AU139" s="61">
        <f t="shared" si="50"/>
        <v>0</v>
      </c>
      <c r="AV139" s="61">
        <f t="shared" si="50"/>
        <v>0</v>
      </c>
      <c r="AW139" s="61">
        <f t="shared" si="50"/>
        <v>0</v>
      </c>
      <c r="AX139" s="61">
        <f t="shared" si="50"/>
        <v>0</v>
      </c>
      <c r="AY139" s="61">
        <f t="shared" si="50"/>
        <v>0</v>
      </c>
      <c r="AZ139" s="61">
        <f t="shared" si="50"/>
        <v>434100663.58000004</v>
      </c>
      <c r="BA139" s="61">
        <f t="shared" si="50"/>
        <v>434100663.58000004</v>
      </c>
      <c r="BB139" s="61">
        <f t="shared" si="50"/>
        <v>0</v>
      </c>
      <c r="BC139" s="61">
        <f t="shared" si="50"/>
        <v>0</v>
      </c>
      <c r="BD139" s="61">
        <f t="shared" si="50"/>
        <v>0</v>
      </c>
      <c r="BE139" s="61">
        <f t="shared" si="50"/>
        <v>0</v>
      </c>
      <c r="BF139" s="61">
        <f t="shared" si="50"/>
        <v>0</v>
      </c>
      <c r="BG139" s="61">
        <f t="shared" si="50"/>
        <v>0</v>
      </c>
      <c r="BH139" s="61">
        <f t="shared" si="50"/>
        <v>0</v>
      </c>
      <c r="BI139" s="61">
        <f t="shared" si="50"/>
        <v>0</v>
      </c>
      <c r="BJ139" s="61">
        <f t="shared" si="50"/>
        <v>0</v>
      </c>
      <c r="BK139" s="61">
        <f t="shared" si="50"/>
        <v>525504348.71000004</v>
      </c>
      <c r="BL139" s="61">
        <f t="shared" si="50"/>
        <v>525504348.71000004</v>
      </c>
      <c r="BM139" s="61">
        <f t="shared" si="50"/>
        <v>0</v>
      </c>
      <c r="BN139" s="61">
        <f t="shared" si="50"/>
        <v>0</v>
      </c>
      <c r="BO139" s="61">
        <f t="shared" si="50"/>
        <v>0</v>
      </c>
      <c r="BP139" s="61">
        <f t="shared" si="50"/>
        <v>0</v>
      </c>
      <c r="BQ139" s="61">
        <f t="shared" si="50"/>
        <v>0</v>
      </c>
      <c r="BR139" s="61">
        <f t="shared" si="50"/>
        <v>0</v>
      </c>
      <c r="BS139" s="61">
        <f t="shared" si="50"/>
        <v>0</v>
      </c>
      <c r="BT139" s="61">
        <f t="shared" si="50"/>
        <v>0</v>
      </c>
      <c r="BU139" s="62">
        <f t="shared" si="50"/>
        <v>0</v>
      </c>
      <c r="BV139" s="61">
        <f t="shared" si="50"/>
        <v>1688066534.29</v>
      </c>
      <c r="BW139" s="55"/>
    </row>
    <row r="140" spans="1:75" s="190" customFormat="1" ht="94.5" customHeight="1" x14ac:dyDescent="0.2">
      <c r="A140" s="206">
        <v>1</v>
      </c>
      <c r="B140" s="215" t="s">
        <v>19</v>
      </c>
      <c r="C140" s="17" t="s">
        <v>453</v>
      </c>
      <c r="D140" s="17" t="s">
        <v>73</v>
      </c>
      <c r="E140" s="88">
        <v>1.4999999999999999E-2</v>
      </c>
      <c r="F140" s="6">
        <v>2019</v>
      </c>
      <c r="G140" s="17" t="s">
        <v>1123</v>
      </c>
      <c r="H140" s="82">
        <v>0.04</v>
      </c>
      <c r="I140" s="83">
        <v>41</v>
      </c>
      <c r="J140" s="6" t="s">
        <v>1693</v>
      </c>
      <c r="K140" s="15">
        <v>14</v>
      </c>
      <c r="L140" s="6" t="s">
        <v>1084</v>
      </c>
      <c r="M140" s="206">
        <v>35</v>
      </c>
      <c r="N140" s="206">
        <v>4101</v>
      </c>
      <c r="O140" s="207" t="s">
        <v>66</v>
      </c>
      <c r="P140" s="6" t="s">
        <v>1124</v>
      </c>
      <c r="Q140" s="14">
        <v>4101011</v>
      </c>
      <c r="R140" s="14">
        <v>4101011</v>
      </c>
      <c r="S140" s="17" t="s">
        <v>74</v>
      </c>
      <c r="T140" s="6" t="s">
        <v>1125</v>
      </c>
      <c r="U140" s="14">
        <v>410101100</v>
      </c>
      <c r="V140" s="14">
        <v>410101100</v>
      </c>
      <c r="W140" s="48" t="s">
        <v>1126</v>
      </c>
      <c r="X140" s="49" t="s">
        <v>9</v>
      </c>
      <c r="Y140" s="6">
        <v>10</v>
      </c>
      <c r="Z140" s="6">
        <v>2</v>
      </c>
      <c r="AA140" s="6">
        <v>2</v>
      </c>
      <c r="AB140" s="6">
        <v>3</v>
      </c>
      <c r="AC140" s="6">
        <v>3</v>
      </c>
      <c r="AD140" s="50">
        <f>AE140+AF140+AG140+AH140+AI140+AJ140+AK140+AL140+AM140+AN140</f>
        <v>55000000</v>
      </c>
      <c r="AE140" s="52">
        <v>55000000</v>
      </c>
      <c r="AF140" s="52"/>
      <c r="AG140" s="52"/>
      <c r="AH140" s="52"/>
      <c r="AI140" s="52"/>
      <c r="AJ140" s="52"/>
      <c r="AK140" s="52"/>
      <c r="AL140" s="52"/>
      <c r="AM140" s="52"/>
      <c r="AN140" s="52"/>
      <c r="AO140" s="52">
        <f>AP140+AQ140+AR140+AS140+AT140+AU140+AV140+AW140+AX140+AY140</f>
        <v>15000000</v>
      </c>
      <c r="AP140" s="52">
        <v>15000000</v>
      </c>
      <c r="AQ140" s="52"/>
      <c r="AR140" s="52"/>
      <c r="AS140" s="52"/>
      <c r="AT140" s="52"/>
      <c r="AU140" s="52"/>
      <c r="AV140" s="52"/>
      <c r="AW140" s="52"/>
      <c r="AX140" s="52"/>
      <c r="AY140" s="52"/>
      <c r="AZ140" s="52">
        <f t="shared" ref="AZ140:AZ171" si="51">BA140+BB140+BC140+BD140+BE140+BF140+BG140+BH140+BI140+BJ140</f>
        <v>55000000</v>
      </c>
      <c r="BA140" s="52">
        <v>55000000</v>
      </c>
      <c r="BB140" s="52"/>
      <c r="BC140" s="52"/>
      <c r="BD140" s="52"/>
      <c r="BE140" s="52"/>
      <c r="BF140" s="52"/>
      <c r="BG140" s="52"/>
      <c r="BH140" s="52"/>
      <c r="BI140" s="52"/>
      <c r="BJ140" s="52"/>
      <c r="BK140" s="52">
        <f>BL140+BM140+BN140+BO140+BP140+BQ140+BR140+BS140+BT140+BU140</f>
        <v>55000000</v>
      </c>
      <c r="BL140" s="52">
        <v>55000000</v>
      </c>
      <c r="BM140" s="52"/>
      <c r="BN140" s="52"/>
      <c r="BO140" s="52"/>
      <c r="BP140" s="52"/>
      <c r="BQ140" s="52"/>
      <c r="BR140" s="52"/>
      <c r="BS140" s="52"/>
      <c r="BT140" s="52"/>
      <c r="BU140" s="53"/>
      <c r="BV140" s="54">
        <f>AD140+AO140+AZ140+BK140</f>
        <v>180000000</v>
      </c>
      <c r="BW140" s="55"/>
    </row>
    <row r="141" spans="1:75" s="190" customFormat="1" ht="126" customHeight="1" x14ac:dyDescent="0.2">
      <c r="A141" s="206">
        <v>1</v>
      </c>
      <c r="B141" s="215" t="s">
        <v>19</v>
      </c>
      <c r="C141" s="17" t="s">
        <v>453</v>
      </c>
      <c r="D141" s="17" t="s">
        <v>67</v>
      </c>
      <c r="E141" s="88">
        <v>4.36E-2</v>
      </c>
      <c r="F141" s="6">
        <v>2019</v>
      </c>
      <c r="G141" s="17" t="s">
        <v>1127</v>
      </c>
      <c r="H141" s="88">
        <v>0.14149999999999999</v>
      </c>
      <c r="I141" s="83">
        <v>41</v>
      </c>
      <c r="J141" s="6" t="s">
        <v>1693</v>
      </c>
      <c r="K141" s="15">
        <v>14</v>
      </c>
      <c r="L141" s="6" t="s">
        <v>1084</v>
      </c>
      <c r="M141" s="206">
        <v>35</v>
      </c>
      <c r="N141" s="206">
        <v>4101</v>
      </c>
      <c r="O141" s="207" t="s">
        <v>66</v>
      </c>
      <c r="P141" s="6" t="s">
        <v>1128</v>
      </c>
      <c r="Q141" s="14">
        <v>4101023</v>
      </c>
      <c r="R141" s="14">
        <v>4101023</v>
      </c>
      <c r="S141" s="17" t="s">
        <v>68</v>
      </c>
      <c r="T141" s="6" t="s">
        <v>1129</v>
      </c>
      <c r="U141" s="14">
        <v>410102300</v>
      </c>
      <c r="V141" s="14">
        <v>410102300</v>
      </c>
      <c r="W141" s="48" t="s">
        <v>1130</v>
      </c>
      <c r="X141" s="49" t="s">
        <v>9</v>
      </c>
      <c r="Y141" s="6">
        <v>2500</v>
      </c>
      <c r="Z141" s="6">
        <v>200</v>
      </c>
      <c r="AA141" s="6">
        <v>500</v>
      </c>
      <c r="AB141" s="6">
        <v>900</v>
      </c>
      <c r="AC141" s="6">
        <v>900</v>
      </c>
      <c r="AD141" s="50">
        <f>AE141+AF141+AG141+AH141+AI141+AJ141+AK141+AL141+AM141+AN141</f>
        <v>310730761</v>
      </c>
      <c r="AE141" s="52">
        <v>310730761</v>
      </c>
      <c r="AF141" s="52"/>
      <c r="AG141" s="52"/>
      <c r="AH141" s="52"/>
      <c r="AI141" s="52"/>
      <c r="AJ141" s="52"/>
      <c r="AK141" s="52"/>
      <c r="AL141" s="52"/>
      <c r="AM141" s="52"/>
      <c r="AN141" s="52"/>
      <c r="AO141" s="52">
        <f>AP141+AQ141+AR141+AS141+AT141+AU141+AV141+AW141+AX141+AY141</f>
        <v>70000000</v>
      </c>
      <c r="AP141" s="52">
        <v>70000000</v>
      </c>
      <c r="AQ141" s="52"/>
      <c r="AR141" s="52"/>
      <c r="AS141" s="52"/>
      <c r="AT141" s="52"/>
      <c r="AU141" s="52"/>
      <c r="AV141" s="52"/>
      <c r="AW141" s="52"/>
      <c r="AX141" s="52"/>
      <c r="AY141" s="52"/>
      <c r="AZ141" s="52">
        <f t="shared" si="51"/>
        <v>223713869.72999999</v>
      </c>
      <c r="BA141" s="52">
        <v>223713869.72999999</v>
      </c>
      <c r="BB141" s="52"/>
      <c r="BC141" s="52"/>
      <c r="BD141" s="52"/>
      <c r="BE141" s="52"/>
      <c r="BF141" s="52"/>
      <c r="BG141" s="52"/>
      <c r="BH141" s="52"/>
      <c r="BI141" s="52"/>
      <c r="BJ141" s="52"/>
      <c r="BK141" s="52">
        <f>BL141+BM141+BN141+BO141+BP141+BQ141+BR141+BS141+BT141+BU141</f>
        <v>260730760</v>
      </c>
      <c r="BL141" s="52">
        <v>260730760</v>
      </c>
      <c r="BM141" s="52"/>
      <c r="BN141" s="52"/>
      <c r="BO141" s="52"/>
      <c r="BP141" s="52"/>
      <c r="BQ141" s="52"/>
      <c r="BR141" s="52"/>
      <c r="BS141" s="52"/>
      <c r="BT141" s="52"/>
      <c r="BU141" s="53"/>
      <c r="BV141" s="54">
        <f>AD141+AO141+AZ141+BK141</f>
        <v>865175390.73000002</v>
      </c>
      <c r="BW141" s="55"/>
    </row>
    <row r="142" spans="1:75" s="190" customFormat="1" ht="126" customHeight="1" x14ac:dyDescent="0.2">
      <c r="A142" s="206">
        <v>1</v>
      </c>
      <c r="B142" s="215" t="s">
        <v>19</v>
      </c>
      <c r="C142" s="17" t="s">
        <v>453</v>
      </c>
      <c r="D142" s="17" t="s">
        <v>67</v>
      </c>
      <c r="E142" s="88">
        <v>4.36E-2</v>
      </c>
      <c r="F142" s="6">
        <v>2019</v>
      </c>
      <c r="G142" s="17" t="s">
        <v>1127</v>
      </c>
      <c r="H142" s="88">
        <v>0.14149999999999999</v>
      </c>
      <c r="I142" s="83">
        <v>41</v>
      </c>
      <c r="J142" s="6" t="s">
        <v>1693</v>
      </c>
      <c r="K142" s="15">
        <v>14</v>
      </c>
      <c r="L142" s="6" t="s">
        <v>1084</v>
      </c>
      <c r="M142" s="206">
        <v>35</v>
      </c>
      <c r="N142" s="206">
        <v>4101</v>
      </c>
      <c r="O142" s="207" t="s">
        <v>66</v>
      </c>
      <c r="P142" s="6" t="s">
        <v>1131</v>
      </c>
      <c r="Q142" s="14">
        <v>4101025</v>
      </c>
      <c r="R142" s="14">
        <v>4101025</v>
      </c>
      <c r="S142" s="17" t="s">
        <v>69</v>
      </c>
      <c r="T142" s="6" t="s">
        <v>1132</v>
      </c>
      <c r="U142" s="14">
        <v>410102511</v>
      </c>
      <c r="V142" s="14">
        <v>410102511</v>
      </c>
      <c r="W142" s="48" t="s">
        <v>1133</v>
      </c>
      <c r="X142" s="49" t="s">
        <v>9</v>
      </c>
      <c r="Y142" s="6">
        <v>500</v>
      </c>
      <c r="Z142" s="6">
        <v>250</v>
      </c>
      <c r="AA142" s="6">
        <v>100</v>
      </c>
      <c r="AB142" s="6">
        <v>100</v>
      </c>
      <c r="AC142" s="6">
        <v>50</v>
      </c>
      <c r="AD142" s="50">
        <f>AE142+AF142+AG142+AH142+AI142+AJ142+AK142+AL142+AM142+AN142</f>
        <v>50000000</v>
      </c>
      <c r="AE142" s="52">
        <v>50000000</v>
      </c>
      <c r="AF142" s="52"/>
      <c r="AG142" s="52"/>
      <c r="AH142" s="52"/>
      <c r="AI142" s="52"/>
      <c r="AJ142" s="52"/>
      <c r="AK142" s="52"/>
      <c r="AL142" s="52"/>
      <c r="AM142" s="52"/>
      <c r="AN142" s="52"/>
      <c r="AO142" s="52">
        <f>AP142+AQ142+AR142+AS142+AT142+AU142+AV142+AW142+AX142+AY142</f>
        <v>40000000</v>
      </c>
      <c r="AP142" s="52">
        <v>40000000</v>
      </c>
      <c r="AQ142" s="52"/>
      <c r="AR142" s="52"/>
      <c r="AS142" s="52"/>
      <c r="AT142" s="52"/>
      <c r="AU142" s="52"/>
      <c r="AV142" s="52"/>
      <c r="AW142" s="52"/>
      <c r="AX142" s="52"/>
      <c r="AY142" s="52"/>
      <c r="AZ142" s="52">
        <f t="shared" si="51"/>
        <v>50000000</v>
      </c>
      <c r="BA142" s="52">
        <v>50000000</v>
      </c>
      <c r="BB142" s="52"/>
      <c r="BC142" s="52"/>
      <c r="BD142" s="52"/>
      <c r="BE142" s="52"/>
      <c r="BF142" s="52"/>
      <c r="BG142" s="52"/>
      <c r="BH142" s="52"/>
      <c r="BI142" s="52"/>
      <c r="BJ142" s="52"/>
      <c r="BK142" s="52">
        <f>BL142+BM142+BN142+BO142+BP142+BQ142+BR142+BS142+BT142+BU142</f>
        <v>85000000</v>
      </c>
      <c r="BL142" s="52">
        <v>85000000</v>
      </c>
      <c r="BM142" s="52"/>
      <c r="BN142" s="52"/>
      <c r="BO142" s="52"/>
      <c r="BP142" s="52"/>
      <c r="BQ142" s="52"/>
      <c r="BR142" s="52"/>
      <c r="BS142" s="52"/>
      <c r="BT142" s="52"/>
      <c r="BU142" s="53"/>
      <c r="BV142" s="54">
        <f>AD142+AO142+AZ142+BK142</f>
        <v>225000000</v>
      </c>
      <c r="BW142" s="55"/>
    </row>
    <row r="143" spans="1:75" s="190" customFormat="1" ht="126" customHeight="1" x14ac:dyDescent="0.2">
      <c r="A143" s="206">
        <v>1</v>
      </c>
      <c r="B143" s="215" t="s">
        <v>19</v>
      </c>
      <c r="C143" s="17" t="s">
        <v>453</v>
      </c>
      <c r="D143" s="17" t="s">
        <v>67</v>
      </c>
      <c r="E143" s="88">
        <v>4.36E-2</v>
      </c>
      <c r="F143" s="6">
        <v>2019</v>
      </c>
      <c r="G143" s="17" t="s">
        <v>1127</v>
      </c>
      <c r="H143" s="88">
        <v>0.14149999999999999</v>
      </c>
      <c r="I143" s="83">
        <v>41</v>
      </c>
      <c r="J143" s="6" t="s">
        <v>1693</v>
      </c>
      <c r="K143" s="15">
        <v>14</v>
      </c>
      <c r="L143" s="6" t="s">
        <v>1084</v>
      </c>
      <c r="M143" s="206">
        <v>35</v>
      </c>
      <c r="N143" s="206">
        <v>4101</v>
      </c>
      <c r="O143" s="207" t="s">
        <v>66</v>
      </c>
      <c r="P143" s="6" t="s">
        <v>1134</v>
      </c>
      <c r="Q143" s="14" t="s">
        <v>1135</v>
      </c>
      <c r="R143" s="14" t="s">
        <v>1135</v>
      </c>
      <c r="S143" s="17" t="s">
        <v>70</v>
      </c>
      <c r="T143" s="6" t="s">
        <v>1136</v>
      </c>
      <c r="U143" s="14">
        <v>410103800</v>
      </c>
      <c r="V143" s="14">
        <v>410103800</v>
      </c>
      <c r="W143" s="48" t="s">
        <v>1137</v>
      </c>
      <c r="X143" s="49" t="s">
        <v>9</v>
      </c>
      <c r="Y143" s="6">
        <v>48</v>
      </c>
      <c r="Z143" s="6">
        <v>12</v>
      </c>
      <c r="AA143" s="6">
        <v>12</v>
      </c>
      <c r="AB143" s="6">
        <v>12</v>
      </c>
      <c r="AC143" s="6">
        <v>12</v>
      </c>
      <c r="AD143" s="50">
        <f>AE143+AF143+AG143+AH143+AI143+AJ143+AK143+AL143+AM143+AN143</f>
        <v>42000000</v>
      </c>
      <c r="AE143" s="52">
        <v>42000000</v>
      </c>
      <c r="AF143" s="52"/>
      <c r="AG143" s="52"/>
      <c r="AH143" s="52"/>
      <c r="AI143" s="52"/>
      <c r="AJ143" s="52"/>
      <c r="AK143" s="52"/>
      <c r="AL143" s="52"/>
      <c r="AM143" s="52"/>
      <c r="AN143" s="52"/>
      <c r="AO143" s="52">
        <f>AP143+AQ143+AR143+AS143+AT143+AU143+AV143+AW143+AX143+AY143</f>
        <v>40730761</v>
      </c>
      <c r="AP143" s="52">
        <v>40730761</v>
      </c>
      <c r="AQ143" s="52"/>
      <c r="AR143" s="52"/>
      <c r="AS143" s="52"/>
      <c r="AT143" s="52"/>
      <c r="AU143" s="52"/>
      <c r="AV143" s="52"/>
      <c r="AW143" s="52"/>
      <c r="AX143" s="52"/>
      <c r="AY143" s="52"/>
      <c r="AZ143" s="52">
        <f t="shared" si="51"/>
        <v>40386793.849999994</v>
      </c>
      <c r="BA143" s="52">
        <v>40386793.849999994</v>
      </c>
      <c r="BB143" s="52"/>
      <c r="BC143" s="52"/>
      <c r="BD143" s="52"/>
      <c r="BE143" s="52"/>
      <c r="BF143" s="52"/>
      <c r="BG143" s="52"/>
      <c r="BH143" s="52"/>
      <c r="BI143" s="52"/>
      <c r="BJ143" s="52"/>
      <c r="BK143" s="52">
        <f>BL143+BM143+BN143+BO143+BP143+BQ143+BR143+BS143+BT143+BU143</f>
        <v>47886794.359999999</v>
      </c>
      <c r="BL143" s="52">
        <v>47886794.359999999</v>
      </c>
      <c r="BM143" s="52"/>
      <c r="BN143" s="52"/>
      <c r="BO143" s="52"/>
      <c r="BP143" s="52"/>
      <c r="BQ143" s="52"/>
      <c r="BR143" s="52"/>
      <c r="BS143" s="52"/>
      <c r="BT143" s="52"/>
      <c r="BU143" s="53"/>
      <c r="BV143" s="54">
        <f>AD143+AO143+AZ143+BK143</f>
        <v>171004349.20999998</v>
      </c>
      <c r="BW143" s="55"/>
    </row>
    <row r="144" spans="1:75" s="190" customFormat="1" ht="78.75" customHeight="1" x14ac:dyDescent="0.2">
      <c r="A144" s="206">
        <v>1</v>
      </c>
      <c r="B144" s="215" t="s">
        <v>19</v>
      </c>
      <c r="C144" s="17" t="s">
        <v>453</v>
      </c>
      <c r="D144" s="17" t="s">
        <v>71</v>
      </c>
      <c r="E144" s="88">
        <v>0.3039</v>
      </c>
      <c r="F144" s="6">
        <v>2018</v>
      </c>
      <c r="G144" s="17" t="s">
        <v>1138</v>
      </c>
      <c r="H144" s="88">
        <v>0.30880000000000002</v>
      </c>
      <c r="I144" s="83">
        <v>41</v>
      </c>
      <c r="J144" s="6" t="s">
        <v>1693</v>
      </c>
      <c r="K144" s="15">
        <v>14</v>
      </c>
      <c r="L144" s="6" t="s">
        <v>1084</v>
      </c>
      <c r="M144" s="206">
        <v>35</v>
      </c>
      <c r="N144" s="206">
        <v>4101</v>
      </c>
      <c r="O144" s="207" t="s">
        <v>66</v>
      </c>
      <c r="P144" s="6" t="s">
        <v>1139</v>
      </c>
      <c r="Q144" s="14" t="s">
        <v>1140</v>
      </c>
      <c r="R144" s="14" t="s">
        <v>1140</v>
      </c>
      <c r="S144" s="17" t="s">
        <v>72</v>
      </c>
      <c r="T144" s="6" t="s">
        <v>1141</v>
      </c>
      <c r="U144" s="14">
        <v>410107300</v>
      </c>
      <c r="V144" s="14">
        <v>410107300</v>
      </c>
      <c r="W144" s="48" t="s">
        <v>1142</v>
      </c>
      <c r="X144" s="49" t="s">
        <v>9</v>
      </c>
      <c r="Y144" s="6">
        <v>200</v>
      </c>
      <c r="Z144" s="6">
        <v>20</v>
      </c>
      <c r="AA144" s="6">
        <v>30</v>
      </c>
      <c r="AB144" s="6">
        <v>75</v>
      </c>
      <c r="AC144" s="6">
        <v>75</v>
      </c>
      <c r="AD144" s="50">
        <f>AE144+AF144+AG144+AH144+AI144+AJ144+AK144+AL144+AM144+AN144</f>
        <v>65000000</v>
      </c>
      <c r="AE144" s="52">
        <v>65000000</v>
      </c>
      <c r="AF144" s="52"/>
      <c r="AG144" s="52"/>
      <c r="AH144" s="52"/>
      <c r="AI144" s="52"/>
      <c r="AJ144" s="52"/>
      <c r="AK144" s="52"/>
      <c r="AL144" s="52"/>
      <c r="AM144" s="52"/>
      <c r="AN144" s="52"/>
      <c r="AO144" s="52">
        <f>AP144+AQ144+AR144+AS144+AT144+AU144+AV144+AW144+AX144+AY144</f>
        <v>40000000</v>
      </c>
      <c r="AP144" s="52">
        <v>40000000</v>
      </c>
      <c r="AQ144" s="52"/>
      <c r="AR144" s="52"/>
      <c r="AS144" s="52"/>
      <c r="AT144" s="52"/>
      <c r="AU144" s="52"/>
      <c r="AV144" s="52"/>
      <c r="AW144" s="52"/>
      <c r="AX144" s="52"/>
      <c r="AY144" s="52"/>
      <c r="AZ144" s="52">
        <f t="shared" si="51"/>
        <v>65000000</v>
      </c>
      <c r="BA144" s="52">
        <v>65000000</v>
      </c>
      <c r="BB144" s="52"/>
      <c r="BC144" s="52"/>
      <c r="BD144" s="52"/>
      <c r="BE144" s="52"/>
      <c r="BF144" s="52"/>
      <c r="BG144" s="52"/>
      <c r="BH144" s="52"/>
      <c r="BI144" s="52"/>
      <c r="BJ144" s="52"/>
      <c r="BK144" s="52">
        <f>BL144+BM144+BN144+BO144+BP144+BQ144+BR144+BS144+BT144+BU144</f>
        <v>76886794.349999994</v>
      </c>
      <c r="BL144" s="52">
        <v>76886794.349999994</v>
      </c>
      <c r="BM144" s="52"/>
      <c r="BN144" s="52"/>
      <c r="BO144" s="52"/>
      <c r="BP144" s="52"/>
      <c r="BQ144" s="52"/>
      <c r="BR144" s="52"/>
      <c r="BS144" s="52"/>
      <c r="BT144" s="52"/>
      <c r="BU144" s="53"/>
      <c r="BV144" s="54">
        <f>AD144+AO144+AZ144+BK144</f>
        <v>246886794.34999999</v>
      </c>
      <c r="BW144" s="55"/>
    </row>
    <row r="145" spans="1:75" ht="27.75" customHeight="1" x14ac:dyDescent="0.2">
      <c r="A145" s="206"/>
      <c r="B145" s="215"/>
      <c r="C145" s="56"/>
      <c r="D145" s="17"/>
      <c r="E145" s="16"/>
      <c r="F145" s="6"/>
      <c r="G145" s="17"/>
      <c r="H145" s="16"/>
      <c r="I145" s="210">
        <v>41</v>
      </c>
      <c r="J145" s="206" t="s">
        <v>1693</v>
      </c>
      <c r="K145" s="15"/>
      <c r="L145" s="6"/>
      <c r="M145" s="58">
        <v>36</v>
      </c>
      <c r="N145" s="58">
        <v>4102</v>
      </c>
      <c r="O145" s="59" t="s">
        <v>1656</v>
      </c>
      <c r="P145" s="58"/>
      <c r="Q145" s="60"/>
      <c r="R145" s="60"/>
      <c r="S145" s="60"/>
      <c r="T145" s="60"/>
      <c r="U145" s="60"/>
      <c r="V145" s="60"/>
      <c r="W145" s="43"/>
      <c r="X145" s="44"/>
      <c r="Y145" s="44"/>
      <c r="Z145" s="44"/>
      <c r="AA145" s="44"/>
      <c r="AB145" s="44"/>
      <c r="AC145" s="41"/>
      <c r="AD145" s="61">
        <f>SUM(AD146:AD155)</f>
        <v>737000000</v>
      </c>
      <c r="AE145" s="61">
        <f t="shared" ref="AE145:AX145" si="52">SUM(AE146:AE155)</f>
        <v>737000000</v>
      </c>
      <c r="AF145" s="61">
        <f t="shared" si="52"/>
        <v>0</v>
      </c>
      <c r="AG145" s="61">
        <f t="shared" si="52"/>
        <v>0</v>
      </c>
      <c r="AH145" s="61">
        <f t="shared" si="52"/>
        <v>0</v>
      </c>
      <c r="AI145" s="61">
        <f t="shared" si="52"/>
        <v>0</v>
      </c>
      <c r="AJ145" s="61">
        <f t="shared" si="52"/>
        <v>0</v>
      </c>
      <c r="AK145" s="61">
        <f t="shared" si="52"/>
        <v>0</v>
      </c>
      <c r="AL145" s="61">
        <f t="shared" si="52"/>
        <v>0</v>
      </c>
      <c r="AM145" s="61">
        <f t="shared" si="52"/>
        <v>0</v>
      </c>
      <c r="AN145" s="61">
        <f t="shared" si="52"/>
        <v>0</v>
      </c>
      <c r="AO145" s="61">
        <f t="shared" si="52"/>
        <v>751700000</v>
      </c>
      <c r="AP145" s="61">
        <f t="shared" si="52"/>
        <v>751700000</v>
      </c>
      <c r="AQ145" s="61">
        <f t="shared" si="52"/>
        <v>0</v>
      </c>
      <c r="AR145" s="61">
        <f t="shared" si="52"/>
        <v>0</v>
      </c>
      <c r="AS145" s="61">
        <f t="shared" si="52"/>
        <v>0</v>
      </c>
      <c r="AT145" s="61">
        <f t="shared" si="52"/>
        <v>0</v>
      </c>
      <c r="AU145" s="61">
        <f t="shared" si="52"/>
        <v>0</v>
      </c>
      <c r="AV145" s="61">
        <f t="shared" si="52"/>
        <v>0</v>
      </c>
      <c r="AW145" s="61">
        <f t="shared" si="52"/>
        <v>0</v>
      </c>
      <c r="AX145" s="61">
        <f t="shared" si="52"/>
        <v>0</v>
      </c>
      <c r="AY145" s="61">
        <f t="shared" ref="AY145:BV145" si="53">SUM(AY146:AY155)</f>
        <v>0</v>
      </c>
      <c r="AZ145" s="61">
        <f t="shared" si="53"/>
        <v>921078600</v>
      </c>
      <c r="BA145" s="61">
        <f t="shared" si="53"/>
        <v>921078600</v>
      </c>
      <c r="BB145" s="61">
        <f t="shared" si="53"/>
        <v>0</v>
      </c>
      <c r="BC145" s="61">
        <f t="shared" si="53"/>
        <v>0</v>
      </c>
      <c r="BD145" s="61">
        <f t="shared" si="53"/>
        <v>0</v>
      </c>
      <c r="BE145" s="61">
        <f t="shared" si="53"/>
        <v>0</v>
      </c>
      <c r="BF145" s="61">
        <f t="shared" si="53"/>
        <v>0</v>
      </c>
      <c r="BG145" s="61">
        <f t="shared" si="53"/>
        <v>0</v>
      </c>
      <c r="BH145" s="61">
        <f t="shared" si="53"/>
        <v>0</v>
      </c>
      <c r="BI145" s="61">
        <f t="shared" si="53"/>
        <v>0</v>
      </c>
      <c r="BJ145" s="61">
        <f t="shared" si="53"/>
        <v>0</v>
      </c>
      <c r="BK145" s="61">
        <f t="shared" si="53"/>
        <v>1154960626.9200001</v>
      </c>
      <c r="BL145" s="61">
        <f t="shared" si="53"/>
        <v>1154960626.9200001</v>
      </c>
      <c r="BM145" s="61">
        <f t="shared" si="53"/>
        <v>0</v>
      </c>
      <c r="BN145" s="61">
        <f t="shared" si="53"/>
        <v>0</v>
      </c>
      <c r="BO145" s="61">
        <f t="shared" si="53"/>
        <v>0</v>
      </c>
      <c r="BP145" s="61">
        <f t="shared" si="53"/>
        <v>0</v>
      </c>
      <c r="BQ145" s="61">
        <f t="shared" si="53"/>
        <v>0</v>
      </c>
      <c r="BR145" s="61">
        <f t="shared" si="53"/>
        <v>0</v>
      </c>
      <c r="BS145" s="61">
        <f t="shared" si="53"/>
        <v>0</v>
      </c>
      <c r="BT145" s="61">
        <f t="shared" si="53"/>
        <v>0</v>
      </c>
      <c r="BU145" s="61">
        <f t="shared" si="53"/>
        <v>0</v>
      </c>
      <c r="BV145" s="61">
        <f t="shared" si="53"/>
        <v>3564739226.9200001</v>
      </c>
      <c r="BW145" s="55"/>
    </row>
    <row r="146" spans="1:75" s="190" customFormat="1" ht="207.75" customHeight="1" x14ac:dyDescent="0.2">
      <c r="A146" s="206">
        <v>1</v>
      </c>
      <c r="B146" s="215" t="s">
        <v>19</v>
      </c>
      <c r="C146" s="17" t="s">
        <v>212</v>
      </c>
      <c r="D146" s="17" t="s">
        <v>1585</v>
      </c>
      <c r="E146" s="69" t="s">
        <v>1143</v>
      </c>
      <c r="F146" s="6" t="s">
        <v>1144</v>
      </c>
      <c r="G146" s="17" t="s">
        <v>1145</v>
      </c>
      <c r="H146" s="112" t="s">
        <v>1146</v>
      </c>
      <c r="I146" s="83">
        <v>41</v>
      </c>
      <c r="J146" s="6" t="s">
        <v>1693</v>
      </c>
      <c r="K146" s="15">
        <v>14</v>
      </c>
      <c r="L146" s="6" t="s">
        <v>1084</v>
      </c>
      <c r="M146" s="206">
        <v>36</v>
      </c>
      <c r="N146" s="206">
        <v>4102</v>
      </c>
      <c r="O146" s="212" t="s">
        <v>1656</v>
      </c>
      <c r="P146" s="6" t="s">
        <v>1147</v>
      </c>
      <c r="Q146" s="14">
        <v>4102022</v>
      </c>
      <c r="R146" s="14">
        <v>4102046</v>
      </c>
      <c r="S146" s="56" t="s">
        <v>187</v>
      </c>
      <c r="T146" s="6" t="s">
        <v>1148</v>
      </c>
      <c r="U146" s="14" t="s">
        <v>1149</v>
      </c>
      <c r="V146" s="14">
        <v>410204600</v>
      </c>
      <c r="W146" s="57" t="s">
        <v>1150</v>
      </c>
      <c r="X146" s="113" t="s">
        <v>9</v>
      </c>
      <c r="Y146" s="14">
        <v>64</v>
      </c>
      <c r="Z146" s="14">
        <v>6</v>
      </c>
      <c r="AA146" s="14">
        <v>16</v>
      </c>
      <c r="AB146" s="14">
        <v>21</v>
      </c>
      <c r="AC146" s="14">
        <v>21</v>
      </c>
      <c r="AD146" s="50">
        <f t="shared" ref="AD146:AD155" si="54">AE146+AF146+AG146+AH146+AI146+AJ146+AK146+AL146+AM146+AN146</f>
        <v>55000000</v>
      </c>
      <c r="AE146" s="52">
        <f>20000000+35000000</f>
        <v>55000000</v>
      </c>
      <c r="AF146" s="52"/>
      <c r="AG146" s="52"/>
      <c r="AH146" s="52"/>
      <c r="AI146" s="52"/>
      <c r="AJ146" s="52"/>
      <c r="AK146" s="52"/>
      <c r="AL146" s="52"/>
      <c r="AM146" s="52"/>
      <c r="AN146" s="52"/>
      <c r="AO146" s="52">
        <f t="shared" ref="AO146:AO155" si="55">AP146+AQ146+AR146+AS146+AT146+AU146+AV146+AW146+AX146+AY146</f>
        <v>10000000</v>
      </c>
      <c r="AP146" s="52">
        <v>10000000</v>
      </c>
      <c r="AQ146" s="52"/>
      <c r="AR146" s="52"/>
      <c r="AS146" s="52"/>
      <c r="AT146" s="52"/>
      <c r="AU146" s="52"/>
      <c r="AV146" s="52"/>
      <c r="AW146" s="52"/>
      <c r="AX146" s="52"/>
      <c r="AY146" s="52"/>
      <c r="AZ146" s="52">
        <f t="shared" si="51"/>
        <v>32000000</v>
      </c>
      <c r="BA146" s="52">
        <v>32000000</v>
      </c>
      <c r="BB146" s="52"/>
      <c r="BC146" s="52"/>
      <c r="BD146" s="52"/>
      <c r="BE146" s="52"/>
      <c r="BF146" s="52"/>
      <c r="BG146" s="52"/>
      <c r="BH146" s="52"/>
      <c r="BI146" s="52"/>
      <c r="BJ146" s="52"/>
      <c r="BK146" s="52">
        <f t="shared" ref="BK146:BK186" si="56">BL146+BM146+BN146+BO146+BP146+BQ146+BR146+BS146+BT146+BU146</f>
        <v>70000000</v>
      </c>
      <c r="BL146" s="52">
        <v>70000000</v>
      </c>
      <c r="BM146" s="52"/>
      <c r="BN146" s="52"/>
      <c r="BO146" s="52"/>
      <c r="BP146" s="52"/>
      <c r="BQ146" s="52"/>
      <c r="BR146" s="52"/>
      <c r="BS146" s="52"/>
      <c r="BT146" s="52"/>
      <c r="BU146" s="53"/>
      <c r="BV146" s="54">
        <f t="shared" ref="BV146:BV155" si="57">AD146+AO146+AZ146+BK146</f>
        <v>167000000</v>
      </c>
      <c r="BW146" s="77"/>
    </row>
    <row r="147" spans="1:75" s="190" customFormat="1" ht="172.5" customHeight="1" x14ac:dyDescent="0.2">
      <c r="A147" s="206">
        <v>1</v>
      </c>
      <c r="B147" s="215" t="s">
        <v>19</v>
      </c>
      <c r="C147" s="17" t="s">
        <v>212</v>
      </c>
      <c r="D147" s="17" t="s">
        <v>182</v>
      </c>
      <c r="E147" s="69" t="s">
        <v>1151</v>
      </c>
      <c r="F147" s="6" t="s">
        <v>455</v>
      </c>
      <c r="G147" s="17" t="s">
        <v>1152</v>
      </c>
      <c r="H147" s="112" t="s">
        <v>1153</v>
      </c>
      <c r="I147" s="83">
        <v>41</v>
      </c>
      <c r="J147" s="6" t="s">
        <v>1693</v>
      </c>
      <c r="K147" s="15">
        <v>18</v>
      </c>
      <c r="L147" s="6" t="s">
        <v>330</v>
      </c>
      <c r="M147" s="206">
        <v>36</v>
      </c>
      <c r="N147" s="206">
        <v>4102</v>
      </c>
      <c r="O147" s="212" t="s">
        <v>1656</v>
      </c>
      <c r="P147" s="6" t="s">
        <v>1154</v>
      </c>
      <c r="Q147" s="14" t="s">
        <v>77</v>
      </c>
      <c r="R147" s="14">
        <v>4102042</v>
      </c>
      <c r="S147" s="17" t="s">
        <v>183</v>
      </c>
      <c r="T147" s="6" t="s">
        <v>1155</v>
      </c>
      <c r="U147" s="14" t="s">
        <v>77</v>
      </c>
      <c r="V147" s="14">
        <v>410204200</v>
      </c>
      <c r="W147" s="57" t="s">
        <v>1156</v>
      </c>
      <c r="X147" s="113" t="s">
        <v>8</v>
      </c>
      <c r="Y147" s="14">
        <v>12</v>
      </c>
      <c r="Z147" s="14">
        <v>12</v>
      </c>
      <c r="AA147" s="14">
        <v>12</v>
      </c>
      <c r="AB147" s="14">
        <v>12</v>
      </c>
      <c r="AC147" s="14">
        <v>12</v>
      </c>
      <c r="AD147" s="50">
        <f t="shared" si="54"/>
        <v>13000000</v>
      </c>
      <c r="AE147" s="52">
        <v>13000000</v>
      </c>
      <c r="AF147" s="52"/>
      <c r="AG147" s="52"/>
      <c r="AH147" s="52"/>
      <c r="AI147" s="52"/>
      <c r="AJ147" s="52"/>
      <c r="AK147" s="52"/>
      <c r="AL147" s="52"/>
      <c r="AM147" s="52"/>
      <c r="AN147" s="52"/>
      <c r="AO147" s="52">
        <f t="shared" si="55"/>
        <v>16000000</v>
      </c>
      <c r="AP147" s="52">
        <v>16000000</v>
      </c>
      <c r="AQ147" s="52"/>
      <c r="AR147" s="52"/>
      <c r="AS147" s="52"/>
      <c r="AT147" s="52"/>
      <c r="AU147" s="52"/>
      <c r="AV147" s="52"/>
      <c r="AW147" s="52"/>
      <c r="AX147" s="52"/>
      <c r="AY147" s="52"/>
      <c r="AZ147" s="52">
        <f t="shared" si="51"/>
        <v>21078600</v>
      </c>
      <c r="BA147" s="52">
        <v>21078600</v>
      </c>
      <c r="BB147" s="52"/>
      <c r="BC147" s="52"/>
      <c r="BD147" s="52"/>
      <c r="BE147" s="52"/>
      <c r="BF147" s="52"/>
      <c r="BG147" s="52"/>
      <c r="BH147" s="52"/>
      <c r="BI147" s="52"/>
      <c r="BJ147" s="52"/>
      <c r="BK147" s="52">
        <f t="shared" si="56"/>
        <v>42000000</v>
      </c>
      <c r="BL147" s="52">
        <v>42000000</v>
      </c>
      <c r="BM147" s="52"/>
      <c r="BN147" s="52"/>
      <c r="BO147" s="52"/>
      <c r="BP147" s="52"/>
      <c r="BQ147" s="52"/>
      <c r="BR147" s="52"/>
      <c r="BS147" s="52"/>
      <c r="BT147" s="52"/>
      <c r="BU147" s="53"/>
      <c r="BV147" s="54">
        <f t="shared" si="57"/>
        <v>92078600</v>
      </c>
      <c r="BW147" s="77"/>
    </row>
    <row r="148" spans="1:75" s="190" customFormat="1" ht="141.75" customHeight="1" x14ac:dyDescent="0.2">
      <c r="A148" s="206">
        <v>1</v>
      </c>
      <c r="B148" s="215" t="s">
        <v>19</v>
      </c>
      <c r="C148" s="17" t="s">
        <v>212</v>
      </c>
      <c r="D148" s="17" t="s">
        <v>179</v>
      </c>
      <c r="E148" s="82">
        <v>1</v>
      </c>
      <c r="F148" s="83">
        <v>2019</v>
      </c>
      <c r="G148" s="17" t="s">
        <v>1157</v>
      </c>
      <c r="H148" s="86">
        <v>1</v>
      </c>
      <c r="I148" s="83">
        <v>41</v>
      </c>
      <c r="J148" s="6" t="s">
        <v>1693</v>
      </c>
      <c r="K148" s="15">
        <v>14</v>
      </c>
      <c r="L148" s="6" t="s">
        <v>1084</v>
      </c>
      <c r="M148" s="206">
        <v>36</v>
      </c>
      <c r="N148" s="209">
        <v>4102</v>
      </c>
      <c r="O148" s="212" t="s">
        <v>1656</v>
      </c>
      <c r="P148" s="6" t="s">
        <v>1158</v>
      </c>
      <c r="Q148" s="14" t="s">
        <v>77</v>
      </c>
      <c r="R148" s="14">
        <v>4102001</v>
      </c>
      <c r="S148" s="17" t="s">
        <v>1159</v>
      </c>
      <c r="T148" s="6" t="s">
        <v>1160</v>
      </c>
      <c r="U148" s="14" t="s">
        <v>77</v>
      </c>
      <c r="V148" s="14">
        <v>410200100</v>
      </c>
      <c r="W148" s="48" t="s">
        <v>1161</v>
      </c>
      <c r="X148" s="113" t="s">
        <v>8</v>
      </c>
      <c r="Y148" s="14">
        <v>12</v>
      </c>
      <c r="Z148" s="14">
        <v>12</v>
      </c>
      <c r="AA148" s="14">
        <v>12</v>
      </c>
      <c r="AB148" s="14">
        <v>12</v>
      </c>
      <c r="AC148" s="14">
        <v>12</v>
      </c>
      <c r="AD148" s="50">
        <f t="shared" si="54"/>
        <v>25000000</v>
      </c>
      <c r="AE148" s="52">
        <v>25000000</v>
      </c>
      <c r="AF148" s="52"/>
      <c r="AG148" s="52"/>
      <c r="AH148" s="52"/>
      <c r="AI148" s="52"/>
      <c r="AJ148" s="52"/>
      <c r="AK148" s="52"/>
      <c r="AL148" s="52"/>
      <c r="AM148" s="52"/>
      <c r="AN148" s="52"/>
      <c r="AO148" s="52">
        <f t="shared" si="55"/>
        <v>50000000</v>
      </c>
      <c r="AP148" s="52">
        <v>50000000</v>
      </c>
      <c r="AQ148" s="52"/>
      <c r="AR148" s="52"/>
      <c r="AS148" s="52"/>
      <c r="AT148" s="52"/>
      <c r="AU148" s="52"/>
      <c r="AV148" s="52"/>
      <c r="AW148" s="52"/>
      <c r="AX148" s="52"/>
      <c r="AY148" s="52"/>
      <c r="AZ148" s="52">
        <f t="shared" si="51"/>
        <v>60000000</v>
      </c>
      <c r="BA148" s="52">
        <v>60000000</v>
      </c>
      <c r="BB148" s="52"/>
      <c r="BC148" s="52"/>
      <c r="BD148" s="52"/>
      <c r="BE148" s="52"/>
      <c r="BF148" s="52"/>
      <c r="BG148" s="52"/>
      <c r="BH148" s="52"/>
      <c r="BI148" s="52"/>
      <c r="BJ148" s="52"/>
      <c r="BK148" s="52">
        <f t="shared" si="56"/>
        <v>70000000</v>
      </c>
      <c r="BL148" s="52">
        <v>70000000</v>
      </c>
      <c r="BM148" s="52"/>
      <c r="BN148" s="52"/>
      <c r="BO148" s="52"/>
      <c r="BP148" s="52"/>
      <c r="BQ148" s="52"/>
      <c r="BR148" s="52"/>
      <c r="BS148" s="52"/>
      <c r="BT148" s="52"/>
      <c r="BU148" s="53"/>
      <c r="BV148" s="54">
        <f t="shared" si="57"/>
        <v>205000000</v>
      </c>
      <c r="BW148" s="77"/>
    </row>
    <row r="149" spans="1:75" s="190" customFormat="1" ht="110.25" customHeight="1" x14ac:dyDescent="0.2">
      <c r="A149" s="206">
        <v>1</v>
      </c>
      <c r="B149" s="215" t="s">
        <v>19</v>
      </c>
      <c r="C149" s="17" t="s">
        <v>212</v>
      </c>
      <c r="D149" s="17" t="s">
        <v>1622</v>
      </c>
      <c r="E149" s="82">
        <v>1</v>
      </c>
      <c r="F149" s="83">
        <v>2019</v>
      </c>
      <c r="G149" s="17" t="s">
        <v>1162</v>
      </c>
      <c r="H149" s="86">
        <v>1</v>
      </c>
      <c r="I149" s="83">
        <v>41</v>
      </c>
      <c r="J149" s="6" t="s">
        <v>1693</v>
      </c>
      <c r="K149" s="15">
        <v>14</v>
      </c>
      <c r="L149" s="6" t="s">
        <v>1084</v>
      </c>
      <c r="M149" s="206">
        <v>36</v>
      </c>
      <c r="N149" s="209">
        <v>4102</v>
      </c>
      <c r="O149" s="212" t="s">
        <v>1656</v>
      </c>
      <c r="P149" s="6" t="s">
        <v>1163</v>
      </c>
      <c r="Q149" s="14" t="s">
        <v>77</v>
      </c>
      <c r="R149" s="14">
        <v>4102035</v>
      </c>
      <c r="S149" s="17" t="s">
        <v>1687</v>
      </c>
      <c r="T149" s="6" t="s">
        <v>1164</v>
      </c>
      <c r="U149" s="14" t="s">
        <v>77</v>
      </c>
      <c r="V149" s="14">
        <v>410203500</v>
      </c>
      <c r="W149" s="48" t="s">
        <v>1165</v>
      </c>
      <c r="X149" s="113" t="s">
        <v>8</v>
      </c>
      <c r="Y149" s="14">
        <v>1</v>
      </c>
      <c r="Z149" s="14">
        <v>1</v>
      </c>
      <c r="AA149" s="14">
        <v>1</v>
      </c>
      <c r="AB149" s="14">
        <v>1</v>
      </c>
      <c r="AC149" s="14">
        <v>1</v>
      </c>
      <c r="AD149" s="50">
        <f t="shared" si="54"/>
        <v>30000000</v>
      </c>
      <c r="AE149" s="52">
        <v>30000000</v>
      </c>
      <c r="AF149" s="52"/>
      <c r="AG149" s="52"/>
      <c r="AH149" s="52"/>
      <c r="AI149" s="52"/>
      <c r="AJ149" s="52"/>
      <c r="AK149" s="52"/>
      <c r="AL149" s="52"/>
      <c r="AM149" s="52"/>
      <c r="AN149" s="52"/>
      <c r="AO149" s="52">
        <f t="shared" si="55"/>
        <v>20000000</v>
      </c>
      <c r="AP149" s="52">
        <v>20000000</v>
      </c>
      <c r="AQ149" s="52"/>
      <c r="AR149" s="52"/>
      <c r="AS149" s="52"/>
      <c r="AT149" s="52"/>
      <c r="AU149" s="52"/>
      <c r="AV149" s="52"/>
      <c r="AW149" s="52"/>
      <c r="AX149" s="52"/>
      <c r="AY149" s="52"/>
      <c r="AZ149" s="52">
        <f t="shared" si="51"/>
        <v>40000000</v>
      </c>
      <c r="BA149" s="52">
        <v>40000000</v>
      </c>
      <c r="BB149" s="52"/>
      <c r="BC149" s="52"/>
      <c r="BD149" s="52"/>
      <c r="BE149" s="52"/>
      <c r="BF149" s="52"/>
      <c r="BG149" s="52"/>
      <c r="BH149" s="52"/>
      <c r="BI149" s="52"/>
      <c r="BJ149" s="52"/>
      <c r="BK149" s="52">
        <f t="shared" si="56"/>
        <v>60000000</v>
      </c>
      <c r="BL149" s="52">
        <v>60000000</v>
      </c>
      <c r="BM149" s="52"/>
      <c r="BN149" s="52"/>
      <c r="BO149" s="52"/>
      <c r="BP149" s="52"/>
      <c r="BQ149" s="52"/>
      <c r="BR149" s="52"/>
      <c r="BS149" s="52"/>
      <c r="BT149" s="52"/>
      <c r="BU149" s="53"/>
      <c r="BV149" s="54">
        <f t="shared" si="57"/>
        <v>150000000</v>
      </c>
      <c r="BW149" s="77"/>
    </row>
    <row r="150" spans="1:75" s="190" customFormat="1" ht="157.5" customHeight="1" x14ac:dyDescent="0.2">
      <c r="A150" s="206">
        <v>1</v>
      </c>
      <c r="B150" s="215" t="s">
        <v>19</v>
      </c>
      <c r="C150" s="17" t="s">
        <v>212</v>
      </c>
      <c r="D150" s="17" t="s">
        <v>184</v>
      </c>
      <c r="E150" s="82" t="s">
        <v>951</v>
      </c>
      <c r="F150" s="83" t="s">
        <v>951</v>
      </c>
      <c r="G150" s="17" t="s">
        <v>951</v>
      </c>
      <c r="H150" s="86">
        <v>1</v>
      </c>
      <c r="I150" s="83">
        <v>41</v>
      </c>
      <c r="J150" s="6" t="s">
        <v>1693</v>
      </c>
      <c r="K150" s="15">
        <v>14</v>
      </c>
      <c r="L150" s="6" t="s">
        <v>1084</v>
      </c>
      <c r="M150" s="206">
        <v>36</v>
      </c>
      <c r="N150" s="209">
        <v>4102</v>
      </c>
      <c r="O150" s="212" t="s">
        <v>1656</v>
      </c>
      <c r="P150" s="6" t="s">
        <v>1166</v>
      </c>
      <c r="Q150" s="14" t="s">
        <v>77</v>
      </c>
      <c r="R150" s="14">
        <v>4102001</v>
      </c>
      <c r="S150" s="56" t="s">
        <v>185</v>
      </c>
      <c r="T150" s="6" t="s">
        <v>1167</v>
      </c>
      <c r="U150" s="14" t="s">
        <v>77</v>
      </c>
      <c r="V150" s="14">
        <v>410200100</v>
      </c>
      <c r="W150" s="57" t="s">
        <v>1168</v>
      </c>
      <c r="X150" s="113" t="s">
        <v>8</v>
      </c>
      <c r="Y150" s="14">
        <v>1</v>
      </c>
      <c r="Z150" s="14">
        <v>0</v>
      </c>
      <c r="AA150" s="14">
        <v>1</v>
      </c>
      <c r="AB150" s="14">
        <v>1</v>
      </c>
      <c r="AC150" s="14">
        <v>1</v>
      </c>
      <c r="AD150" s="50">
        <f t="shared" si="54"/>
        <v>0</v>
      </c>
      <c r="AE150" s="52">
        <v>0</v>
      </c>
      <c r="AF150" s="52"/>
      <c r="AG150" s="52"/>
      <c r="AH150" s="52"/>
      <c r="AI150" s="52"/>
      <c r="AJ150" s="52"/>
      <c r="AK150" s="52"/>
      <c r="AL150" s="52"/>
      <c r="AM150" s="52"/>
      <c r="AN150" s="52"/>
      <c r="AO150" s="52">
        <f t="shared" si="55"/>
        <v>20000000</v>
      </c>
      <c r="AP150" s="52">
        <v>20000000</v>
      </c>
      <c r="AQ150" s="52"/>
      <c r="AR150" s="52"/>
      <c r="AS150" s="52"/>
      <c r="AT150" s="52"/>
      <c r="AU150" s="52"/>
      <c r="AV150" s="52"/>
      <c r="AW150" s="52"/>
      <c r="AX150" s="52"/>
      <c r="AY150" s="52"/>
      <c r="AZ150" s="52">
        <f t="shared" si="51"/>
        <v>43000000</v>
      </c>
      <c r="BA150" s="52">
        <v>43000000</v>
      </c>
      <c r="BB150" s="52"/>
      <c r="BC150" s="52"/>
      <c r="BD150" s="52"/>
      <c r="BE150" s="52"/>
      <c r="BF150" s="52"/>
      <c r="BG150" s="52"/>
      <c r="BH150" s="52"/>
      <c r="BI150" s="52"/>
      <c r="BJ150" s="52"/>
      <c r="BK150" s="52">
        <f t="shared" si="56"/>
        <v>120960626.92</v>
      </c>
      <c r="BL150" s="52">
        <v>120960626.92</v>
      </c>
      <c r="BM150" s="52"/>
      <c r="BN150" s="52"/>
      <c r="BO150" s="52"/>
      <c r="BP150" s="52"/>
      <c r="BQ150" s="52"/>
      <c r="BR150" s="52"/>
      <c r="BS150" s="52"/>
      <c r="BT150" s="52"/>
      <c r="BU150" s="53"/>
      <c r="BV150" s="54">
        <f t="shared" si="57"/>
        <v>183960626.92000002</v>
      </c>
      <c r="BW150" s="77"/>
    </row>
    <row r="151" spans="1:75" s="190" customFormat="1" ht="157.5" customHeight="1" x14ac:dyDescent="0.2">
      <c r="A151" s="206">
        <v>1</v>
      </c>
      <c r="B151" s="215" t="s">
        <v>19</v>
      </c>
      <c r="C151" s="17" t="s">
        <v>212</v>
      </c>
      <c r="D151" s="17" t="s">
        <v>188</v>
      </c>
      <c r="E151" s="16" t="s">
        <v>951</v>
      </c>
      <c r="F151" s="6">
        <v>2018</v>
      </c>
      <c r="G151" s="17" t="s">
        <v>1169</v>
      </c>
      <c r="H151" s="82">
        <v>1</v>
      </c>
      <c r="I151" s="83">
        <v>41</v>
      </c>
      <c r="J151" s="6" t="s">
        <v>1693</v>
      </c>
      <c r="K151" s="15">
        <v>18</v>
      </c>
      <c r="L151" s="6" t="s">
        <v>330</v>
      </c>
      <c r="M151" s="206">
        <v>36</v>
      </c>
      <c r="N151" s="206">
        <v>4102</v>
      </c>
      <c r="O151" s="212" t="s">
        <v>1656</v>
      </c>
      <c r="P151" s="6" t="s">
        <v>1170</v>
      </c>
      <c r="Q151" s="6">
        <v>4102038</v>
      </c>
      <c r="R151" s="6">
        <v>4102038</v>
      </c>
      <c r="S151" s="17" t="s">
        <v>189</v>
      </c>
      <c r="T151" s="6" t="s">
        <v>1171</v>
      </c>
      <c r="U151" s="6">
        <v>410203800</v>
      </c>
      <c r="V151" s="6">
        <v>410203800</v>
      </c>
      <c r="W151" s="48" t="s">
        <v>1172</v>
      </c>
      <c r="X151" s="113" t="s">
        <v>9</v>
      </c>
      <c r="Y151" s="14">
        <v>40</v>
      </c>
      <c r="Z151" s="14">
        <v>10</v>
      </c>
      <c r="AA151" s="14">
        <v>10</v>
      </c>
      <c r="AB151" s="14">
        <v>10</v>
      </c>
      <c r="AC151" s="14">
        <v>10</v>
      </c>
      <c r="AD151" s="50">
        <f t="shared" si="54"/>
        <v>14000000</v>
      </c>
      <c r="AE151" s="52">
        <v>14000000</v>
      </c>
      <c r="AF151" s="52"/>
      <c r="AG151" s="52"/>
      <c r="AH151" s="52"/>
      <c r="AI151" s="52"/>
      <c r="AJ151" s="52"/>
      <c r="AK151" s="52"/>
      <c r="AL151" s="52"/>
      <c r="AM151" s="52"/>
      <c r="AN151" s="52"/>
      <c r="AO151" s="52">
        <f t="shared" si="55"/>
        <v>37125000</v>
      </c>
      <c r="AP151" s="52">
        <v>37125000</v>
      </c>
      <c r="AQ151" s="52"/>
      <c r="AR151" s="52"/>
      <c r="AS151" s="52"/>
      <c r="AT151" s="52"/>
      <c r="AU151" s="52"/>
      <c r="AV151" s="52"/>
      <c r="AW151" s="52"/>
      <c r="AX151" s="52"/>
      <c r="AY151" s="52"/>
      <c r="AZ151" s="52">
        <f t="shared" si="51"/>
        <v>50000000</v>
      </c>
      <c r="BA151" s="52">
        <v>50000000</v>
      </c>
      <c r="BB151" s="52"/>
      <c r="BC151" s="52"/>
      <c r="BD151" s="52"/>
      <c r="BE151" s="52"/>
      <c r="BF151" s="52"/>
      <c r="BG151" s="52"/>
      <c r="BH151" s="52"/>
      <c r="BI151" s="52"/>
      <c r="BJ151" s="52"/>
      <c r="BK151" s="52">
        <f t="shared" si="56"/>
        <v>60000000</v>
      </c>
      <c r="BL151" s="52">
        <v>60000000</v>
      </c>
      <c r="BM151" s="52"/>
      <c r="BN151" s="52"/>
      <c r="BO151" s="52"/>
      <c r="BP151" s="52"/>
      <c r="BQ151" s="52"/>
      <c r="BR151" s="52"/>
      <c r="BS151" s="52"/>
      <c r="BT151" s="52"/>
      <c r="BU151" s="53"/>
      <c r="BV151" s="54">
        <f t="shared" si="57"/>
        <v>161125000</v>
      </c>
      <c r="BW151" s="77"/>
    </row>
    <row r="152" spans="1:75" s="190" customFormat="1" ht="240.75" customHeight="1" x14ac:dyDescent="0.2">
      <c r="A152" s="206">
        <v>1</v>
      </c>
      <c r="B152" s="215" t="s">
        <v>19</v>
      </c>
      <c r="C152" s="17" t="s">
        <v>212</v>
      </c>
      <c r="D152" s="17" t="s">
        <v>1586</v>
      </c>
      <c r="E152" s="69" t="s">
        <v>1173</v>
      </c>
      <c r="F152" s="6">
        <v>2018</v>
      </c>
      <c r="G152" s="17" t="s">
        <v>1174</v>
      </c>
      <c r="H152" s="81" t="s">
        <v>1175</v>
      </c>
      <c r="I152" s="83">
        <v>41</v>
      </c>
      <c r="J152" s="6" t="s">
        <v>1693</v>
      </c>
      <c r="K152" s="15">
        <v>14</v>
      </c>
      <c r="L152" s="6" t="s">
        <v>1084</v>
      </c>
      <c r="M152" s="206">
        <v>36</v>
      </c>
      <c r="N152" s="209">
        <v>4102</v>
      </c>
      <c r="O152" s="212" t="s">
        <v>1656</v>
      </c>
      <c r="P152" s="83" t="s">
        <v>1176</v>
      </c>
      <c r="Q152" s="6" t="s">
        <v>77</v>
      </c>
      <c r="R152" s="6">
        <v>4102043</v>
      </c>
      <c r="S152" s="17" t="s">
        <v>1667</v>
      </c>
      <c r="T152" s="6" t="s">
        <v>1177</v>
      </c>
      <c r="U152" s="6" t="s">
        <v>77</v>
      </c>
      <c r="V152" s="6">
        <v>410204301</v>
      </c>
      <c r="W152" s="48" t="s">
        <v>1178</v>
      </c>
      <c r="X152" s="113" t="s">
        <v>8</v>
      </c>
      <c r="Y152" s="14">
        <v>1</v>
      </c>
      <c r="Z152" s="14">
        <v>1</v>
      </c>
      <c r="AA152" s="14">
        <v>1</v>
      </c>
      <c r="AB152" s="14">
        <v>1</v>
      </c>
      <c r="AC152" s="14">
        <v>1</v>
      </c>
      <c r="AD152" s="50">
        <f t="shared" si="54"/>
        <v>240000000</v>
      </c>
      <c r="AE152" s="52">
        <v>240000000</v>
      </c>
      <c r="AF152" s="52"/>
      <c r="AG152" s="52"/>
      <c r="AH152" s="52"/>
      <c r="AI152" s="52"/>
      <c r="AJ152" s="52"/>
      <c r="AK152" s="52"/>
      <c r="AL152" s="52"/>
      <c r="AM152" s="52"/>
      <c r="AN152" s="52"/>
      <c r="AO152" s="52">
        <f t="shared" si="55"/>
        <v>202575000</v>
      </c>
      <c r="AP152" s="52">
        <f>238575000-36000000</f>
        <v>202575000</v>
      </c>
      <c r="AQ152" s="52"/>
      <c r="AR152" s="52"/>
      <c r="AS152" s="52"/>
      <c r="AT152" s="52"/>
      <c r="AU152" s="52"/>
      <c r="AV152" s="52"/>
      <c r="AW152" s="52"/>
      <c r="AX152" s="52"/>
      <c r="AY152" s="52"/>
      <c r="AZ152" s="52">
        <f t="shared" si="51"/>
        <v>235000000</v>
      </c>
      <c r="BA152" s="52">
        <v>235000000</v>
      </c>
      <c r="BB152" s="52"/>
      <c r="BC152" s="52"/>
      <c r="BD152" s="52"/>
      <c r="BE152" s="52"/>
      <c r="BF152" s="52"/>
      <c r="BG152" s="52"/>
      <c r="BH152" s="52"/>
      <c r="BI152" s="52"/>
      <c r="BJ152" s="52"/>
      <c r="BK152" s="52">
        <f t="shared" si="56"/>
        <v>256000000</v>
      </c>
      <c r="BL152" s="52">
        <v>256000000</v>
      </c>
      <c r="BM152" s="52"/>
      <c r="BN152" s="52"/>
      <c r="BO152" s="52"/>
      <c r="BP152" s="52"/>
      <c r="BQ152" s="52"/>
      <c r="BR152" s="52"/>
      <c r="BS152" s="52"/>
      <c r="BT152" s="52"/>
      <c r="BU152" s="53"/>
      <c r="BV152" s="54">
        <f t="shared" si="57"/>
        <v>933575000</v>
      </c>
      <c r="BW152" s="77"/>
    </row>
    <row r="153" spans="1:75" s="190" customFormat="1" ht="301.5" customHeight="1" x14ac:dyDescent="0.2">
      <c r="A153" s="206">
        <v>1</v>
      </c>
      <c r="B153" s="215" t="s">
        <v>19</v>
      </c>
      <c r="C153" s="17" t="s">
        <v>212</v>
      </c>
      <c r="D153" s="17" t="s">
        <v>1586</v>
      </c>
      <c r="E153" s="69" t="s">
        <v>1173</v>
      </c>
      <c r="F153" s="6">
        <v>2018</v>
      </c>
      <c r="G153" s="17" t="s">
        <v>1174</v>
      </c>
      <c r="H153" s="81" t="s">
        <v>1175</v>
      </c>
      <c r="I153" s="83">
        <v>41</v>
      </c>
      <c r="J153" s="6" t="s">
        <v>1693</v>
      </c>
      <c r="K153" s="15">
        <v>14</v>
      </c>
      <c r="L153" s="6" t="s">
        <v>1084</v>
      </c>
      <c r="M153" s="206">
        <v>36</v>
      </c>
      <c r="N153" s="209">
        <v>4102</v>
      </c>
      <c r="O153" s="212" t="s">
        <v>1656</v>
      </c>
      <c r="P153" s="83" t="s">
        <v>1176</v>
      </c>
      <c r="Q153" s="6" t="s">
        <v>77</v>
      </c>
      <c r="R153" s="6">
        <v>4102035</v>
      </c>
      <c r="S153" s="17" t="s">
        <v>1666</v>
      </c>
      <c r="T153" s="6" t="s">
        <v>1177</v>
      </c>
      <c r="U153" s="6" t="s">
        <v>77</v>
      </c>
      <c r="V153" s="6">
        <v>410203501</v>
      </c>
      <c r="W153" s="48" t="s">
        <v>1665</v>
      </c>
      <c r="X153" s="113" t="s">
        <v>9</v>
      </c>
      <c r="Y153" s="14">
        <v>1</v>
      </c>
      <c r="Z153" s="14"/>
      <c r="AA153" s="14">
        <v>1</v>
      </c>
      <c r="AB153" s="14"/>
      <c r="AC153" s="14"/>
      <c r="AD153" s="50">
        <f t="shared" si="54"/>
        <v>0</v>
      </c>
      <c r="AE153" s="52"/>
      <c r="AF153" s="52"/>
      <c r="AG153" s="52"/>
      <c r="AH153" s="52"/>
      <c r="AI153" s="52"/>
      <c r="AJ153" s="52"/>
      <c r="AK153" s="52"/>
      <c r="AL153" s="52"/>
      <c r="AM153" s="52"/>
      <c r="AN153" s="52"/>
      <c r="AO153" s="52">
        <f>AP153+AQ153+AR153+AS153+AT153+AU153+AV153+AW153+AX153+AY153</f>
        <v>36000000</v>
      </c>
      <c r="AP153" s="52">
        <v>36000000</v>
      </c>
      <c r="AQ153" s="52"/>
      <c r="AR153" s="52"/>
      <c r="AS153" s="52"/>
      <c r="AT153" s="52"/>
      <c r="AU153" s="52"/>
      <c r="AV153" s="52"/>
      <c r="AW153" s="52"/>
      <c r="AX153" s="52"/>
      <c r="AY153" s="52"/>
      <c r="AZ153" s="52">
        <f>BA153+BB153+BC153+BD153+BE153+BF153+BG153+BH153+BI153+BJ153</f>
        <v>0</v>
      </c>
      <c r="BA153" s="52"/>
      <c r="BB153" s="52"/>
      <c r="BC153" s="52"/>
      <c r="BD153" s="52"/>
      <c r="BE153" s="52"/>
      <c r="BF153" s="52"/>
      <c r="BG153" s="52"/>
      <c r="BH153" s="52"/>
      <c r="BI153" s="52"/>
      <c r="BJ153" s="52"/>
      <c r="BK153" s="52">
        <f>BL153+BM153+BN153+BO153+BP153+BQ153+BR153+BS153+BT153+BU153</f>
        <v>0</v>
      </c>
      <c r="BL153" s="52"/>
      <c r="BM153" s="52"/>
      <c r="BN153" s="52"/>
      <c r="BO153" s="52"/>
      <c r="BP153" s="52"/>
      <c r="BQ153" s="52"/>
      <c r="BR153" s="52"/>
      <c r="BS153" s="52"/>
      <c r="BT153" s="52"/>
      <c r="BU153" s="53"/>
      <c r="BV153" s="54">
        <f t="shared" si="57"/>
        <v>36000000</v>
      </c>
      <c r="BW153" s="77"/>
    </row>
    <row r="154" spans="1:75" s="190" customFormat="1" ht="378" customHeight="1" x14ac:dyDescent="0.2">
      <c r="A154" s="206">
        <v>1</v>
      </c>
      <c r="B154" s="215" t="s">
        <v>19</v>
      </c>
      <c r="C154" s="17" t="s">
        <v>212</v>
      </c>
      <c r="D154" s="17" t="s">
        <v>180</v>
      </c>
      <c r="E154" s="69" t="s">
        <v>1179</v>
      </c>
      <c r="F154" s="6">
        <v>2018</v>
      </c>
      <c r="G154" s="17" t="s">
        <v>1180</v>
      </c>
      <c r="H154" s="69" t="s">
        <v>1181</v>
      </c>
      <c r="I154" s="83">
        <v>41</v>
      </c>
      <c r="J154" s="6" t="s">
        <v>1693</v>
      </c>
      <c r="K154" s="15">
        <v>16</v>
      </c>
      <c r="L154" s="6" t="s">
        <v>398</v>
      </c>
      <c r="M154" s="206">
        <v>36</v>
      </c>
      <c r="N154" s="209">
        <v>4102</v>
      </c>
      <c r="O154" s="212" t="s">
        <v>1656</v>
      </c>
      <c r="P154" s="6" t="s">
        <v>1182</v>
      </c>
      <c r="Q154" s="6" t="s">
        <v>77</v>
      </c>
      <c r="R154" s="6">
        <v>4102043</v>
      </c>
      <c r="S154" s="17" t="s">
        <v>1183</v>
      </c>
      <c r="T154" s="6" t="s">
        <v>1184</v>
      </c>
      <c r="U154" s="6" t="s">
        <v>77</v>
      </c>
      <c r="V154" s="6">
        <v>410204300</v>
      </c>
      <c r="W154" s="48" t="s">
        <v>1185</v>
      </c>
      <c r="X154" s="113" t="s">
        <v>8</v>
      </c>
      <c r="Y154" s="14">
        <v>1</v>
      </c>
      <c r="Z154" s="14">
        <v>1</v>
      </c>
      <c r="AA154" s="14">
        <v>1</v>
      </c>
      <c r="AB154" s="14">
        <v>1</v>
      </c>
      <c r="AC154" s="14">
        <v>1</v>
      </c>
      <c r="AD154" s="50">
        <f t="shared" si="54"/>
        <v>180000000</v>
      </c>
      <c r="AE154" s="52">
        <v>180000000</v>
      </c>
      <c r="AF154" s="52"/>
      <c r="AG154" s="52"/>
      <c r="AH154" s="52"/>
      <c r="AI154" s="52"/>
      <c r="AJ154" s="52"/>
      <c r="AK154" s="52"/>
      <c r="AL154" s="52"/>
      <c r="AM154" s="52"/>
      <c r="AN154" s="52"/>
      <c r="AO154" s="52">
        <f t="shared" si="55"/>
        <v>150000000</v>
      </c>
      <c r="AP154" s="52">
        <v>150000000</v>
      </c>
      <c r="AQ154" s="52"/>
      <c r="AR154" s="52"/>
      <c r="AS154" s="52"/>
      <c r="AT154" s="52"/>
      <c r="AU154" s="52"/>
      <c r="AV154" s="52"/>
      <c r="AW154" s="52"/>
      <c r="AX154" s="52"/>
      <c r="AY154" s="52"/>
      <c r="AZ154" s="52">
        <f t="shared" si="51"/>
        <v>235000000</v>
      </c>
      <c r="BA154" s="52">
        <v>235000000</v>
      </c>
      <c r="BB154" s="52"/>
      <c r="BC154" s="52"/>
      <c r="BD154" s="52"/>
      <c r="BE154" s="52"/>
      <c r="BF154" s="52"/>
      <c r="BG154" s="52"/>
      <c r="BH154" s="52"/>
      <c r="BI154" s="52"/>
      <c r="BJ154" s="52"/>
      <c r="BK154" s="52">
        <f t="shared" si="56"/>
        <v>256000000</v>
      </c>
      <c r="BL154" s="52">
        <v>256000000</v>
      </c>
      <c r="BM154" s="52"/>
      <c r="BN154" s="52"/>
      <c r="BO154" s="52"/>
      <c r="BP154" s="52"/>
      <c r="BQ154" s="52"/>
      <c r="BR154" s="52"/>
      <c r="BS154" s="52"/>
      <c r="BT154" s="52"/>
      <c r="BU154" s="53"/>
      <c r="BV154" s="54">
        <f t="shared" si="57"/>
        <v>821000000</v>
      </c>
      <c r="BW154" s="77"/>
    </row>
    <row r="155" spans="1:75" s="190" customFormat="1" ht="267" customHeight="1" x14ac:dyDescent="0.2">
      <c r="A155" s="206">
        <v>1</v>
      </c>
      <c r="B155" s="215" t="s">
        <v>19</v>
      </c>
      <c r="C155" s="17" t="s">
        <v>212</v>
      </c>
      <c r="D155" s="17" t="s">
        <v>181</v>
      </c>
      <c r="E155" s="16" t="s">
        <v>1186</v>
      </c>
      <c r="F155" s="6">
        <v>2018</v>
      </c>
      <c r="G155" s="17" t="s">
        <v>1187</v>
      </c>
      <c r="H155" s="16" t="s">
        <v>1188</v>
      </c>
      <c r="I155" s="83">
        <v>41</v>
      </c>
      <c r="J155" s="6" t="s">
        <v>1693</v>
      </c>
      <c r="K155" s="15">
        <v>14</v>
      </c>
      <c r="L155" s="6" t="s">
        <v>1084</v>
      </c>
      <c r="M155" s="206">
        <v>36</v>
      </c>
      <c r="N155" s="210">
        <v>4102</v>
      </c>
      <c r="O155" s="212" t="s">
        <v>1656</v>
      </c>
      <c r="P155" s="6" t="s">
        <v>1189</v>
      </c>
      <c r="Q155" s="6" t="s">
        <v>77</v>
      </c>
      <c r="R155" s="6">
        <v>4102038</v>
      </c>
      <c r="S155" s="17" t="s">
        <v>1190</v>
      </c>
      <c r="T155" s="6" t="s">
        <v>1191</v>
      </c>
      <c r="U155" s="6" t="s">
        <v>77</v>
      </c>
      <c r="V155" s="6">
        <v>410203800</v>
      </c>
      <c r="W155" s="48" t="s">
        <v>1192</v>
      </c>
      <c r="X155" s="113" t="s">
        <v>8</v>
      </c>
      <c r="Y155" s="14">
        <v>1</v>
      </c>
      <c r="Z155" s="14">
        <v>1</v>
      </c>
      <c r="AA155" s="14">
        <v>1</v>
      </c>
      <c r="AB155" s="14">
        <v>1</v>
      </c>
      <c r="AC155" s="14">
        <v>1</v>
      </c>
      <c r="AD155" s="50">
        <f t="shared" si="54"/>
        <v>180000000</v>
      </c>
      <c r="AE155" s="52">
        <v>180000000</v>
      </c>
      <c r="AF155" s="52"/>
      <c r="AG155" s="52"/>
      <c r="AH155" s="52"/>
      <c r="AI155" s="52"/>
      <c r="AJ155" s="52"/>
      <c r="AK155" s="52"/>
      <c r="AL155" s="52"/>
      <c r="AM155" s="52"/>
      <c r="AN155" s="52"/>
      <c r="AO155" s="52">
        <f t="shared" si="55"/>
        <v>210000000</v>
      </c>
      <c r="AP155" s="52">
        <v>210000000</v>
      </c>
      <c r="AQ155" s="52"/>
      <c r="AR155" s="52"/>
      <c r="AS155" s="52"/>
      <c r="AT155" s="52"/>
      <c r="AU155" s="52"/>
      <c r="AV155" s="52"/>
      <c r="AW155" s="52"/>
      <c r="AX155" s="52"/>
      <c r="AY155" s="52"/>
      <c r="AZ155" s="52">
        <f t="shared" si="51"/>
        <v>205000000</v>
      </c>
      <c r="BA155" s="52">
        <v>205000000</v>
      </c>
      <c r="BB155" s="52"/>
      <c r="BC155" s="52"/>
      <c r="BD155" s="52"/>
      <c r="BE155" s="52"/>
      <c r="BF155" s="52"/>
      <c r="BG155" s="52"/>
      <c r="BH155" s="52"/>
      <c r="BI155" s="52"/>
      <c r="BJ155" s="52"/>
      <c r="BK155" s="52">
        <f t="shared" si="56"/>
        <v>220000000</v>
      </c>
      <c r="BL155" s="52">
        <v>220000000</v>
      </c>
      <c r="BM155" s="52"/>
      <c r="BN155" s="52"/>
      <c r="BO155" s="52"/>
      <c r="BP155" s="52"/>
      <c r="BQ155" s="52"/>
      <c r="BR155" s="52"/>
      <c r="BS155" s="52"/>
      <c r="BT155" s="52"/>
      <c r="BU155" s="53"/>
      <c r="BV155" s="54">
        <f t="shared" si="57"/>
        <v>815000000</v>
      </c>
      <c r="BW155" s="77"/>
    </row>
    <row r="156" spans="1:75" ht="30.75" customHeight="1" x14ac:dyDescent="0.2">
      <c r="A156" s="206"/>
      <c r="B156" s="215"/>
      <c r="C156" s="56"/>
      <c r="D156" s="17"/>
      <c r="E156" s="16"/>
      <c r="F156" s="6"/>
      <c r="G156" s="17"/>
      <c r="H156" s="16"/>
      <c r="I156" s="6"/>
      <c r="J156" s="6"/>
      <c r="K156" s="15"/>
      <c r="L156" s="6"/>
      <c r="M156" s="58">
        <v>37</v>
      </c>
      <c r="N156" s="58">
        <v>4103</v>
      </c>
      <c r="O156" s="59" t="s">
        <v>75</v>
      </c>
      <c r="P156" s="58"/>
      <c r="Q156" s="60"/>
      <c r="R156" s="60"/>
      <c r="S156" s="60"/>
      <c r="T156" s="60"/>
      <c r="U156" s="60"/>
      <c r="V156" s="60"/>
      <c r="W156" s="43"/>
      <c r="X156" s="44"/>
      <c r="Y156" s="44"/>
      <c r="Z156" s="44"/>
      <c r="AA156" s="44"/>
      <c r="AB156" s="44"/>
      <c r="AC156" s="41"/>
      <c r="AD156" s="61">
        <f>SUBTOTAL(9,AD157:AD164)</f>
        <v>288758667</v>
      </c>
      <c r="AE156" s="61">
        <f t="shared" ref="AE156:BV156" si="58">SUBTOTAL(9,AE157:AE164)</f>
        <v>288758667</v>
      </c>
      <c r="AF156" s="61">
        <f t="shared" si="58"/>
        <v>0</v>
      </c>
      <c r="AG156" s="61">
        <f t="shared" si="58"/>
        <v>0</v>
      </c>
      <c r="AH156" s="61">
        <f t="shared" si="58"/>
        <v>0</v>
      </c>
      <c r="AI156" s="61">
        <f t="shared" si="58"/>
        <v>0</v>
      </c>
      <c r="AJ156" s="61">
        <f t="shared" si="58"/>
        <v>0</v>
      </c>
      <c r="AK156" s="61">
        <f t="shared" si="58"/>
        <v>0</v>
      </c>
      <c r="AL156" s="61">
        <f t="shared" si="58"/>
        <v>0</v>
      </c>
      <c r="AM156" s="61">
        <f t="shared" si="58"/>
        <v>0</v>
      </c>
      <c r="AN156" s="61">
        <f t="shared" si="58"/>
        <v>0</v>
      </c>
      <c r="AO156" s="61">
        <f t="shared" si="58"/>
        <v>172200000</v>
      </c>
      <c r="AP156" s="61">
        <f t="shared" si="58"/>
        <v>172200000</v>
      </c>
      <c r="AQ156" s="61">
        <f t="shared" si="58"/>
        <v>0</v>
      </c>
      <c r="AR156" s="61">
        <f t="shared" si="58"/>
        <v>0</v>
      </c>
      <c r="AS156" s="61">
        <f t="shared" si="58"/>
        <v>0</v>
      </c>
      <c r="AT156" s="61">
        <f t="shared" si="58"/>
        <v>0</v>
      </c>
      <c r="AU156" s="61">
        <f t="shared" si="58"/>
        <v>0</v>
      </c>
      <c r="AV156" s="61">
        <f t="shared" si="58"/>
        <v>0</v>
      </c>
      <c r="AW156" s="61">
        <f t="shared" si="58"/>
        <v>0</v>
      </c>
      <c r="AX156" s="61">
        <f t="shared" si="58"/>
        <v>0</v>
      </c>
      <c r="AY156" s="61">
        <f t="shared" si="58"/>
        <v>0</v>
      </c>
      <c r="AZ156" s="61">
        <f t="shared" si="58"/>
        <v>359152281.19</v>
      </c>
      <c r="BA156" s="61">
        <f t="shared" si="58"/>
        <v>359152281.19</v>
      </c>
      <c r="BB156" s="61">
        <f t="shared" si="58"/>
        <v>0</v>
      </c>
      <c r="BC156" s="61">
        <f t="shared" si="58"/>
        <v>0</v>
      </c>
      <c r="BD156" s="61">
        <f t="shared" si="58"/>
        <v>0</v>
      </c>
      <c r="BE156" s="61">
        <f t="shared" si="58"/>
        <v>0</v>
      </c>
      <c r="BF156" s="61">
        <f t="shared" si="58"/>
        <v>0</v>
      </c>
      <c r="BG156" s="61">
        <f t="shared" si="58"/>
        <v>0</v>
      </c>
      <c r="BH156" s="61">
        <f t="shared" si="58"/>
        <v>0</v>
      </c>
      <c r="BI156" s="61">
        <f t="shared" si="58"/>
        <v>0</v>
      </c>
      <c r="BJ156" s="61">
        <f t="shared" si="58"/>
        <v>0</v>
      </c>
      <c r="BK156" s="61">
        <f t="shared" si="58"/>
        <v>633364445.84000003</v>
      </c>
      <c r="BL156" s="61">
        <f t="shared" si="58"/>
        <v>633364445.84000003</v>
      </c>
      <c r="BM156" s="61">
        <f t="shared" si="58"/>
        <v>0</v>
      </c>
      <c r="BN156" s="61">
        <f t="shared" si="58"/>
        <v>0</v>
      </c>
      <c r="BO156" s="61">
        <f t="shared" si="58"/>
        <v>0</v>
      </c>
      <c r="BP156" s="61">
        <f t="shared" si="58"/>
        <v>0</v>
      </c>
      <c r="BQ156" s="61">
        <f t="shared" si="58"/>
        <v>0</v>
      </c>
      <c r="BR156" s="61">
        <f t="shared" si="58"/>
        <v>0</v>
      </c>
      <c r="BS156" s="61">
        <f t="shared" si="58"/>
        <v>0</v>
      </c>
      <c r="BT156" s="61">
        <f t="shared" si="58"/>
        <v>0</v>
      </c>
      <c r="BU156" s="62">
        <f t="shared" si="58"/>
        <v>0</v>
      </c>
      <c r="BV156" s="61">
        <f t="shared" si="58"/>
        <v>1453475394.03</v>
      </c>
      <c r="BW156" s="55"/>
    </row>
    <row r="157" spans="1:75" s="190" customFormat="1" ht="198.75" customHeight="1" x14ac:dyDescent="0.2">
      <c r="A157" s="206">
        <v>1</v>
      </c>
      <c r="B157" s="215" t="s">
        <v>19</v>
      </c>
      <c r="C157" s="17" t="s">
        <v>212</v>
      </c>
      <c r="D157" s="17" t="s">
        <v>186</v>
      </c>
      <c r="E157" s="69" t="s">
        <v>1143</v>
      </c>
      <c r="F157" s="6" t="s">
        <v>1144</v>
      </c>
      <c r="G157" s="17" t="s">
        <v>1145</v>
      </c>
      <c r="H157" s="112" t="s">
        <v>1146</v>
      </c>
      <c r="I157" s="6">
        <v>41</v>
      </c>
      <c r="J157" s="6" t="s">
        <v>1693</v>
      </c>
      <c r="K157" s="15">
        <v>18</v>
      </c>
      <c r="L157" s="6" t="s">
        <v>330</v>
      </c>
      <c r="M157" s="206">
        <v>37</v>
      </c>
      <c r="N157" s="206">
        <v>4103</v>
      </c>
      <c r="O157" s="207" t="s">
        <v>75</v>
      </c>
      <c r="P157" s="6" t="s">
        <v>1193</v>
      </c>
      <c r="Q157" s="6">
        <v>4103050</v>
      </c>
      <c r="R157" s="6">
        <v>4103050</v>
      </c>
      <c r="S157" s="17" t="s">
        <v>194</v>
      </c>
      <c r="T157" s="6" t="s">
        <v>1194</v>
      </c>
      <c r="U157" s="6">
        <v>410305001</v>
      </c>
      <c r="V157" s="6">
        <v>410305001</v>
      </c>
      <c r="W157" s="48" t="s">
        <v>1195</v>
      </c>
      <c r="X157" s="49" t="s">
        <v>8</v>
      </c>
      <c r="Y157" s="6">
        <v>12</v>
      </c>
      <c r="Z157" s="6">
        <v>12</v>
      </c>
      <c r="AA157" s="6">
        <v>12</v>
      </c>
      <c r="AB157" s="6">
        <v>12</v>
      </c>
      <c r="AC157" s="6">
        <v>12</v>
      </c>
      <c r="AD157" s="50">
        <f t="shared" ref="AD157:AD164" si="59">AE157+AF157+AG157+AH157+AI157+AJ157+AK157+AL157+AM157+AN157</f>
        <v>25000000</v>
      </c>
      <c r="AE157" s="52">
        <v>25000000</v>
      </c>
      <c r="AF157" s="52"/>
      <c r="AG157" s="52"/>
      <c r="AH157" s="52"/>
      <c r="AI157" s="52"/>
      <c r="AJ157" s="52"/>
      <c r="AK157" s="52"/>
      <c r="AL157" s="52"/>
      <c r="AM157" s="52"/>
      <c r="AN157" s="52"/>
      <c r="AO157" s="52">
        <f t="shared" ref="AO157:AO164" si="60">AP157+AQ157+AR157+AS157+AT157+AU157+AV157+AW157+AX157+AY157</f>
        <v>25600000.25</v>
      </c>
      <c r="AP157" s="52">
        <v>25600000.25</v>
      </c>
      <c r="AQ157" s="52"/>
      <c r="AR157" s="52"/>
      <c r="AS157" s="52"/>
      <c r="AT157" s="52"/>
      <c r="AU157" s="52"/>
      <c r="AV157" s="52"/>
      <c r="AW157" s="52"/>
      <c r="AX157" s="52"/>
      <c r="AY157" s="52"/>
      <c r="AZ157" s="52">
        <f t="shared" si="51"/>
        <v>35000000</v>
      </c>
      <c r="BA157" s="52">
        <v>35000000</v>
      </c>
      <c r="BB157" s="52"/>
      <c r="BC157" s="52"/>
      <c r="BD157" s="52"/>
      <c r="BE157" s="52"/>
      <c r="BF157" s="52"/>
      <c r="BG157" s="52"/>
      <c r="BH157" s="52"/>
      <c r="BI157" s="52"/>
      <c r="BJ157" s="52"/>
      <c r="BK157" s="52">
        <f t="shared" si="56"/>
        <v>95000000</v>
      </c>
      <c r="BL157" s="52">
        <v>95000000</v>
      </c>
      <c r="BM157" s="52"/>
      <c r="BN157" s="52"/>
      <c r="BO157" s="52"/>
      <c r="BP157" s="52"/>
      <c r="BQ157" s="52"/>
      <c r="BR157" s="52"/>
      <c r="BS157" s="52"/>
      <c r="BT157" s="52"/>
      <c r="BU157" s="53"/>
      <c r="BV157" s="54">
        <f t="shared" ref="BV157:BV164" si="61">AD157+AO157+AZ157+BK157</f>
        <v>180600000.25</v>
      </c>
      <c r="BW157" s="77"/>
    </row>
    <row r="158" spans="1:75" s="190" customFormat="1" ht="110.25" customHeight="1" x14ac:dyDescent="0.2">
      <c r="A158" s="206">
        <v>1</v>
      </c>
      <c r="B158" s="215" t="s">
        <v>19</v>
      </c>
      <c r="C158" s="17" t="s">
        <v>212</v>
      </c>
      <c r="D158" s="17" t="s">
        <v>192</v>
      </c>
      <c r="E158" s="82">
        <v>1</v>
      </c>
      <c r="F158" s="83">
        <v>2019</v>
      </c>
      <c r="G158" s="17" t="s">
        <v>1203</v>
      </c>
      <c r="H158" s="86">
        <v>1</v>
      </c>
      <c r="I158" s="6">
        <v>41</v>
      </c>
      <c r="J158" s="6" t="s">
        <v>1693</v>
      </c>
      <c r="K158" s="15">
        <v>14</v>
      </c>
      <c r="L158" s="6" t="s">
        <v>1084</v>
      </c>
      <c r="M158" s="206">
        <v>37</v>
      </c>
      <c r="N158" s="209">
        <v>4103</v>
      </c>
      <c r="O158" s="207" t="s">
        <v>75</v>
      </c>
      <c r="P158" s="6" t="s">
        <v>1204</v>
      </c>
      <c r="Q158" s="6">
        <v>4103052</v>
      </c>
      <c r="R158" s="6">
        <v>4103052</v>
      </c>
      <c r="S158" s="17" t="s">
        <v>193</v>
      </c>
      <c r="T158" s="6" t="s">
        <v>1205</v>
      </c>
      <c r="U158" s="6">
        <v>410305202</v>
      </c>
      <c r="V158" s="6">
        <v>410305202</v>
      </c>
      <c r="W158" s="48" t="s">
        <v>1668</v>
      </c>
      <c r="X158" s="49" t="s">
        <v>8</v>
      </c>
      <c r="Y158" s="6">
        <v>1</v>
      </c>
      <c r="Z158" s="6">
        <v>1</v>
      </c>
      <c r="AA158" s="6">
        <v>1</v>
      </c>
      <c r="AB158" s="6">
        <v>1</v>
      </c>
      <c r="AC158" s="6">
        <v>1</v>
      </c>
      <c r="AD158" s="50">
        <f t="shared" si="59"/>
        <v>44520000</v>
      </c>
      <c r="AE158" s="52">
        <v>44520000</v>
      </c>
      <c r="AF158" s="52"/>
      <c r="AG158" s="52"/>
      <c r="AH158" s="52"/>
      <c r="AI158" s="52"/>
      <c r="AJ158" s="52"/>
      <c r="AK158" s="52"/>
      <c r="AL158" s="52"/>
      <c r="AM158" s="52"/>
      <c r="AN158" s="52"/>
      <c r="AO158" s="52">
        <f t="shared" si="60"/>
        <v>20000000</v>
      </c>
      <c r="AP158" s="52">
        <v>20000000</v>
      </c>
      <c r="AQ158" s="52"/>
      <c r="AR158" s="52"/>
      <c r="AS158" s="52"/>
      <c r="AT158" s="52"/>
      <c r="AU158" s="52"/>
      <c r="AV158" s="52"/>
      <c r="AW158" s="52"/>
      <c r="AX158" s="52"/>
      <c r="AY158" s="52"/>
      <c r="AZ158" s="52">
        <f t="shared" si="51"/>
        <v>35000000</v>
      </c>
      <c r="BA158" s="52">
        <v>35000000</v>
      </c>
      <c r="BB158" s="52"/>
      <c r="BC158" s="52"/>
      <c r="BD158" s="52"/>
      <c r="BE158" s="52"/>
      <c r="BF158" s="52"/>
      <c r="BG158" s="52"/>
      <c r="BH158" s="52"/>
      <c r="BI158" s="52"/>
      <c r="BJ158" s="52"/>
      <c r="BK158" s="52">
        <f t="shared" si="56"/>
        <v>33312500</v>
      </c>
      <c r="BL158" s="52">
        <v>33312500</v>
      </c>
      <c r="BM158" s="52"/>
      <c r="BN158" s="52"/>
      <c r="BO158" s="52"/>
      <c r="BP158" s="52"/>
      <c r="BQ158" s="52"/>
      <c r="BR158" s="52"/>
      <c r="BS158" s="52"/>
      <c r="BT158" s="52"/>
      <c r="BU158" s="53"/>
      <c r="BV158" s="54">
        <f t="shared" si="61"/>
        <v>132832500</v>
      </c>
      <c r="BW158" s="77"/>
    </row>
    <row r="159" spans="1:75" s="190" customFormat="1" ht="78.75" customHeight="1" x14ac:dyDescent="0.2">
      <c r="A159" s="206">
        <v>1</v>
      </c>
      <c r="B159" s="215" t="s">
        <v>19</v>
      </c>
      <c r="C159" s="17" t="s">
        <v>212</v>
      </c>
      <c r="D159" s="17" t="s">
        <v>195</v>
      </c>
      <c r="E159" s="16" t="s">
        <v>951</v>
      </c>
      <c r="F159" s="6">
        <v>0</v>
      </c>
      <c r="G159" s="17" t="s">
        <v>1199</v>
      </c>
      <c r="H159" s="82">
        <v>1</v>
      </c>
      <c r="I159" s="6">
        <v>41</v>
      </c>
      <c r="J159" s="6" t="s">
        <v>1693</v>
      </c>
      <c r="K159" s="15">
        <v>14</v>
      </c>
      <c r="L159" s="6" t="s">
        <v>1084</v>
      </c>
      <c r="M159" s="206">
        <v>37</v>
      </c>
      <c r="N159" s="209">
        <v>4103</v>
      </c>
      <c r="O159" s="207" t="s">
        <v>75</v>
      </c>
      <c r="P159" s="6" t="s">
        <v>1200</v>
      </c>
      <c r="Q159" s="14">
        <v>4103058</v>
      </c>
      <c r="R159" s="14">
        <v>4103058</v>
      </c>
      <c r="S159" s="17" t="s">
        <v>196</v>
      </c>
      <c r="T159" s="6" t="s">
        <v>1201</v>
      </c>
      <c r="U159" s="14">
        <v>410305800</v>
      </c>
      <c r="V159" s="14">
        <v>410305800</v>
      </c>
      <c r="W159" s="48" t="s">
        <v>1202</v>
      </c>
      <c r="X159" s="49" t="s">
        <v>9</v>
      </c>
      <c r="Y159" s="6">
        <v>12</v>
      </c>
      <c r="Z159" s="6">
        <v>1</v>
      </c>
      <c r="AA159" s="6">
        <v>2</v>
      </c>
      <c r="AB159" s="6">
        <v>4</v>
      </c>
      <c r="AC159" s="6">
        <v>5</v>
      </c>
      <c r="AD159" s="50">
        <f t="shared" si="59"/>
        <v>27000000</v>
      </c>
      <c r="AE159" s="52">
        <v>27000000</v>
      </c>
      <c r="AF159" s="52"/>
      <c r="AG159" s="52"/>
      <c r="AH159" s="52"/>
      <c r="AI159" s="52"/>
      <c r="AJ159" s="52"/>
      <c r="AK159" s="52"/>
      <c r="AL159" s="52"/>
      <c r="AM159" s="52"/>
      <c r="AN159" s="52"/>
      <c r="AO159" s="52">
        <f t="shared" si="60"/>
        <v>28975000.75</v>
      </c>
      <c r="AP159" s="52">
        <v>28975000.75</v>
      </c>
      <c r="AQ159" s="52"/>
      <c r="AR159" s="52"/>
      <c r="AS159" s="52"/>
      <c r="AT159" s="52"/>
      <c r="AU159" s="52"/>
      <c r="AV159" s="52"/>
      <c r="AW159" s="52"/>
      <c r="AX159" s="52"/>
      <c r="AY159" s="52"/>
      <c r="AZ159" s="52">
        <f t="shared" si="51"/>
        <v>32000000</v>
      </c>
      <c r="BA159" s="52">
        <v>32000000</v>
      </c>
      <c r="BB159" s="52"/>
      <c r="BC159" s="52"/>
      <c r="BD159" s="52"/>
      <c r="BE159" s="52"/>
      <c r="BF159" s="52"/>
      <c r="BG159" s="52"/>
      <c r="BH159" s="52"/>
      <c r="BI159" s="52"/>
      <c r="BJ159" s="52"/>
      <c r="BK159" s="52">
        <f t="shared" si="56"/>
        <v>70000000</v>
      </c>
      <c r="BL159" s="52">
        <v>70000000</v>
      </c>
      <c r="BM159" s="52"/>
      <c r="BN159" s="52"/>
      <c r="BO159" s="52"/>
      <c r="BP159" s="52"/>
      <c r="BQ159" s="52"/>
      <c r="BR159" s="52"/>
      <c r="BS159" s="52"/>
      <c r="BT159" s="52"/>
      <c r="BU159" s="53"/>
      <c r="BV159" s="54">
        <f t="shared" si="61"/>
        <v>157975000.75</v>
      </c>
      <c r="BW159" s="77"/>
    </row>
    <row r="160" spans="1:75" s="190" customFormat="1" ht="94.5" customHeight="1" x14ac:dyDescent="0.2">
      <c r="A160" s="206">
        <v>1</v>
      </c>
      <c r="B160" s="215" t="s">
        <v>19</v>
      </c>
      <c r="C160" s="17" t="s">
        <v>212</v>
      </c>
      <c r="D160" s="17" t="s">
        <v>190</v>
      </c>
      <c r="E160" s="16" t="s">
        <v>951</v>
      </c>
      <c r="F160" s="6">
        <v>2018</v>
      </c>
      <c r="G160" s="17" t="s">
        <v>952</v>
      </c>
      <c r="H160" s="82">
        <v>1</v>
      </c>
      <c r="I160" s="6">
        <v>41</v>
      </c>
      <c r="J160" s="6" t="s">
        <v>1693</v>
      </c>
      <c r="K160" s="15">
        <v>14</v>
      </c>
      <c r="L160" s="6" t="s">
        <v>1084</v>
      </c>
      <c r="M160" s="206">
        <v>37</v>
      </c>
      <c r="N160" s="209">
        <v>4103</v>
      </c>
      <c r="O160" s="207" t="s">
        <v>75</v>
      </c>
      <c r="P160" s="6" t="s">
        <v>1196</v>
      </c>
      <c r="Q160" s="14">
        <v>4103059</v>
      </c>
      <c r="R160" s="14">
        <v>4103059</v>
      </c>
      <c r="S160" s="17" t="s">
        <v>191</v>
      </c>
      <c r="T160" s="6" t="s">
        <v>1197</v>
      </c>
      <c r="U160" s="14">
        <v>410305900</v>
      </c>
      <c r="V160" s="14">
        <v>410305900</v>
      </c>
      <c r="W160" s="48" t="s">
        <v>1198</v>
      </c>
      <c r="X160" s="49" t="s">
        <v>9</v>
      </c>
      <c r="Y160" s="6">
        <v>50</v>
      </c>
      <c r="Z160" s="6">
        <v>8</v>
      </c>
      <c r="AA160" s="6">
        <v>10</v>
      </c>
      <c r="AB160" s="6">
        <v>16</v>
      </c>
      <c r="AC160" s="6">
        <v>16</v>
      </c>
      <c r="AD160" s="50">
        <f t="shared" si="59"/>
        <v>27000000</v>
      </c>
      <c r="AE160" s="52">
        <v>27000000</v>
      </c>
      <c r="AF160" s="52"/>
      <c r="AG160" s="52"/>
      <c r="AH160" s="52"/>
      <c r="AI160" s="52"/>
      <c r="AJ160" s="52"/>
      <c r="AK160" s="52"/>
      <c r="AL160" s="52"/>
      <c r="AM160" s="52"/>
      <c r="AN160" s="52"/>
      <c r="AO160" s="52">
        <f t="shared" si="60"/>
        <v>15000000</v>
      </c>
      <c r="AP160" s="52">
        <v>15000000</v>
      </c>
      <c r="AQ160" s="52"/>
      <c r="AR160" s="52"/>
      <c r="AS160" s="52"/>
      <c r="AT160" s="52"/>
      <c r="AU160" s="52"/>
      <c r="AV160" s="52"/>
      <c r="AW160" s="52"/>
      <c r="AX160" s="52"/>
      <c r="AY160" s="52"/>
      <c r="AZ160" s="52">
        <f t="shared" si="51"/>
        <v>34000000</v>
      </c>
      <c r="BA160" s="52">
        <v>34000000</v>
      </c>
      <c r="BB160" s="52"/>
      <c r="BC160" s="52"/>
      <c r="BD160" s="52"/>
      <c r="BE160" s="52"/>
      <c r="BF160" s="52"/>
      <c r="BG160" s="52"/>
      <c r="BH160" s="52"/>
      <c r="BI160" s="52"/>
      <c r="BJ160" s="52"/>
      <c r="BK160" s="52">
        <f t="shared" si="56"/>
        <v>80000000</v>
      </c>
      <c r="BL160" s="52">
        <v>80000000</v>
      </c>
      <c r="BM160" s="52"/>
      <c r="BN160" s="52"/>
      <c r="BO160" s="52"/>
      <c r="BP160" s="52"/>
      <c r="BQ160" s="52"/>
      <c r="BR160" s="52"/>
      <c r="BS160" s="52"/>
      <c r="BT160" s="52"/>
      <c r="BU160" s="53"/>
      <c r="BV160" s="54">
        <f t="shared" si="61"/>
        <v>156000000</v>
      </c>
      <c r="BW160" s="77"/>
    </row>
    <row r="161" spans="1:75" s="190" customFormat="1" ht="110.25" customHeight="1" x14ac:dyDescent="0.2">
      <c r="A161" s="206">
        <v>1</v>
      </c>
      <c r="B161" s="215" t="s">
        <v>19</v>
      </c>
      <c r="C161" s="17" t="s">
        <v>212</v>
      </c>
      <c r="D161" s="56" t="s">
        <v>197</v>
      </c>
      <c r="E161" s="82" t="s">
        <v>951</v>
      </c>
      <c r="F161" s="6">
        <v>2019</v>
      </c>
      <c r="G161" s="17" t="s">
        <v>1206</v>
      </c>
      <c r="H161" s="82">
        <v>1</v>
      </c>
      <c r="I161" s="6">
        <v>41</v>
      </c>
      <c r="J161" s="6" t="s">
        <v>1693</v>
      </c>
      <c r="K161" s="15">
        <v>14</v>
      </c>
      <c r="L161" s="6" t="s">
        <v>1084</v>
      </c>
      <c r="M161" s="206">
        <v>37</v>
      </c>
      <c r="N161" s="209">
        <v>4103</v>
      </c>
      <c r="O161" s="207" t="s">
        <v>75</v>
      </c>
      <c r="P161" s="6" t="s">
        <v>1207</v>
      </c>
      <c r="Q161" s="14" t="s">
        <v>77</v>
      </c>
      <c r="R161" s="14">
        <v>4103060</v>
      </c>
      <c r="S161" s="17" t="s">
        <v>198</v>
      </c>
      <c r="T161" s="6" t="s">
        <v>1208</v>
      </c>
      <c r="U161" s="14" t="s">
        <v>77</v>
      </c>
      <c r="V161" s="14">
        <v>410306000</v>
      </c>
      <c r="W161" s="48" t="s">
        <v>1209</v>
      </c>
      <c r="X161" s="49" t="s">
        <v>9</v>
      </c>
      <c r="Y161" s="6">
        <v>17</v>
      </c>
      <c r="Z161" s="6">
        <v>2</v>
      </c>
      <c r="AA161" s="6">
        <v>5</v>
      </c>
      <c r="AB161" s="6">
        <v>5</v>
      </c>
      <c r="AC161" s="6">
        <v>5</v>
      </c>
      <c r="AD161" s="50">
        <f t="shared" si="59"/>
        <v>30000000</v>
      </c>
      <c r="AE161" s="52">
        <v>30000000</v>
      </c>
      <c r="AF161" s="52"/>
      <c r="AG161" s="52"/>
      <c r="AH161" s="52"/>
      <c r="AI161" s="52"/>
      <c r="AJ161" s="52"/>
      <c r="AK161" s="52"/>
      <c r="AL161" s="52"/>
      <c r="AM161" s="52"/>
      <c r="AN161" s="52"/>
      <c r="AO161" s="52">
        <f t="shared" si="60"/>
        <v>17000000</v>
      </c>
      <c r="AP161" s="52">
        <v>17000000</v>
      </c>
      <c r="AQ161" s="52"/>
      <c r="AR161" s="52"/>
      <c r="AS161" s="52"/>
      <c r="AT161" s="52"/>
      <c r="AU161" s="52"/>
      <c r="AV161" s="52"/>
      <c r="AW161" s="52"/>
      <c r="AX161" s="52"/>
      <c r="AY161" s="52"/>
      <c r="AZ161" s="52">
        <f t="shared" si="51"/>
        <v>40000000</v>
      </c>
      <c r="BA161" s="52">
        <v>40000000</v>
      </c>
      <c r="BB161" s="52"/>
      <c r="BC161" s="52"/>
      <c r="BD161" s="52"/>
      <c r="BE161" s="52"/>
      <c r="BF161" s="52"/>
      <c r="BG161" s="52"/>
      <c r="BH161" s="52"/>
      <c r="BI161" s="52"/>
      <c r="BJ161" s="52"/>
      <c r="BK161" s="52">
        <f t="shared" si="56"/>
        <v>50000000</v>
      </c>
      <c r="BL161" s="52">
        <v>50000000</v>
      </c>
      <c r="BM161" s="52"/>
      <c r="BN161" s="52"/>
      <c r="BO161" s="52"/>
      <c r="BP161" s="52"/>
      <c r="BQ161" s="52"/>
      <c r="BR161" s="52"/>
      <c r="BS161" s="52"/>
      <c r="BT161" s="52"/>
      <c r="BU161" s="53"/>
      <c r="BV161" s="54">
        <f t="shared" si="61"/>
        <v>137000000</v>
      </c>
      <c r="BW161" s="77"/>
    </row>
    <row r="162" spans="1:75" s="190" customFormat="1" ht="110.25" customHeight="1" x14ac:dyDescent="0.2">
      <c r="A162" s="206">
        <v>1</v>
      </c>
      <c r="B162" s="215" t="s">
        <v>19</v>
      </c>
      <c r="C162" s="17" t="s">
        <v>212</v>
      </c>
      <c r="D162" s="56" t="s">
        <v>199</v>
      </c>
      <c r="E162" s="82">
        <v>0.5</v>
      </c>
      <c r="F162" s="6">
        <v>2019</v>
      </c>
      <c r="G162" s="17" t="s">
        <v>1206</v>
      </c>
      <c r="H162" s="82">
        <v>1</v>
      </c>
      <c r="I162" s="6">
        <v>41</v>
      </c>
      <c r="J162" s="6" t="s">
        <v>1693</v>
      </c>
      <c r="K162" s="15">
        <v>14</v>
      </c>
      <c r="L162" s="6" t="s">
        <v>1084</v>
      </c>
      <c r="M162" s="206">
        <v>37</v>
      </c>
      <c r="N162" s="209">
        <v>4103</v>
      </c>
      <c r="O162" s="207" t="s">
        <v>75</v>
      </c>
      <c r="P162" s="6" t="s">
        <v>1210</v>
      </c>
      <c r="Q162" s="14" t="s">
        <v>77</v>
      </c>
      <c r="R162" s="14">
        <v>4103060</v>
      </c>
      <c r="S162" s="17" t="s">
        <v>200</v>
      </c>
      <c r="T162" s="6" t="s">
        <v>1211</v>
      </c>
      <c r="U162" s="14" t="s">
        <v>77</v>
      </c>
      <c r="V162" s="14">
        <v>410306000</v>
      </c>
      <c r="W162" s="48" t="s">
        <v>1212</v>
      </c>
      <c r="X162" s="49" t="s">
        <v>8</v>
      </c>
      <c r="Y162" s="6">
        <v>2</v>
      </c>
      <c r="Z162" s="6">
        <v>2</v>
      </c>
      <c r="AA162" s="6">
        <v>2</v>
      </c>
      <c r="AB162" s="6">
        <v>2</v>
      </c>
      <c r="AC162" s="6">
        <v>2</v>
      </c>
      <c r="AD162" s="50">
        <f t="shared" si="59"/>
        <v>49500000</v>
      </c>
      <c r="AE162" s="52">
        <v>49500000</v>
      </c>
      <c r="AF162" s="52"/>
      <c r="AG162" s="52"/>
      <c r="AH162" s="52"/>
      <c r="AI162" s="52"/>
      <c r="AJ162" s="52"/>
      <c r="AK162" s="52"/>
      <c r="AL162" s="52"/>
      <c r="AM162" s="52"/>
      <c r="AN162" s="52"/>
      <c r="AO162" s="52">
        <f t="shared" si="60"/>
        <v>14224999</v>
      </c>
      <c r="AP162" s="52">
        <v>14224999</v>
      </c>
      <c r="AQ162" s="52"/>
      <c r="AR162" s="52"/>
      <c r="AS162" s="52"/>
      <c r="AT162" s="52"/>
      <c r="AU162" s="52"/>
      <c r="AV162" s="52"/>
      <c r="AW162" s="52"/>
      <c r="AX162" s="52"/>
      <c r="AY162" s="52"/>
      <c r="AZ162" s="52">
        <f t="shared" si="51"/>
        <v>47575600</v>
      </c>
      <c r="BA162" s="52">
        <v>47575600</v>
      </c>
      <c r="BB162" s="52"/>
      <c r="BC162" s="52"/>
      <c r="BD162" s="52"/>
      <c r="BE162" s="52"/>
      <c r="BF162" s="52"/>
      <c r="BG162" s="52"/>
      <c r="BH162" s="52"/>
      <c r="BI162" s="52"/>
      <c r="BJ162" s="52"/>
      <c r="BK162" s="52">
        <f t="shared" si="56"/>
        <v>70000000</v>
      </c>
      <c r="BL162" s="52">
        <v>70000000</v>
      </c>
      <c r="BM162" s="52"/>
      <c r="BN162" s="52"/>
      <c r="BO162" s="52"/>
      <c r="BP162" s="52"/>
      <c r="BQ162" s="52"/>
      <c r="BR162" s="52"/>
      <c r="BS162" s="52"/>
      <c r="BT162" s="52"/>
      <c r="BU162" s="53"/>
      <c r="BV162" s="54">
        <f t="shared" si="61"/>
        <v>181300599</v>
      </c>
      <c r="BW162" s="77"/>
    </row>
    <row r="163" spans="1:75" s="190" customFormat="1" ht="220.5" customHeight="1" x14ac:dyDescent="0.2">
      <c r="A163" s="206">
        <v>1</v>
      </c>
      <c r="B163" s="215" t="s">
        <v>19</v>
      </c>
      <c r="C163" s="17" t="s">
        <v>212</v>
      </c>
      <c r="D163" s="114" t="s">
        <v>201</v>
      </c>
      <c r="E163" s="82" t="s">
        <v>951</v>
      </c>
      <c r="F163" s="6">
        <v>2019</v>
      </c>
      <c r="G163" s="17" t="s">
        <v>1213</v>
      </c>
      <c r="H163" s="82">
        <v>1</v>
      </c>
      <c r="I163" s="6">
        <v>41</v>
      </c>
      <c r="J163" s="6" t="s">
        <v>1693</v>
      </c>
      <c r="K163" s="15">
        <v>14</v>
      </c>
      <c r="L163" s="6" t="s">
        <v>1084</v>
      </c>
      <c r="M163" s="206">
        <v>37</v>
      </c>
      <c r="N163" s="209">
        <v>4103</v>
      </c>
      <c r="O163" s="207" t="s">
        <v>75</v>
      </c>
      <c r="P163" s="6" t="s">
        <v>1214</v>
      </c>
      <c r="Q163" s="14" t="s">
        <v>77</v>
      </c>
      <c r="R163" s="14">
        <v>4103052</v>
      </c>
      <c r="S163" s="17" t="s">
        <v>1572</v>
      </c>
      <c r="T163" s="6" t="s">
        <v>1215</v>
      </c>
      <c r="U163" s="14" t="s">
        <v>77</v>
      </c>
      <c r="V163" s="14">
        <v>410305202</v>
      </c>
      <c r="W163" s="48" t="s">
        <v>1216</v>
      </c>
      <c r="X163" s="49" t="s">
        <v>8</v>
      </c>
      <c r="Y163" s="6">
        <v>1</v>
      </c>
      <c r="Z163" s="6">
        <v>1</v>
      </c>
      <c r="AA163" s="6">
        <v>1</v>
      </c>
      <c r="AB163" s="6">
        <v>1</v>
      </c>
      <c r="AC163" s="6">
        <v>1</v>
      </c>
      <c r="AD163" s="50">
        <f t="shared" si="59"/>
        <v>70000000</v>
      </c>
      <c r="AE163" s="52">
        <v>70000000</v>
      </c>
      <c r="AF163" s="52"/>
      <c r="AG163" s="52"/>
      <c r="AH163" s="52"/>
      <c r="AI163" s="52"/>
      <c r="AJ163" s="52"/>
      <c r="AK163" s="52"/>
      <c r="AL163" s="52"/>
      <c r="AM163" s="52"/>
      <c r="AN163" s="52"/>
      <c r="AO163" s="52">
        <f t="shared" si="60"/>
        <v>40000000</v>
      </c>
      <c r="AP163" s="52">
        <v>40000000</v>
      </c>
      <c r="AQ163" s="52"/>
      <c r="AR163" s="52"/>
      <c r="AS163" s="52"/>
      <c r="AT163" s="52"/>
      <c r="AU163" s="52"/>
      <c r="AV163" s="52"/>
      <c r="AW163" s="52"/>
      <c r="AX163" s="52"/>
      <c r="AY163" s="52"/>
      <c r="AZ163" s="52">
        <f t="shared" si="51"/>
        <v>120000000</v>
      </c>
      <c r="BA163" s="52">
        <v>120000000</v>
      </c>
      <c r="BB163" s="52"/>
      <c r="BC163" s="52"/>
      <c r="BD163" s="52"/>
      <c r="BE163" s="52"/>
      <c r="BF163" s="52"/>
      <c r="BG163" s="52"/>
      <c r="BH163" s="52"/>
      <c r="BI163" s="52"/>
      <c r="BJ163" s="52"/>
      <c r="BK163" s="52">
        <f t="shared" si="56"/>
        <v>210000000</v>
      </c>
      <c r="BL163" s="52">
        <v>210000000</v>
      </c>
      <c r="BM163" s="52"/>
      <c r="BN163" s="52"/>
      <c r="BO163" s="52"/>
      <c r="BP163" s="52"/>
      <c r="BQ163" s="52"/>
      <c r="BR163" s="52"/>
      <c r="BS163" s="52"/>
      <c r="BT163" s="52"/>
      <c r="BU163" s="53"/>
      <c r="BV163" s="54">
        <f t="shared" si="61"/>
        <v>440000000</v>
      </c>
      <c r="BW163" s="77"/>
    </row>
    <row r="164" spans="1:75" s="190" customFormat="1" ht="94.5" customHeight="1" x14ac:dyDescent="0.2">
      <c r="A164" s="206">
        <v>1</v>
      </c>
      <c r="B164" s="215" t="s">
        <v>19</v>
      </c>
      <c r="C164" s="17" t="s">
        <v>453</v>
      </c>
      <c r="D164" s="17" t="s">
        <v>76</v>
      </c>
      <c r="E164" s="82">
        <v>1</v>
      </c>
      <c r="F164" s="6">
        <v>2019</v>
      </c>
      <c r="G164" s="17" t="s">
        <v>1217</v>
      </c>
      <c r="H164" s="82">
        <v>1</v>
      </c>
      <c r="I164" s="83">
        <v>41</v>
      </c>
      <c r="J164" s="6" t="s">
        <v>1693</v>
      </c>
      <c r="K164" s="15">
        <v>18</v>
      </c>
      <c r="L164" s="6" t="s">
        <v>330</v>
      </c>
      <c r="M164" s="206">
        <v>37</v>
      </c>
      <c r="N164" s="206">
        <v>4103</v>
      </c>
      <c r="O164" s="207" t="s">
        <v>75</v>
      </c>
      <c r="P164" s="6" t="s">
        <v>1218</v>
      </c>
      <c r="Q164" s="6" t="s">
        <v>77</v>
      </c>
      <c r="R164" s="6">
        <v>4103052</v>
      </c>
      <c r="S164" s="17" t="s">
        <v>78</v>
      </c>
      <c r="T164" s="6" t="s">
        <v>1219</v>
      </c>
      <c r="U164" s="6" t="s">
        <v>77</v>
      </c>
      <c r="V164" s="6">
        <v>410305201</v>
      </c>
      <c r="W164" s="48" t="s">
        <v>1220</v>
      </c>
      <c r="X164" s="49" t="s">
        <v>9</v>
      </c>
      <c r="Y164" s="6">
        <v>125</v>
      </c>
      <c r="Z164" s="6">
        <v>50</v>
      </c>
      <c r="AA164" s="6">
        <v>25</v>
      </c>
      <c r="AB164" s="6">
        <v>25</v>
      </c>
      <c r="AC164" s="6">
        <v>25</v>
      </c>
      <c r="AD164" s="50">
        <f t="shared" si="59"/>
        <v>15738667</v>
      </c>
      <c r="AE164" s="50">
        <v>15738667</v>
      </c>
      <c r="AF164" s="52"/>
      <c r="AG164" s="52"/>
      <c r="AH164" s="52"/>
      <c r="AI164" s="52"/>
      <c r="AJ164" s="52"/>
      <c r="AK164" s="52"/>
      <c r="AL164" s="52"/>
      <c r="AM164" s="52"/>
      <c r="AN164" s="52"/>
      <c r="AO164" s="52">
        <f t="shared" si="60"/>
        <v>11400000</v>
      </c>
      <c r="AP164" s="52">
        <v>11400000</v>
      </c>
      <c r="AQ164" s="52"/>
      <c r="AR164" s="52"/>
      <c r="AS164" s="52"/>
      <c r="AT164" s="52"/>
      <c r="AU164" s="52"/>
      <c r="AV164" s="52"/>
      <c r="AW164" s="52"/>
      <c r="AX164" s="52"/>
      <c r="AY164" s="52"/>
      <c r="AZ164" s="52">
        <f t="shared" si="51"/>
        <v>15576681.189999999</v>
      </c>
      <c r="BA164" s="52">
        <v>15576681.189999999</v>
      </c>
      <c r="BB164" s="52"/>
      <c r="BC164" s="52"/>
      <c r="BD164" s="52"/>
      <c r="BE164" s="52"/>
      <c r="BF164" s="52"/>
      <c r="BG164" s="52"/>
      <c r="BH164" s="52"/>
      <c r="BI164" s="52"/>
      <c r="BJ164" s="52"/>
      <c r="BK164" s="52">
        <f t="shared" si="56"/>
        <v>25051945.84</v>
      </c>
      <c r="BL164" s="52">
        <v>25051945.84</v>
      </c>
      <c r="BM164" s="52"/>
      <c r="BN164" s="52"/>
      <c r="BO164" s="52"/>
      <c r="BP164" s="52"/>
      <c r="BQ164" s="52"/>
      <c r="BR164" s="52"/>
      <c r="BS164" s="52"/>
      <c r="BT164" s="52"/>
      <c r="BU164" s="53"/>
      <c r="BV164" s="54">
        <f t="shared" si="61"/>
        <v>67767294.030000001</v>
      </c>
      <c r="BW164" s="55"/>
    </row>
    <row r="165" spans="1:75" ht="29.25" customHeight="1" x14ac:dyDescent="0.2">
      <c r="A165" s="206"/>
      <c r="B165" s="215"/>
      <c r="C165" s="56"/>
      <c r="D165" s="17"/>
      <c r="E165" s="16"/>
      <c r="F165" s="6"/>
      <c r="G165" s="17"/>
      <c r="H165" s="16"/>
      <c r="I165" s="6"/>
      <c r="J165" s="6" t="s">
        <v>1659</v>
      </c>
      <c r="K165" s="15"/>
      <c r="L165" s="6"/>
      <c r="M165" s="58">
        <v>38</v>
      </c>
      <c r="N165" s="58">
        <v>4104</v>
      </c>
      <c r="O165" s="59" t="s">
        <v>1657</v>
      </c>
      <c r="P165" s="58"/>
      <c r="Q165" s="60"/>
      <c r="R165" s="60"/>
      <c r="S165" s="60"/>
      <c r="T165" s="60"/>
      <c r="U165" s="60"/>
      <c r="V165" s="60"/>
      <c r="W165" s="43"/>
      <c r="X165" s="44"/>
      <c r="Y165" s="44"/>
      <c r="Z165" s="44"/>
      <c r="AA165" s="44"/>
      <c r="AB165" s="44"/>
      <c r="AC165" s="41"/>
      <c r="AD165" s="61">
        <f>SUM(AD166:AD171)</f>
        <v>4844727592.3899994</v>
      </c>
      <c r="AE165" s="61">
        <f t="shared" ref="AE165:AX165" si="62">SUM(AE166:AE171)</f>
        <v>82000000</v>
      </c>
      <c r="AF165" s="61">
        <f t="shared" si="62"/>
        <v>4262727592.3899999</v>
      </c>
      <c r="AG165" s="61">
        <f t="shared" si="62"/>
        <v>0</v>
      </c>
      <c r="AH165" s="61">
        <f t="shared" si="62"/>
        <v>0</v>
      </c>
      <c r="AI165" s="61">
        <f t="shared" si="62"/>
        <v>0</v>
      </c>
      <c r="AJ165" s="61">
        <f t="shared" si="62"/>
        <v>0</v>
      </c>
      <c r="AK165" s="61">
        <f t="shared" si="62"/>
        <v>500000000</v>
      </c>
      <c r="AL165" s="61">
        <f t="shared" si="62"/>
        <v>0</v>
      </c>
      <c r="AM165" s="61">
        <f t="shared" si="62"/>
        <v>0</v>
      </c>
      <c r="AN165" s="61">
        <f t="shared" si="62"/>
        <v>0</v>
      </c>
      <c r="AO165" s="61">
        <f t="shared" si="62"/>
        <v>2816323873</v>
      </c>
      <c r="AP165" s="61">
        <f t="shared" si="62"/>
        <v>84000000</v>
      </c>
      <c r="AQ165" s="61">
        <f t="shared" si="62"/>
        <v>2732323873</v>
      </c>
      <c r="AR165" s="61">
        <f t="shared" si="62"/>
        <v>0</v>
      </c>
      <c r="AS165" s="61">
        <f t="shared" si="62"/>
        <v>0</v>
      </c>
      <c r="AT165" s="61">
        <f t="shared" si="62"/>
        <v>0</v>
      </c>
      <c r="AU165" s="61">
        <f t="shared" si="62"/>
        <v>0</v>
      </c>
      <c r="AV165" s="61">
        <f t="shared" si="62"/>
        <v>0</v>
      </c>
      <c r="AW165" s="61">
        <f t="shared" si="62"/>
        <v>0</v>
      </c>
      <c r="AX165" s="61">
        <f t="shared" si="62"/>
        <v>0</v>
      </c>
      <c r="AY165" s="61">
        <f t="shared" ref="AY165:BV165" si="63">SUM(AY166:AY171)</f>
        <v>0</v>
      </c>
      <c r="AZ165" s="61">
        <f t="shared" si="63"/>
        <v>3657117545.21</v>
      </c>
      <c r="BA165" s="61">
        <f t="shared" si="63"/>
        <v>491037257.21000004</v>
      </c>
      <c r="BB165" s="61">
        <f t="shared" si="63"/>
        <v>3166080288</v>
      </c>
      <c r="BC165" s="61">
        <f t="shared" si="63"/>
        <v>0</v>
      </c>
      <c r="BD165" s="61">
        <f t="shared" si="63"/>
        <v>0</v>
      </c>
      <c r="BE165" s="61">
        <f t="shared" si="63"/>
        <v>0</v>
      </c>
      <c r="BF165" s="61">
        <f t="shared" si="63"/>
        <v>0</v>
      </c>
      <c r="BG165" s="61">
        <f t="shared" si="63"/>
        <v>0</v>
      </c>
      <c r="BH165" s="61">
        <f t="shared" si="63"/>
        <v>0</v>
      </c>
      <c r="BI165" s="61">
        <f t="shared" si="63"/>
        <v>0</v>
      </c>
      <c r="BJ165" s="61">
        <f t="shared" si="63"/>
        <v>0</v>
      </c>
      <c r="BK165" s="61">
        <f t="shared" si="63"/>
        <v>4317402997</v>
      </c>
      <c r="BL165" s="61">
        <f t="shared" si="63"/>
        <v>694000000</v>
      </c>
      <c r="BM165" s="61">
        <f t="shared" si="63"/>
        <v>3623402997</v>
      </c>
      <c r="BN165" s="61">
        <f t="shared" si="63"/>
        <v>0</v>
      </c>
      <c r="BO165" s="61">
        <f t="shared" si="63"/>
        <v>0</v>
      </c>
      <c r="BP165" s="61">
        <f t="shared" si="63"/>
        <v>0</v>
      </c>
      <c r="BQ165" s="61">
        <f t="shared" si="63"/>
        <v>0</v>
      </c>
      <c r="BR165" s="61">
        <f t="shared" si="63"/>
        <v>0</v>
      </c>
      <c r="BS165" s="61">
        <f t="shared" si="63"/>
        <v>0</v>
      </c>
      <c r="BT165" s="61">
        <f t="shared" si="63"/>
        <v>0</v>
      </c>
      <c r="BU165" s="61">
        <f t="shared" si="63"/>
        <v>0</v>
      </c>
      <c r="BV165" s="61">
        <f t="shared" si="63"/>
        <v>15635572007.599998</v>
      </c>
      <c r="BW165" s="55"/>
    </row>
    <row r="166" spans="1:75" s="190" customFormat="1" ht="78.75" customHeight="1" x14ac:dyDescent="0.2">
      <c r="A166" s="206">
        <v>1</v>
      </c>
      <c r="B166" s="215" t="s">
        <v>19</v>
      </c>
      <c r="C166" s="17" t="s">
        <v>212</v>
      </c>
      <c r="D166" s="17" t="s">
        <v>209</v>
      </c>
      <c r="E166" s="82">
        <v>1</v>
      </c>
      <c r="F166" s="6">
        <v>2018</v>
      </c>
      <c r="G166" s="17" t="s">
        <v>1199</v>
      </c>
      <c r="H166" s="115">
        <v>1</v>
      </c>
      <c r="I166" s="6">
        <v>41</v>
      </c>
      <c r="J166" s="6" t="s">
        <v>1693</v>
      </c>
      <c r="K166" s="15">
        <v>14</v>
      </c>
      <c r="L166" s="6" t="s">
        <v>1084</v>
      </c>
      <c r="M166" s="206">
        <v>38</v>
      </c>
      <c r="N166" s="209">
        <v>4104</v>
      </c>
      <c r="O166" s="207" t="s">
        <v>1657</v>
      </c>
      <c r="P166" s="6" t="s">
        <v>1232</v>
      </c>
      <c r="Q166" s="14">
        <v>4104015</v>
      </c>
      <c r="R166" s="14">
        <v>4104015</v>
      </c>
      <c r="S166" s="17" t="s">
        <v>210</v>
      </c>
      <c r="T166" s="6" t="s">
        <v>1233</v>
      </c>
      <c r="U166" s="14">
        <v>410401500</v>
      </c>
      <c r="V166" s="14">
        <v>410401500</v>
      </c>
      <c r="W166" s="48" t="s">
        <v>1234</v>
      </c>
      <c r="X166" s="49" t="s">
        <v>8</v>
      </c>
      <c r="Y166" s="49">
        <v>7500</v>
      </c>
      <c r="Z166" s="49">
        <v>7500</v>
      </c>
      <c r="AA166" s="49">
        <v>7500</v>
      </c>
      <c r="AB166" s="49">
        <v>7500</v>
      </c>
      <c r="AC166" s="49">
        <v>7500</v>
      </c>
      <c r="AD166" s="50">
        <f t="shared" ref="AD166:AD171" si="64">AE166+AF166+AG166+AH166+AI166+AJ166+AK166+AL166+AM166+AN166</f>
        <v>25000000</v>
      </c>
      <c r="AE166" s="52">
        <v>25000000</v>
      </c>
      <c r="AF166" s="52"/>
      <c r="AG166" s="52"/>
      <c r="AH166" s="52"/>
      <c r="AI166" s="52"/>
      <c r="AJ166" s="52"/>
      <c r="AK166" s="52"/>
      <c r="AL166" s="52"/>
      <c r="AM166" s="52"/>
      <c r="AN166" s="52"/>
      <c r="AO166" s="52">
        <f t="shared" ref="AO166:AO171" si="65">AP166+AQ166+AR166+AS166+AT166+AU166+AV166+AW166+AX166+AY166</f>
        <v>20000000</v>
      </c>
      <c r="AP166" s="52">
        <v>20000000</v>
      </c>
      <c r="AQ166" s="52"/>
      <c r="AR166" s="52"/>
      <c r="AS166" s="52"/>
      <c r="AT166" s="52"/>
      <c r="AU166" s="52"/>
      <c r="AV166" s="52"/>
      <c r="AW166" s="52"/>
      <c r="AX166" s="52"/>
      <c r="AY166" s="52"/>
      <c r="AZ166" s="52">
        <f t="shared" si="51"/>
        <v>179008000</v>
      </c>
      <c r="BA166" s="52">
        <f>39008000+140000000</f>
        <v>179008000</v>
      </c>
      <c r="BB166" s="52"/>
      <c r="BC166" s="52"/>
      <c r="BD166" s="52"/>
      <c r="BE166" s="52"/>
      <c r="BF166" s="52"/>
      <c r="BG166" s="52"/>
      <c r="BH166" s="52"/>
      <c r="BI166" s="52"/>
      <c r="BJ166" s="52"/>
      <c r="BK166" s="52">
        <f t="shared" si="56"/>
        <v>315000000</v>
      </c>
      <c r="BL166" s="52">
        <f>75000000+240000000</f>
        <v>315000000</v>
      </c>
      <c r="BM166" s="52"/>
      <c r="BN166" s="52"/>
      <c r="BO166" s="52"/>
      <c r="BP166" s="52"/>
      <c r="BQ166" s="52"/>
      <c r="BR166" s="52"/>
      <c r="BS166" s="52"/>
      <c r="BT166" s="52"/>
      <c r="BU166" s="53"/>
      <c r="BV166" s="54">
        <f t="shared" ref="BV166:BV171" si="66">AD166+AO166+AZ166+BK166</f>
        <v>539008000</v>
      </c>
      <c r="BW166" s="77"/>
    </row>
    <row r="167" spans="1:75" s="190" customFormat="1" ht="78.75" customHeight="1" x14ac:dyDescent="0.2">
      <c r="A167" s="206">
        <v>1</v>
      </c>
      <c r="B167" s="215" t="s">
        <v>19</v>
      </c>
      <c r="C167" s="17" t="s">
        <v>212</v>
      </c>
      <c r="D167" s="17" t="s">
        <v>31</v>
      </c>
      <c r="E167" s="103">
        <v>0.41666666666666669</v>
      </c>
      <c r="F167" s="6">
        <v>2019</v>
      </c>
      <c r="G167" s="17" t="s">
        <v>1213</v>
      </c>
      <c r="H167" s="86">
        <v>1</v>
      </c>
      <c r="I167" s="6">
        <v>41</v>
      </c>
      <c r="J167" s="6" t="s">
        <v>1693</v>
      </c>
      <c r="K167" s="15">
        <v>14</v>
      </c>
      <c r="L167" s="6" t="s">
        <v>1084</v>
      </c>
      <c r="M167" s="206">
        <v>38</v>
      </c>
      <c r="N167" s="209">
        <v>4104</v>
      </c>
      <c r="O167" s="207" t="s">
        <v>1657</v>
      </c>
      <c r="P167" s="14" t="s">
        <v>1260</v>
      </c>
      <c r="Q167" s="14" t="s">
        <v>204</v>
      </c>
      <c r="R167" s="14">
        <v>4104027</v>
      </c>
      <c r="S167" s="17" t="s">
        <v>205</v>
      </c>
      <c r="T167" s="14" t="s">
        <v>1261</v>
      </c>
      <c r="U167" s="14" t="s">
        <v>77</v>
      </c>
      <c r="V167" s="14">
        <v>410402700</v>
      </c>
      <c r="W167" s="48" t="s">
        <v>1262</v>
      </c>
      <c r="X167" s="49" t="s">
        <v>8</v>
      </c>
      <c r="Y167" s="6">
        <v>12</v>
      </c>
      <c r="Z167" s="6">
        <v>12</v>
      </c>
      <c r="AA167" s="6">
        <v>12</v>
      </c>
      <c r="AB167" s="6">
        <v>12</v>
      </c>
      <c r="AC167" s="6">
        <v>12</v>
      </c>
      <c r="AD167" s="50">
        <f t="shared" si="64"/>
        <v>18000000</v>
      </c>
      <c r="AE167" s="52">
        <v>18000000</v>
      </c>
      <c r="AF167" s="52"/>
      <c r="AG167" s="52"/>
      <c r="AH167" s="52"/>
      <c r="AI167" s="52"/>
      <c r="AJ167" s="52"/>
      <c r="AK167" s="52"/>
      <c r="AL167" s="52"/>
      <c r="AM167" s="52"/>
      <c r="AN167" s="52"/>
      <c r="AO167" s="52">
        <f t="shared" si="65"/>
        <v>35000000</v>
      </c>
      <c r="AP167" s="52">
        <v>35000000</v>
      </c>
      <c r="AQ167" s="52"/>
      <c r="AR167" s="52"/>
      <c r="AS167" s="52"/>
      <c r="AT167" s="52"/>
      <c r="AU167" s="52"/>
      <c r="AV167" s="52"/>
      <c r="AW167" s="52"/>
      <c r="AX167" s="52"/>
      <c r="AY167" s="52"/>
      <c r="AZ167" s="52">
        <f t="shared" si="51"/>
        <v>50000000</v>
      </c>
      <c r="BA167" s="52">
        <v>50000000</v>
      </c>
      <c r="BB167" s="52"/>
      <c r="BC167" s="52"/>
      <c r="BD167" s="52"/>
      <c r="BE167" s="52"/>
      <c r="BF167" s="52"/>
      <c r="BG167" s="52"/>
      <c r="BH167" s="52"/>
      <c r="BI167" s="52"/>
      <c r="BJ167" s="52"/>
      <c r="BK167" s="52">
        <f t="shared" si="56"/>
        <v>60000000</v>
      </c>
      <c r="BL167" s="52">
        <v>60000000</v>
      </c>
      <c r="BM167" s="52"/>
      <c r="BN167" s="52"/>
      <c r="BO167" s="52"/>
      <c r="BP167" s="52"/>
      <c r="BQ167" s="52"/>
      <c r="BR167" s="52"/>
      <c r="BS167" s="52"/>
      <c r="BT167" s="52"/>
      <c r="BU167" s="53"/>
      <c r="BV167" s="54">
        <f t="shared" si="66"/>
        <v>163000000</v>
      </c>
      <c r="BW167" s="77"/>
    </row>
    <row r="168" spans="1:75" s="190" customFormat="1" ht="78.75" customHeight="1" x14ac:dyDescent="0.2">
      <c r="A168" s="206">
        <v>1</v>
      </c>
      <c r="B168" s="215" t="s">
        <v>19</v>
      </c>
      <c r="C168" s="17" t="s">
        <v>212</v>
      </c>
      <c r="D168" s="17" t="s">
        <v>1225</v>
      </c>
      <c r="E168" s="16" t="s">
        <v>951</v>
      </c>
      <c r="F168" s="6">
        <v>2018</v>
      </c>
      <c r="G168" s="17" t="s">
        <v>1199</v>
      </c>
      <c r="H168" s="82">
        <v>1</v>
      </c>
      <c r="I168" s="6">
        <v>41</v>
      </c>
      <c r="J168" s="6" t="s">
        <v>1693</v>
      </c>
      <c r="K168" s="15">
        <v>14</v>
      </c>
      <c r="L168" s="6" t="s">
        <v>1084</v>
      </c>
      <c r="M168" s="206">
        <v>38</v>
      </c>
      <c r="N168" s="209">
        <v>4104</v>
      </c>
      <c r="O168" s="207" t="s">
        <v>1657</v>
      </c>
      <c r="P168" s="6" t="s">
        <v>1222</v>
      </c>
      <c r="Q168" s="14">
        <v>4104035</v>
      </c>
      <c r="R168" s="14">
        <v>4104020</v>
      </c>
      <c r="S168" s="17" t="s">
        <v>203</v>
      </c>
      <c r="T168" s="6" t="s">
        <v>1226</v>
      </c>
      <c r="U168" s="14">
        <v>410403500</v>
      </c>
      <c r="V168" s="14">
        <v>410402000</v>
      </c>
      <c r="W168" s="48" t="s">
        <v>1227</v>
      </c>
      <c r="X168" s="49" t="s">
        <v>9</v>
      </c>
      <c r="Y168" s="6">
        <v>500</v>
      </c>
      <c r="Z168" s="6">
        <v>20</v>
      </c>
      <c r="AA168" s="6">
        <v>50</v>
      </c>
      <c r="AB168" s="6">
        <v>215</v>
      </c>
      <c r="AC168" s="6">
        <v>215</v>
      </c>
      <c r="AD168" s="50">
        <f t="shared" si="64"/>
        <v>14000000</v>
      </c>
      <c r="AE168" s="52">
        <v>14000000</v>
      </c>
      <c r="AF168" s="52"/>
      <c r="AG168" s="52"/>
      <c r="AH168" s="52"/>
      <c r="AI168" s="52"/>
      <c r="AJ168" s="52"/>
      <c r="AK168" s="52"/>
      <c r="AL168" s="52"/>
      <c r="AM168" s="52"/>
      <c r="AN168" s="52"/>
      <c r="AO168" s="52">
        <f t="shared" si="65"/>
        <v>10000000</v>
      </c>
      <c r="AP168" s="52">
        <v>10000000</v>
      </c>
      <c r="AQ168" s="52"/>
      <c r="AR168" s="52"/>
      <c r="AS168" s="52"/>
      <c r="AT168" s="52"/>
      <c r="AU168" s="52"/>
      <c r="AV168" s="52"/>
      <c r="AW168" s="52"/>
      <c r="AX168" s="52"/>
      <c r="AY168" s="52"/>
      <c r="AZ168" s="52">
        <f t="shared" si="51"/>
        <v>231029257.21000001</v>
      </c>
      <c r="BA168" s="52">
        <f>20000000+211029257.21</f>
        <v>231029257.21000001</v>
      </c>
      <c r="BB168" s="52"/>
      <c r="BC168" s="52"/>
      <c r="BD168" s="52"/>
      <c r="BE168" s="52"/>
      <c r="BF168" s="52"/>
      <c r="BG168" s="52"/>
      <c r="BH168" s="52"/>
      <c r="BI168" s="52"/>
      <c r="BJ168" s="52"/>
      <c r="BK168" s="52">
        <f t="shared" si="56"/>
        <v>269000000</v>
      </c>
      <c r="BL168" s="52">
        <f>44000000+225000000</f>
        <v>269000000</v>
      </c>
      <c r="BM168" s="52"/>
      <c r="BN168" s="52"/>
      <c r="BO168" s="52"/>
      <c r="BP168" s="52"/>
      <c r="BQ168" s="52"/>
      <c r="BR168" s="52"/>
      <c r="BS168" s="52"/>
      <c r="BT168" s="52"/>
      <c r="BU168" s="53"/>
      <c r="BV168" s="54">
        <f t="shared" si="66"/>
        <v>524029257.21000004</v>
      </c>
      <c r="BW168" s="77"/>
    </row>
    <row r="169" spans="1:75" s="190" customFormat="1" ht="110.25" customHeight="1" x14ac:dyDescent="0.2">
      <c r="A169" s="206">
        <v>1</v>
      </c>
      <c r="B169" s="215" t="s">
        <v>19</v>
      </c>
      <c r="C169" s="17" t="s">
        <v>212</v>
      </c>
      <c r="D169" s="17" t="s">
        <v>1221</v>
      </c>
      <c r="E169" s="82" t="s">
        <v>951</v>
      </c>
      <c r="F169" s="6">
        <v>2018</v>
      </c>
      <c r="G169" s="17" t="s">
        <v>1199</v>
      </c>
      <c r="H169" s="103">
        <v>1</v>
      </c>
      <c r="I169" s="6">
        <v>41</v>
      </c>
      <c r="J169" s="6" t="s">
        <v>1693</v>
      </c>
      <c r="K169" s="15">
        <v>14</v>
      </c>
      <c r="L169" s="6" t="s">
        <v>1084</v>
      </c>
      <c r="M169" s="206">
        <v>38</v>
      </c>
      <c r="N169" s="209">
        <v>4104</v>
      </c>
      <c r="O169" s="207" t="s">
        <v>1657</v>
      </c>
      <c r="P169" s="6" t="s">
        <v>1222</v>
      </c>
      <c r="Q169" s="14" t="s">
        <v>202</v>
      </c>
      <c r="R169" s="14">
        <v>4104020</v>
      </c>
      <c r="S169" s="17" t="s">
        <v>203</v>
      </c>
      <c r="T169" s="6" t="s">
        <v>1223</v>
      </c>
      <c r="U169" s="14" t="s">
        <v>77</v>
      </c>
      <c r="V169" s="14">
        <v>410402000</v>
      </c>
      <c r="W169" s="116" t="s">
        <v>1224</v>
      </c>
      <c r="X169" s="49" t="s">
        <v>8</v>
      </c>
      <c r="Y169" s="6">
        <v>12</v>
      </c>
      <c r="Z169" s="6">
        <v>12</v>
      </c>
      <c r="AA169" s="6">
        <v>12</v>
      </c>
      <c r="AB169" s="6">
        <v>12</v>
      </c>
      <c r="AC169" s="6">
        <v>12</v>
      </c>
      <c r="AD169" s="50">
        <f t="shared" si="64"/>
        <v>25000000</v>
      </c>
      <c r="AE169" s="52">
        <v>25000000</v>
      </c>
      <c r="AF169" s="52"/>
      <c r="AG169" s="52"/>
      <c r="AH169" s="52"/>
      <c r="AI169" s="52"/>
      <c r="AJ169" s="52"/>
      <c r="AK169" s="52"/>
      <c r="AL169" s="52"/>
      <c r="AM169" s="52"/>
      <c r="AN169" s="52"/>
      <c r="AO169" s="52">
        <f t="shared" si="65"/>
        <v>19000000</v>
      </c>
      <c r="AP169" s="52">
        <v>19000000</v>
      </c>
      <c r="AQ169" s="52"/>
      <c r="AR169" s="52"/>
      <c r="AS169" s="52"/>
      <c r="AT169" s="52"/>
      <c r="AU169" s="52"/>
      <c r="AV169" s="52"/>
      <c r="AW169" s="52"/>
      <c r="AX169" s="52"/>
      <c r="AY169" s="52"/>
      <c r="AZ169" s="52">
        <f t="shared" si="51"/>
        <v>31000000</v>
      </c>
      <c r="BA169" s="52">
        <v>31000000</v>
      </c>
      <c r="BB169" s="52"/>
      <c r="BC169" s="52"/>
      <c r="BD169" s="52"/>
      <c r="BE169" s="52"/>
      <c r="BF169" s="52"/>
      <c r="BG169" s="52"/>
      <c r="BH169" s="52"/>
      <c r="BI169" s="52"/>
      <c r="BJ169" s="52"/>
      <c r="BK169" s="52">
        <f t="shared" si="56"/>
        <v>50000000</v>
      </c>
      <c r="BL169" s="52">
        <v>50000000</v>
      </c>
      <c r="BM169" s="52"/>
      <c r="BN169" s="52"/>
      <c r="BO169" s="52"/>
      <c r="BP169" s="52"/>
      <c r="BQ169" s="52"/>
      <c r="BR169" s="52"/>
      <c r="BS169" s="52"/>
      <c r="BT169" s="52"/>
      <c r="BU169" s="53"/>
      <c r="BV169" s="54">
        <f t="shared" si="66"/>
        <v>125000000</v>
      </c>
      <c r="BW169" s="77"/>
    </row>
    <row r="170" spans="1:75" s="190" customFormat="1" ht="110.25" customHeight="1" x14ac:dyDescent="0.2">
      <c r="A170" s="206">
        <v>1</v>
      </c>
      <c r="B170" s="215" t="s">
        <v>19</v>
      </c>
      <c r="C170" s="17" t="s">
        <v>212</v>
      </c>
      <c r="D170" s="2" t="s">
        <v>1581</v>
      </c>
      <c r="E170" s="103" t="s">
        <v>951</v>
      </c>
      <c r="F170" s="6">
        <v>2019</v>
      </c>
      <c r="G170" s="17" t="s">
        <v>1213</v>
      </c>
      <c r="H170" s="86">
        <v>1</v>
      </c>
      <c r="I170" s="6">
        <v>41</v>
      </c>
      <c r="J170" s="6" t="s">
        <v>1693</v>
      </c>
      <c r="K170" s="15">
        <v>14</v>
      </c>
      <c r="L170" s="6" t="s">
        <v>1084</v>
      </c>
      <c r="M170" s="206">
        <v>38</v>
      </c>
      <c r="N170" s="209">
        <v>4104</v>
      </c>
      <c r="O170" s="207" t="s">
        <v>1657</v>
      </c>
      <c r="P170" s="14" t="s">
        <v>1263</v>
      </c>
      <c r="Q170" s="14">
        <v>4104036</v>
      </c>
      <c r="R170" s="14">
        <v>4104036</v>
      </c>
      <c r="S170" s="17" t="s">
        <v>32</v>
      </c>
      <c r="T170" s="14" t="s">
        <v>1264</v>
      </c>
      <c r="U170" s="6">
        <v>410403600</v>
      </c>
      <c r="V170" s="6">
        <v>410403600</v>
      </c>
      <c r="W170" s="48" t="s">
        <v>1265</v>
      </c>
      <c r="X170" s="49" t="s">
        <v>9</v>
      </c>
      <c r="Y170" s="6">
        <v>1</v>
      </c>
      <c r="Z170" s="6">
        <v>0.15</v>
      </c>
      <c r="AA170" s="6">
        <v>0.25</v>
      </c>
      <c r="AB170" s="6">
        <v>0.6</v>
      </c>
      <c r="AC170" s="6" t="s">
        <v>1570</v>
      </c>
      <c r="AD170" s="50">
        <f t="shared" si="64"/>
        <v>500000000</v>
      </c>
      <c r="AE170" s="52"/>
      <c r="AF170" s="52"/>
      <c r="AG170" s="52"/>
      <c r="AH170" s="52"/>
      <c r="AI170" s="52"/>
      <c r="AJ170" s="52"/>
      <c r="AK170" s="52">
        <v>500000000</v>
      </c>
      <c r="AL170" s="52"/>
      <c r="AM170" s="52"/>
      <c r="AN170" s="52"/>
      <c r="AO170" s="52">
        <f t="shared" si="65"/>
        <v>0</v>
      </c>
      <c r="AP170" s="52"/>
      <c r="AQ170" s="52"/>
      <c r="AR170" s="52"/>
      <c r="AS170" s="52"/>
      <c r="AT170" s="52"/>
      <c r="AU170" s="52"/>
      <c r="AV170" s="52"/>
      <c r="AW170" s="52"/>
      <c r="AX170" s="52"/>
      <c r="AY170" s="52"/>
      <c r="AZ170" s="52">
        <f t="shared" si="51"/>
        <v>0</v>
      </c>
      <c r="BA170" s="52"/>
      <c r="BB170" s="52"/>
      <c r="BC170" s="52"/>
      <c r="BD170" s="52"/>
      <c r="BE170" s="52"/>
      <c r="BF170" s="52"/>
      <c r="BG170" s="52"/>
      <c r="BH170" s="52"/>
      <c r="BI170" s="52"/>
      <c r="BJ170" s="52"/>
      <c r="BK170" s="52">
        <f t="shared" si="56"/>
        <v>0</v>
      </c>
      <c r="BL170" s="52"/>
      <c r="BM170" s="52"/>
      <c r="BN170" s="52"/>
      <c r="BO170" s="52"/>
      <c r="BP170" s="52"/>
      <c r="BQ170" s="52"/>
      <c r="BR170" s="52"/>
      <c r="BS170" s="52"/>
      <c r="BT170" s="52"/>
      <c r="BU170" s="53"/>
      <c r="BV170" s="54">
        <f t="shared" si="66"/>
        <v>500000000</v>
      </c>
      <c r="BW170" s="55"/>
    </row>
    <row r="171" spans="1:75" s="190" customFormat="1" ht="141.75" customHeight="1" x14ac:dyDescent="0.2">
      <c r="A171" s="206">
        <v>1</v>
      </c>
      <c r="B171" s="215" t="s">
        <v>19</v>
      </c>
      <c r="C171" s="17" t="s">
        <v>212</v>
      </c>
      <c r="D171" s="17" t="s">
        <v>1624</v>
      </c>
      <c r="E171" s="82">
        <v>1</v>
      </c>
      <c r="F171" s="6">
        <v>2018</v>
      </c>
      <c r="G171" s="17" t="s">
        <v>1199</v>
      </c>
      <c r="H171" s="115">
        <v>1</v>
      </c>
      <c r="I171" s="6">
        <v>41</v>
      </c>
      <c r="J171" s="6" t="s">
        <v>1693</v>
      </c>
      <c r="K171" s="15">
        <v>14</v>
      </c>
      <c r="L171" s="6" t="s">
        <v>1084</v>
      </c>
      <c r="M171" s="206">
        <v>38</v>
      </c>
      <c r="N171" s="209">
        <v>4104</v>
      </c>
      <c r="O171" s="207" t="s">
        <v>1657</v>
      </c>
      <c r="P171" s="6" t="s">
        <v>1228</v>
      </c>
      <c r="Q171" s="14" t="s">
        <v>77</v>
      </c>
      <c r="R171" s="14">
        <v>4104008</v>
      </c>
      <c r="S171" s="17" t="s">
        <v>1229</v>
      </c>
      <c r="T171" s="6" t="s">
        <v>1230</v>
      </c>
      <c r="U171" s="14" t="s">
        <v>77</v>
      </c>
      <c r="V171" s="14">
        <v>410400800</v>
      </c>
      <c r="W171" s="116" t="s">
        <v>1231</v>
      </c>
      <c r="X171" s="49" t="s">
        <v>8</v>
      </c>
      <c r="Y171" s="6">
        <v>12</v>
      </c>
      <c r="Z171" s="6">
        <v>12</v>
      </c>
      <c r="AA171" s="6">
        <v>12</v>
      </c>
      <c r="AB171" s="6">
        <v>12</v>
      </c>
      <c r="AC171" s="6">
        <v>12</v>
      </c>
      <c r="AD171" s="50">
        <f t="shared" si="64"/>
        <v>4262727592.3899999</v>
      </c>
      <c r="AE171" s="52"/>
      <c r="AF171" s="52">
        <v>4262727592.3899999</v>
      </c>
      <c r="AG171" s="52"/>
      <c r="AH171" s="52"/>
      <c r="AI171" s="52"/>
      <c r="AJ171" s="52"/>
      <c r="AK171" s="52"/>
      <c r="AL171" s="52"/>
      <c r="AM171" s="52"/>
      <c r="AN171" s="52"/>
      <c r="AO171" s="52">
        <f t="shared" si="65"/>
        <v>2732323873</v>
      </c>
      <c r="AP171" s="52"/>
      <c r="AQ171" s="52">
        <v>2732323873</v>
      </c>
      <c r="AR171" s="52"/>
      <c r="AS171" s="52"/>
      <c r="AT171" s="52"/>
      <c r="AU171" s="52"/>
      <c r="AV171" s="52"/>
      <c r="AW171" s="52"/>
      <c r="AX171" s="52"/>
      <c r="AY171" s="52"/>
      <c r="AZ171" s="52">
        <f t="shared" si="51"/>
        <v>3166080288</v>
      </c>
      <c r="BA171" s="52"/>
      <c r="BB171" s="52">
        <v>3166080288</v>
      </c>
      <c r="BC171" s="52"/>
      <c r="BD171" s="52"/>
      <c r="BE171" s="52"/>
      <c r="BF171" s="52"/>
      <c r="BG171" s="52"/>
      <c r="BH171" s="52"/>
      <c r="BI171" s="52"/>
      <c r="BJ171" s="52"/>
      <c r="BK171" s="52">
        <f t="shared" si="56"/>
        <v>3623402997</v>
      </c>
      <c r="BL171" s="52"/>
      <c r="BM171" s="52">
        <v>3623402997</v>
      </c>
      <c r="BN171" s="52"/>
      <c r="BO171" s="52"/>
      <c r="BP171" s="52"/>
      <c r="BQ171" s="52"/>
      <c r="BR171" s="52"/>
      <c r="BS171" s="52"/>
      <c r="BT171" s="52"/>
      <c r="BU171" s="53"/>
      <c r="BV171" s="54">
        <f t="shared" si="66"/>
        <v>13784534750.389999</v>
      </c>
      <c r="BW171" s="77"/>
    </row>
    <row r="172" spans="1:75" ht="30.75" customHeight="1" x14ac:dyDescent="0.2">
      <c r="A172" s="206"/>
      <c r="B172" s="215"/>
      <c r="C172" s="56"/>
      <c r="D172" s="17"/>
      <c r="E172" s="16"/>
      <c r="F172" s="6"/>
      <c r="G172" s="17"/>
      <c r="H172" s="16"/>
      <c r="I172" s="6"/>
      <c r="J172" s="6"/>
      <c r="K172" s="15"/>
      <c r="L172" s="6"/>
      <c r="M172" s="58">
        <v>39</v>
      </c>
      <c r="N172" s="58">
        <v>4301</v>
      </c>
      <c r="O172" s="59" t="s">
        <v>1647</v>
      </c>
      <c r="P172" s="58"/>
      <c r="Q172" s="60"/>
      <c r="R172" s="60"/>
      <c r="S172" s="60"/>
      <c r="T172" s="60"/>
      <c r="U172" s="60"/>
      <c r="V172" s="60"/>
      <c r="W172" s="43"/>
      <c r="X172" s="44"/>
      <c r="Y172" s="44"/>
      <c r="Z172" s="44"/>
      <c r="AA172" s="44"/>
      <c r="AB172" s="44"/>
      <c r="AC172" s="41"/>
      <c r="AD172" s="61">
        <f>SUBTOTAL(9,AD173:AD177)</f>
        <v>6066023251.5</v>
      </c>
      <c r="AE172" s="61">
        <f t="shared" ref="AE172:BV172" si="67">SUBTOTAL(9,AE173:AE177)</f>
        <v>139000000</v>
      </c>
      <c r="AF172" s="61">
        <f t="shared" si="67"/>
        <v>2427783324.5</v>
      </c>
      <c r="AG172" s="61">
        <f t="shared" si="67"/>
        <v>0</v>
      </c>
      <c r="AH172" s="61">
        <f t="shared" si="67"/>
        <v>0</v>
      </c>
      <c r="AI172" s="61">
        <f t="shared" si="67"/>
        <v>0</v>
      </c>
      <c r="AJ172" s="61">
        <f t="shared" si="67"/>
        <v>0</v>
      </c>
      <c r="AK172" s="61">
        <f t="shared" si="67"/>
        <v>3449239927</v>
      </c>
      <c r="AL172" s="61">
        <f t="shared" si="67"/>
        <v>0</v>
      </c>
      <c r="AM172" s="61">
        <f t="shared" si="67"/>
        <v>0</v>
      </c>
      <c r="AN172" s="61">
        <f t="shared" si="67"/>
        <v>50000000</v>
      </c>
      <c r="AO172" s="61">
        <f t="shared" si="67"/>
        <v>16763304251.327965</v>
      </c>
      <c r="AP172" s="61">
        <f t="shared" si="67"/>
        <v>94325228.900000006</v>
      </c>
      <c r="AQ172" s="61">
        <f t="shared" si="67"/>
        <v>2468684236.4279652</v>
      </c>
      <c r="AR172" s="61">
        <f t="shared" si="67"/>
        <v>0</v>
      </c>
      <c r="AS172" s="61">
        <f t="shared" si="67"/>
        <v>0</v>
      </c>
      <c r="AT172" s="61">
        <f t="shared" si="67"/>
        <v>0</v>
      </c>
      <c r="AU172" s="61">
        <f t="shared" si="67"/>
        <v>0</v>
      </c>
      <c r="AV172" s="61">
        <f t="shared" si="67"/>
        <v>14200294786</v>
      </c>
      <c r="AW172" s="61">
        <f t="shared" si="67"/>
        <v>0</v>
      </c>
      <c r="AX172" s="61">
        <f t="shared" si="67"/>
        <v>0</v>
      </c>
      <c r="AY172" s="61">
        <f t="shared" si="67"/>
        <v>0</v>
      </c>
      <c r="AZ172" s="61">
        <f t="shared" si="67"/>
        <v>7435662198.71</v>
      </c>
      <c r="BA172" s="61">
        <f t="shared" si="67"/>
        <v>98238496.859999999</v>
      </c>
      <c r="BB172" s="61">
        <f t="shared" si="67"/>
        <v>2460053660.8499999</v>
      </c>
      <c r="BC172" s="61">
        <f t="shared" si="67"/>
        <v>0</v>
      </c>
      <c r="BD172" s="61">
        <f t="shared" si="67"/>
        <v>0</v>
      </c>
      <c r="BE172" s="61">
        <f t="shared" si="67"/>
        <v>0</v>
      </c>
      <c r="BF172" s="61">
        <f t="shared" si="67"/>
        <v>0</v>
      </c>
      <c r="BG172" s="61">
        <f t="shared" si="67"/>
        <v>4877370041</v>
      </c>
      <c r="BH172" s="61">
        <f t="shared" si="67"/>
        <v>0</v>
      </c>
      <c r="BI172" s="61">
        <f t="shared" si="67"/>
        <v>0</v>
      </c>
      <c r="BJ172" s="61">
        <f t="shared" si="67"/>
        <v>0</v>
      </c>
      <c r="BK172" s="61">
        <f t="shared" si="67"/>
        <v>11482480812.970001</v>
      </c>
      <c r="BL172" s="61">
        <f t="shared" si="67"/>
        <v>83752734</v>
      </c>
      <c r="BM172" s="61">
        <f t="shared" si="67"/>
        <v>4398728078.9700003</v>
      </c>
      <c r="BN172" s="61">
        <f t="shared" si="67"/>
        <v>0</v>
      </c>
      <c r="BO172" s="61">
        <f t="shared" si="67"/>
        <v>0</v>
      </c>
      <c r="BP172" s="61">
        <f t="shared" si="67"/>
        <v>0</v>
      </c>
      <c r="BQ172" s="61">
        <f t="shared" si="67"/>
        <v>0</v>
      </c>
      <c r="BR172" s="61">
        <f t="shared" si="67"/>
        <v>7000000000</v>
      </c>
      <c r="BS172" s="61">
        <f t="shared" si="67"/>
        <v>0</v>
      </c>
      <c r="BT172" s="61">
        <f t="shared" si="67"/>
        <v>0</v>
      </c>
      <c r="BU172" s="62">
        <f t="shared" si="67"/>
        <v>0</v>
      </c>
      <c r="BV172" s="61">
        <f t="shared" si="67"/>
        <v>41747470514.507965</v>
      </c>
      <c r="BW172" s="55"/>
    </row>
    <row r="173" spans="1:75" s="190" customFormat="1" ht="78.75" customHeight="1" x14ac:dyDescent="0.2">
      <c r="A173" s="206">
        <v>1</v>
      </c>
      <c r="B173" s="215" t="s">
        <v>19</v>
      </c>
      <c r="C173" s="17" t="s">
        <v>958</v>
      </c>
      <c r="D173" s="17" t="s">
        <v>1587</v>
      </c>
      <c r="E173" s="82" t="s">
        <v>1588</v>
      </c>
      <c r="F173" s="6" t="s">
        <v>455</v>
      </c>
      <c r="G173" s="17" t="s">
        <v>1589</v>
      </c>
      <c r="H173" s="82" t="s">
        <v>1590</v>
      </c>
      <c r="I173" s="6">
        <v>43</v>
      </c>
      <c r="J173" s="6" t="s">
        <v>1267</v>
      </c>
      <c r="K173" s="15">
        <v>14</v>
      </c>
      <c r="L173" s="6" t="s">
        <v>1084</v>
      </c>
      <c r="M173" s="206">
        <v>39</v>
      </c>
      <c r="N173" s="209">
        <v>4301</v>
      </c>
      <c r="O173" s="207" t="s">
        <v>1647</v>
      </c>
      <c r="P173" s="6" t="s">
        <v>1277</v>
      </c>
      <c r="Q173" s="6">
        <v>4301007</v>
      </c>
      <c r="R173" s="6">
        <v>4301007</v>
      </c>
      <c r="S173" s="17" t="s">
        <v>293</v>
      </c>
      <c r="T173" s="6" t="s">
        <v>1278</v>
      </c>
      <c r="U173" s="6">
        <v>430100701</v>
      </c>
      <c r="V173" s="6">
        <v>430100701</v>
      </c>
      <c r="W173" s="48" t="s">
        <v>1279</v>
      </c>
      <c r="X173" s="49" t="s">
        <v>8</v>
      </c>
      <c r="Y173" s="6">
        <v>12</v>
      </c>
      <c r="Z173" s="6">
        <v>12</v>
      </c>
      <c r="AA173" s="6">
        <v>12</v>
      </c>
      <c r="AB173" s="6">
        <v>12</v>
      </c>
      <c r="AC173" s="6">
        <v>12</v>
      </c>
      <c r="AD173" s="50">
        <f>AE173+AF173+AG173+AH173+AI173+AJ173+AK173+AL173+AM173+AN173</f>
        <v>55000000</v>
      </c>
      <c r="AE173" s="52"/>
      <c r="AF173" s="52">
        <v>55000000</v>
      </c>
      <c r="AG173" s="52"/>
      <c r="AH173" s="52"/>
      <c r="AI173" s="52"/>
      <c r="AJ173" s="52"/>
      <c r="AK173" s="52"/>
      <c r="AL173" s="52"/>
      <c r="AM173" s="52"/>
      <c r="AN173" s="52"/>
      <c r="AO173" s="52">
        <f>AP173+AQ173+AR173+AS173+AT173+AU173+AV173+AW173+AX173+AY173</f>
        <v>48625518</v>
      </c>
      <c r="AP173" s="52"/>
      <c r="AQ173" s="52">
        <v>48625518</v>
      </c>
      <c r="AR173" s="52"/>
      <c r="AS173" s="52"/>
      <c r="AT173" s="52"/>
      <c r="AU173" s="52"/>
      <c r="AV173" s="52"/>
      <c r="AW173" s="52"/>
      <c r="AX173" s="52"/>
      <c r="AY173" s="52"/>
      <c r="AZ173" s="52">
        <v>56344813</v>
      </c>
      <c r="BA173" s="52"/>
      <c r="BB173" s="52">
        <v>56344813</v>
      </c>
      <c r="BC173" s="52"/>
      <c r="BD173" s="52"/>
      <c r="BE173" s="52"/>
      <c r="BF173" s="52"/>
      <c r="BG173" s="52"/>
      <c r="BH173" s="52"/>
      <c r="BI173" s="52"/>
      <c r="BJ173" s="52"/>
      <c r="BK173" s="52">
        <f t="shared" si="56"/>
        <v>64483510</v>
      </c>
      <c r="BL173" s="52"/>
      <c r="BM173" s="52">
        <v>64483510</v>
      </c>
      <c r="BN173" s="52"/>
      <c r="BO173" s="52"/>
      <c r="BP173" s="52"/>
      <c r="BQ173" s="52"/>
      <c r="BR173" s="52"/>
      <c r="BS173" s="52"/>
      <c r="BT173" s="52"/>
      <c r="BU173" s="53"/>
      <c r="BV173" s="54">
        <f>AD173+AO173+AZ173+BK173</f>
        <v>224453841</v>
      </c>
      <c r="BW173" s="55"/>
    </row>
    <row r="174" spans="1:75" s="190" customFormat="1" ht="94.5" customHeight="1" x14ac:dyDescent="0.2">
      <c r="A174" s="206">
        <v>1</v>
      </c>
      <c r="B174" s="215" t="s">
        <v>19</v>
      </c>
      <c r="C174" s="17" t="s">
        <v>958</v>
      </c>
      <c r="D174" s="17" t="s">
        <v>1587</v>
      </c>
      <c r="E174" s="82" t="s">
        <v>1588</v>
      </c>
      <c r="F174" s="6" t="s">
        <v>455</v>
      </c>
      <c r="G174" s="17" t="s">
        <v>1589</v>
      </c>
      <c r="H174" s="82" t="s">
        <v>1590</v>
      </c>
      <c r="I174" s="6">
        <v>43</v>
      </c>
      <c r="J174" s="6" t="s">
        <v>1267</v>
      </c>
      <c r="K174" s="15">
        <v>14</v>
      </c>
      <c r="L174" s="6" t="s">
        <v>1084</v>
      </c>
      <c r="M174" s="206">
        <v>39</v>
      </c>
      <c r="N174" s="209">
        <v>4301</v>
      </c>
      <c r="O174" s="207" t="s">
        <v>1647</v>
      </c>
      <c r="P174" s="6" t="s">
        <v>1268</v>
      </c>
      <c r="Q174" s="6">
        <v>4301037</v>
      </c>
      <c r="R174" s="6">
        <v>4301037</v>
      </c>
      <c r="S174" s="17" t="s">
        <v>294</v>
      </c>
      <c r="T174" s="6" t="s">
        <v>1275</v>
      </c>
      <c r="U174" s="6">
        <v>430103701</v>
      </c>
      <c r="V174" s="6">
        <v>430103701</v>
      </c>
      <c r="W174" s="48" t="s">
        <v>1276</v>
      </c>
      <c r="X174" s="49" t="s">
        <v>8</v>
      </c>
      <c r="Y174" s="6">
        <v>12</v>
      </c>
      <c r="Z174" s="6">
        <v>12</v>
      </c>
      <c r="AA174" s="6">
        <v>12</v>
      </c>
      <c r="AB174" s="6">
        <v>12</v>
      </c>
      <c r="AC174" s="6">
        <v>12</v>
      </c>
      <c r="AD174" s="50">
        <f>AE174+AF174+AG174+AH174+AI174+AJ174+AK174+AL174+AM174+AN174</f>
        <v>200000000</v>
      </c>
      <c r="AE174" s="52">
        <v>80000000</v>
      </c>
      <c r="AF174" s="52">
        <v>120000000</v>
      </c>
      <c r="AG174" s="52"/>
      <c r="AH174" s="52"/>
      <c r="AI174" s="52"/>
      <c r="AJ174" s="52"/>
      <c r="AK174" s="52"/>
      <c r="AL174" s="52"/>
      <c r="AM174" s="52"/>
      <c r="AN174" s="52"/>
      <c r="AO174" s="52">
        <f>AP174+AQ174+AR174+AS174+AT174+AU174+AV174+AW174+AX174+AY174</f>
        <v>176820060</v>
      </c>
      <c r="AP174" s="52"/>
      <c r="AQ174" s="52">
        <v>176820060</v>
      </c>
      <c r="AR174" s="52"/>
      <c r="AS174" s="52"/>
      <c r="AT174" s="52"/>
      <c r="AU174" s="52"/>
      <c r="AV174" s="52"/>
      <c r="AW174" s="52"/>
      <c r="AX174" s="52"/>
      <c r="AY174" s="52"/>
      <c r="AZ174" s="52">
        <v>204890245</v>
      </c>
      <c r="BA174" s="52"/>
      <c r="BB174" s="52">
        <v>204890245</v>
      </c>
      <c r="BC174" s="52"/>
      <c r="BD174" s="52"/>
      <c r="BE174" s="52"/>
      <c r="BF174" s="52"/>
      <c r="BG174" s="52"/>
      <c r="BH174" s="52"/>
      <c r="BI174" s="52"/>
      <c r="BJ174" s="52"/>
      <c r="BK174" s="52">
        <f t="shared" si="56"/>
        <v>234485502</v>
      </c>
      <c r="BL174" s="52"/>
      <c r="BM174" s="52">
        <v>234485502</v>
      </c>
      <c r="BN174" s="52"/>
      <c r="BO174" s="52"/>
      <c r="BP174" s="52"/>
      <c r="BQ174" s="52"/>
      <c r="BR174" s="52"/>
      <c r="BS174" s="52"/>
      <c r="BT174" s="52"/>
      <c r="BU174" s="53"/>
      <c r="BV174" s="54">
        <f>AD174+AO174+AZ174+BK174</f>
        <v>816195807</v>
      </c>
      <c r="BW174" s="55"/>
    </row>
    <row r="175" spans="1:75" s="190" customFormat="1" ht="157.5" customHeight="1" x14ac:dyDescent="0.2">
      <c r="A175" s="206">
        <v>1</v>
      </c>
      <c r="B175" s="215" t="s">
        <v>19</v>
      </c>
      <c r="C175" s="17" t="s">
        <v>958</v>
      </c>
      <c r="D175" s="17" t="s">
        <v>1587</v>
      </c>
      <c r="E175" s="82" t="s">
        <v>1588</v>
      </c>
      <c r="F175" s="6" t="s">
        <v>455</v>
      </c>
      <c r="G175" s="17" t="s">
        <v>1589</v>
      </c>
      <c r="H175" s="82" t="s">
        <v>1590</v>
      </c>
      <c r="I175" s="6">
        <v>43</v>
      </c>
      <c r="J175" s="6" t="s">
        <v>1267</v>
      </c>
      <c r="K175" s="15">
        <v>14</v>
      </c>
      <c r="L175" s="6" t="s">
        <v>1084</v>
      </c>
      <c r="M175" s="206">
        <v>39</v>
      </c>
      <c r="N175" s="209">
        <v>4301</v>
      </c>
      <c r="O175" s="207" t="s">
        <v>1647</v>
      </c>
      <c r="P175" s="14" t="s">
        <v>1268</v>
      </c>
      <c r="Q175" s="14" t="s">
        <v>1269</v>
      </c>
      <c r="R175" s="14" t="s">
        <v>1269</v>
      </c>
      <c r="S175" s="17" t="s">
        <v>294</v>
      </c>
      <c r="T175" s="6" t="s">
        <v>1270</v>
      </c>
      <c r="U175" s="6" t="s">
        <v>1271</v>
      </c>
      <c r="V175" s="6" t="s">
        <v>1271</v>
      </c>
      <c r="W175" s="48" t="s">
        <v>1272</v>
      </c>
      <c r="X175" s="49" t="s">
        <v>8</v>
      </c>
      <c r="Y175" s="6">
        <v>12</v>
      </c>
      <c r="Z175" s="6">
        <v>12</v>
      </c>
      <c r="AA175" s="6">
        <v>12</v>
      </c>
      <c r="AB175" s="6">
        <v>12</v>
      </c>
      <c r="AC175" s="6">
        <v>12</v>
      </c>
      <c r="AD175" s="50">
        <f>AE175+AF175+AG175+AH175+AI175+AJ175+AK175+AL175+AM175+AN175</f>
        <v>245552853</v>
      </c>
      <c r="AE175" s="52">
        <v>59000000</v>
      </c>
      <c r="AF175" s="52">
        <v>186552853</v>
      </c>
      <c r="AG175" s="52"/>
      <c r="AH175" s="52"/>
      <c r="AI175" s="52"/>
      <c r="AJ175" s="52"/>
      <c r="AK175" s="52"/>
      <c r="AL175" s="52"/>
      <c r="AM175" s="52"/>
      <c r="AN175" s="52"/>
      <c r="AO175" s="52">
        <f>AP175+AQ175+AR175+AS175+AT175+AU175+AV175+AW175+AX175+AY175</f>
        <v>275829644.89999998</v>
      </c>
      <c r="AP175" s="52">
        <v>94325228.900000006</v>
      </c>
      <c r="AQ175" s="52">
        <v>181504416</v>
      </c>
      <c r="AR175" s="52"/>
      <c r="AS175" s="52"/>
      <c r="AT175" s="52"/>
      <c r="AU175" s="52"/>
      <c r="AV175" s="52"/>
      <c r="AW175" s="52"/>
      <c r="AX175" s="52"/>
      <c r="AY175" s="52"/>
      <c r="AZ175" s="52">
        <v>308556740.86000001</v>
      </c>
      <c r="BA175" s="52">
        <v>98238496.859999999</v>
      </c>
      <c r="BB175" s="52">
        <v>210318244</v>
      </c>
      <c r="BC175" s="52"/>
      <c r="BD175" s="52"/>
      <c r="BE175" s="52"/>
      <c r="BF175" s="52"/>
      <c r="BG175" s="52"/>
      <c r="BH175" s="52"/>
      <c r="BI175" s="52"/>
      <c r="BJ175" s="52"/>
      <c r="BK175" s="52">
        <f t="shared" si="56"/>
        <v>324450279</v>
      </c>
      <c r="BL175" s="52">
        <v>83752734</v>
      </c>
      <c r="BM175" s="52">
        <v>240697545</v>
      </c>
      <c r="BN175" s="52"/>
      <c r="BO175" s="52"/>
      <c r="BP175" s="52"/>
      <c r="BQ175" s="52"/>
      <c r="BR175" s="52"/>
      <c r="BS175" s="52"/>
      <c r="BT175" s="52"/>
      <c r="BU175" s="53"/>
      <c r="BV175" s="54">
        <f>AD175+AO175+AZ175+BK175</f>
        <v>1154389517.76</v>
      </c>
      <c r="BW175" s="55"/>
    </row>
    <row r="176" spans="1:75" s="190" customFormat="1" ht="189" customHeight="1" x14ac:dyDescent="0.2">
      <c r="A176" s="206">
        <v>1</v>
      </c>
      <c r="B176" s="215" t="s">
        <v>19</v>
      </c>
      <c r="C176" s="17" t="s">
        <v>958</v>
      </c>
      <c r="D176" s="17" t="s">
        <v>1587</v>
      </c>
      <c r="E176" s="82" t="s">
        <v>1588</v>
      </c>
      <c r="F176" s="6" t="s">
        <v>455</v>
      </c>
      <c r="G176" s="17" t="s">
        <v>1589</v>
      </c>
      <c r="H176" s="82" t="s">
        <v>1590</v>
      </c>
      <c r="I176" s="6">
        <v>43</v>
      </c>
      <c r="J176" s="6" t="s">
        <v>1267</v>
      </c>
      <c r="K176" s="15">
        <v>14</v>
      </c>
      <c r="L176" s="6" t="s">
        <v>1084</v>
      </c>
      <c r="M176" s="206">
        <v>39</v>
      </c>
      <c r="N176" s="209">
        <v>4301</v>
      </c>
      <c r="O176" s="207" t="s">
        <v>1647</v>
      </c>
      <c r="P176" s="6" t="s">
        <v>1273</v>
      </c>
      <c r="Q176" s="6" t="s">
        <v>77</v>
      </c>
      <c r="R176" s="6" t="s">
        <v>1679</v>
      </c>
      <c r="S176" s="17" t="s">
        <v>295</v>
      </c>
      <c r="T176" s="6" t="s">
        <v>1274</v>
      </c>
      <c r="U176" s="6" t="s">
        <v>77</v>
      </c>
      <c r="V176" s="6" t="s">
        <v>1680</v>
      </c>
      <c r="W176" s="48" t="s">
        <v>1636</v>
      </c>
      <c r="X176" s="49" t="s">
        <v>8</v>
      </c>
      <c r="Y176" s="6">
        <v>1</v>
      </c>
      <c r="Z176" s="6">
        <v>1</v>
      </c>
      <c r="AA176" s="6">
        <v>1</v>
      </c>
      <c r="AB176" s="6">
        <v>1</v>
      </c>
      <c r="AC176" s="6">
        <v>1</v>
      </c>
      <c r="AD176" s="50">
        <f>AE176+AF176+AG176+AH176+AI176+AJ176+AK176+AL176+AM176+AN176</f>
        <v>75000000</v>
      </c>
      <c r="AE176" s="52"/>
      <c r="AF176" s="52">
        <v>25000000</v>
      </c>
      <c r="AG176" s="52"/>
      <c r="AH176" s="52"/>
      <c r="AI176" s="52"/>
      <c r="AJ176" s="52"/>
      <c r="AK176" s="52"/>
      <c r="AL176" s="52"/>
      <c r="AM176" s="52"/>
      <c r="AN176" s="52">
        <v>50000000</v>
      </c>
      <c r="AO176" s="52">
        <f>AP176+AQ176+AR176+AS176+AT176+AU176+AV176+AW176+AX176+AY176</f>
        <v>26178127</v>
      </c>
      <c r="AP176" s="52"/>
      <c r="AQ176" s="52">
        <v>26178127</v>
      </c>
      <c r="AR176" s="52"/>
      <c r="AS176" s="52"/>
      <c r="AT176" s="52"/>
      <c r="AU176" s="52"/>
      <c r="AV176" s="52"/>
      <c r="AW176" s="52"/>
      <c r="AX176" s="52"/>
      <c r="AY176" s="52"/>
      <c r="AZ176" s="52">
        <v>30333904</v>
      </c>
      <c r="BA176" s="52"/>
      <c r="BB176" s="52">
        <v>30333904</v>
      </c>
      <c r="BC176" s="52"/>
      <c r="BD176" s="52"/>
      <c r="BE176" s="52"/>
      <c r="BF176" s="52"/>
      <c r="BG176" s="52"/>
      <c r="BH176" s="52"/>
      <c r="BI176" s="52"/>
      <c r="BJ176" s="52"/>
      <c r="BK176" s="52">
        <f t="shared" si="56"/>
        <v>34715468</v>
      </c>
      <c r="BL176" s="52"/>
      <c r="BM176" s="52">
        <v>34715468</v>
      </c>
      <c r="BN176" s="52"/>
      <c r="BO176" s="52"/>
      <c r="BP176" s="52"/>
      <c r="BQ176" s="52"/>
      <c r="BR176" s="52"/>
      <c r="BS176" s="52"/>
      <c r="BT176" s="52"/>
      <c r="BU176" s="53"/>
      <c r="BV176" s="54">
        <f>AD176+AO176+AZ176+BK176</f>
        <v>166227499</v>
      </c>
      <c r="BW176" s="55"/>
    </row>
    <row r="177" spans="1:80" s="190" customFormat="1" ht="126" customHeight="1" x14ac:dyDescent="0.2">
      <c r="A177" s="206">
        <v>1</v>
      </c>
      <c r="B177" s="215" t="s">
        <v>19</v>
      </c>
      <c r="C177" s="56" t="s">
        <v>334</v>
      </c>
      <c r="D177" s="17" t="s">
        <v>28</v>
      </c>
      <c r="E177" s="82" t="s">
        <v>1280</v>
      </c>
      <c r="F177" s="6" t="s">
        <v>475</v>
      </c>
      <c r="G177" s="17" t="s">
        <v>1266</v>
      </c>
      <c r="H177" s="82" t="s">
        <v>1281</v>
      </c>
      <c r="I177" s="6">
        <v>43</v>
      </c>
      <c r="J177" s="6" t="s">
        <v>1267</v>
      </c>
      <c r="K177" s="15">
        <v>4</v>
      </c>
      <c r="L177" s="6" t="s">
        <v>1267</v>
      </c>
      <c r="M177" s="206">
        <v>39</v>
      </c>
      <c r="N177" s="209">
        <v>4301</v>
      </c>
      <c r="O177" s="207" t="s">
        <v>1647</v>
      </c>
      <c r="P177" s="6" t="s">
        <v>1282</v>
      </c>
      <c r="Q177" s="14" t="s">
        <v>77</v>
      </c>
      <c r="R177" s="14">
        <v>4301004</v>
      </c>
      <c r="S177" s="56" t="s">
        <v>1648</v>
      </c>
      <c r="T177" s="6" t="s">
        <v>1283</v>
      </c>
      <c r="U177" s="14" t="s">
        <v>77</v>
      </c>
      <c r="V177" s="14">
        <v>430100401</v>
      </c>
      <c r="W177" s="57" t="s">
        <v>1649</v>
      </c>
      <c r="X177" s="49" t="s">
        <v>9</v>
      </c>
      <c r="Y177" s="6">
        <v>12</v>
      </c>
      <c r="Z177" s="6">
        <v>3</v>
      </c>
      <c r="AA177" s="6">
        <v>3</v>
      </c>
      <c r="AB177" s="6">
        <v>3</v>
      </c>
      <c r="AC177" s="6">
        <v>3</v>
      </c>
      <c r="AD177" s="50">
        <f>AE177+AF177+AG177+AH177+AI177+AJ177+AK177+AL177+AM177+AN177</f>
        <v>5490470398.5</v>
      </c>
      <c r="AE177" s="52"/>
      <c r="AF177" s="52">
        <f>1668660141.5+372570330</f>
        <v>2041230471.5</v>
      </c>
      <c r="AG177" s="52"/>
      <c r="AH177" s="52"/>
      <c r="AI177" s="52"/>
      <c r="AJ177" s="52"/>
      <c r="AK177" s="52">
        <v>3449239927</v>
      </c>
      <c r="AL177" s="52"/>
      <c r="AM177" s="52"/>
      <c r="AN177" s="52"/>
      <c r="AO177" s="52">
        <f>AP177+AQ177+AR177+AS177+AT177+AU177+AV177+AW177+AX177+AY177</f>
        <v>16235850901.427965</v>
      </c>
      <c r="AP177" s="52"/>
      <c r="AQ177" s="52">
        <f>1640158959+395397156.427965</f>
        <v>2035556115.4279649</v>
      </c>
      <c r="AR177" s="52"/>
      <c r="AS177" s="52"/>
      <c r="AT177" s="52"/>
      <c r="AU177" s="52"/>
      <c r="AV177" s="52">
        <v>14200294786</v>
      </c>
      <c r="AW177" s="52"/>
      <c r="AX177" s="52"/>
      <c r="AY177" s="52"/>
      <c r="AZ177" s="52">
        <f>6377370041+458166454.85</f>
        <v>6835536495.8500004</v>
      </c>
      <c r="BA177" s="52"/>
      <c r="BB177" s="52">
        <f>1500000000+458166454.85</f>
        <v>1958166454.8499999</v>
      </c>
      <c r="BC177" s="52"/>
      <c r="BD177" s="52"/>
      <c r="BE177" s="52"/>
      <c r="BF177" s="52"/>
      <c r="BG177" s="52">
        <v>4877370041</v>
      </c>
      <c r="BH177" s="52"/>
      <c r="BI177" s="52"/>
      <c r="BJ177" s="52"/>
      <c r="BK177" s="52">
        <f t="shared" si="56"/>
        <v>10824346053.970001</v>
      </c>
      <c r="BL177" s="52"/>
      <c r="BM177" s="52">
        <f>3300000000+524346053.97</f>
        <v>3824346053.9700003</v>
      </c>
      <c r="BN177" s="52"/>
      <c r="BO177" s="52"/>
      <c r="BP177" s="52"/>
      <c r="BQ177" s="52"/>
      <c r="BR177" s="52">
        <v>7000000000</v>
      </c>
      <c r="BS177" s="52"/>
      <c r="BT177" s="52"/>
      <c r="BU177" s="53"/>
      <c r="BV177" s="54">
        <f>AD177+AO177+AZ177+BK177</f>
        <v>39386203849.747963</v>
      </c>
      <c r="BW177" s="77"/>
    </row>
    <row r="178" spans="1:80" ht="15.75" customHeight="1" x14ac:dyDescent="0.2">
      <c r="A178" s="206"/>
      <c r="B178" s="215"/>
      <c r="C178" s="56"/>
      <c r="D178" s="17"/>
      <c r="E178" s="16"/>
      <c r="F178" s="6"/>
      <c r="G178" s="17"/>
      <c r="H178" s="16"/>
      <c r="I178" s="6"/>
      <c r="J178" s="6"/>
      <c r="K178" s="15"/>
      <c r="L178" s="6"/>
      <c r="M178" s="58">
        <v>40</v>
      </c>
      <c r="N178" s="58">
        <v>4302</v>
      </c>
      <c r="O178" s="59" t="s">
        <v>29</v>
      </c>
      <c r="P178" s="58"/>
      <c r="Q178" s="60"/>
      <c r="R178" s="60"/>
      <c r="S178" s="60"/>
      <c r="T178" s="60"/>
      <c r="U178" s="60"/>
      <c r="V178" s="60"/>
      <c r="W178" s="43"/>
      <c r="X178" s="43"/>
      <c r="Y178" s="43"/>
      <c r="Z178" s="43"/>
      <c r="AA178" s="43"/>
      <c r="AB178" s="43"/>
      <c r="AC178" s="43"/>
      <c r="AD178" s="61">
        <f>SUBTOTAL(9,AD179:AD181)</f>
        <v>2491885403.6500001</v>
      </c>
      <c r="AE178" s="61">
        <f t="shared" ref="AE178:BV178" si="68">SUBTOTAL(9,AE179:AE181)</f>
        <v>573825727</v>
      </c>
      <c r="AF178" s="61">
        <f t="shared" si="68"/>
        <v>1918059676.6500001</v>
      </c>
      <c r="AG178" s="61">
        <f t="shared" si="68"/>
        <v>0</v>
      </c>
      <c r="AH178" s="61">
        <f t="shared" si="68"/>
        <v>0</v>
      </c>
      <c r="AI178" s="61">
        <f t="shared" si="68"/>
        <v>0</v>
      </c>
      <c r="AJ178" s="61">
        <f t="shared" si="68"/>
        <v>0</v>
      </c>
      <c r="AK178" s="61">
        <f t="shared" si="68"/>
        <v>0</v>
      </c>
      <c r="AL178" s="61">
        <f t="shared" si="68"/>
        <v>0</v>
      </c>
      <c r="AM178" s="61">
        <f t="shared" si="68"/>
        <v>0</v>
      </c>
      <c r="AN178" s="61">
        <f t="shared" si="68"/>
        <v>0</v>
      </c>
      <c r="AO178" s="61">
        <f t="shared" si="68"/>
        <v>5328980277.25</v>
      </c>
      <c r="AP178" s="61">
        <f t="shared" si="68"/>
        <v>586526727.25</v>
      </c>
      <c r="AQ178" s="61">
        <f t="shared" si="68"/>
        <v>742453550</v>
      </c>
      <c r="AR178" s="61">
        <f t="shared" si="68"/>
        <v>0</v>
      </c>
      <c r="AS178" s="61">
        <f t="shared" si="68"/>
        <v>0</v>
      </c>
      <c r="AT178" s="61">
        <f t="shared" si="68"/>
        <v>0</v>
      </c>
      <c r="AU178" s="61">
        <f t="shared" si="68"/>
        <v>0</v>
      </c>
      <c r="AV178" s="61">
        <f t="shared" si="68"/>
        <v>4000000000</v>
      </c>
      <c r="AW178" s="61">
        <f t="shared" si="68"/>
        <v>0</v>
      </c>
      <c r="AX178" s="61">
        <f t="shared" si="68"/>
        <v>0</v>
      </c>
      <c r="AY178" s="61">
        <f t="shared" si="68"/>
        <v>0</v>
      </c>
      <c r="AZ178" s="61">
        <f t="shared" si="68"/>
        <v>1425732841.1399999</v>
      </c>
      <c r="BA178" s="61">
        <f t="shared" si="68"/>
        <v>688630592.13999999</v>
      </c>
      <c r="BB178" s="61">
        <f t="shared" si="68"/>
        <v>737102249</v>
      </c>
      <c r="BC178" s="61">
        <f t="shared" si="68"/>
        <v>0</v>
      </c>
      <c r="BD178" s="61">
        <f t="shared" si="68"/>
        <v>0</v>
      </c>
      <c r="BE178" s="61">
        <f t="shared" si="68"/>
        <v>0</v>
      </c>
      <c r="BF178" s="61">
        <f t="shared" si="68"/>
        <v>0</v>
      </c>
      <c r="BG178" s="61">
        <f t="shared" si="68"/>
        <v>0</v>
      </c>
      <c r="BH178" s="61">
        <f t="shared" si="68"/>
        <v>0</v>
      </c>
      <c r="BI178" s="61">
        <f t="shared" si="68"/>
        <v>0</v>
      </c>
      <c r="BJ178" s="61">
        <f t="shared" si="68"/>
        <v>0</v>
      </c>
      <c r="BK178" s="61">
        <f t="shared" si="68"/>
        <v>1352898767</v>
      </c>
      <c r="BL178" s="61">
        <f t="shared" si="68"/>
        <v>814881749</v>
      </c>
      <c r="BM178" s="61">
        <f t="shared" si="68"/>
        <v>538017018</v>
      </c>
      <c r="BN178" s="61">
        <f t="shared" si="68"/>
        <v>0</v>
      </c>
      <c r="BO178" s="61">
        <f t="shared" si="68"/>
        <v>0</v>
      </c>
      <c r="BP178" s="61">
        <f t="shared" si="68"/>
        <v>0</v>
      </c>
      <c r="BQ178" s="61">
        <f t="shared" si="68"/>
        <v>0</v>
      </c>
      <c r="BR178" s="61">
        <f t="shared" si="68"/>
        <v>0</v>
      </c>
      <c r="BS178" s="61">
        <f t="shared" si="68"/>
        <v>0</v>
      </c>
      <c r="BT178" s="61">
        <f t="shared" si="68"/>
        <v>0</v>
      </c>
      <c r="BU178" s="62">
        <f t="shared" si="68"/>
        <v>0</v>
      </c>
      <c r="BV178" s="61">
        <f t="shared" si="68"/>
        <v>10599497289.039999</v>
      </c>
      <c r="BW178" s="55"/>
    </row>
    <row r="179" spans="1:80" s="190" customFormat="1" ht="102.75" customHeight="1" x14ac:dyDescent="0.2">
      <c r="A179" s="206">
        <v>1</v>
      </c>
      <c r="B179" s="215" t="s">
        <v>19</v>
      </c>
      <c r="C179" s="56" t="s">
        <v>334</v>
      </c>
      <c r="D179" s="17" t="s">
        <v>28</v>
      </c>
      <c r="E179" s="82" t="s">
        <v>1280</v>
      </c>
      <c r="F179" s="6" t="s">
        <v>475</v>
      </c>
      <c r="G179" s="17" t="s">
        <v>1266</v>
      </c>
      <c r="H179" s="82" t="s">
        <v>1281</v>
      </c>
      <c r="I179" s="6">
        <v>43</v>
      </c>
      <c r="J179" s="6" t="s">
        <v>1267</v>
      </c>
      <c r="K179" s="15">
        <v>4</v>
      </c>
      <c r="L179" s="6" t="s">
        <v>1267</v>
      </c>
      <c r="M179" s="206">
        <v>40</v>
      </c>
      <c r="N179" s="209">
        <v>4302</v>
      </c>
      <c r="O179" s="207" t="s">
        <v>29</v>
      </c>
      <c r="P179" s="14" t="s">
        <v>1290</v>
      </c>
      <c r="Q179" s="14">
        <v>4302020</v>
      </c>
      <c r="R179" s="14">
        <v>4302020</v>
      </c>
      <c r="S179" s="56" t="s">
        <v>30</v>
      </c>
      <c r="T179" s="14" t="s">
        <v>1291</v>
      </c>
      <c r="U179" s="14">
        <v>430202000</v>
      </c>
      <c r="V179" s="14">
        <v>430202000</v>
      </c>
      <c r="W179" s="57" t="s">
        <v>30</v>
      </c>
      <c r="X179" s="49" t="s">
        <v>9</v>
      </c>
      <c r="Y179" s="6">
        <v>1</v>
      </c>
      <c r="Z179" s="6">
        <v>0.25</v>
      </c>
      <c r="AA179" s="6">
        <v>0.25</v>
      </c>
      <c r="AB179" s="6">
        <v>0.25</v>
      </c>
      <c r="AC179" s="6">
        <v>0.25</v>
      </c>
      <c r="AD179" s="50">
        <f>AE179+AF179+AG179+AH179+AI179+AJ179+AK179+AL179+AM179+AN179</f>
        <v>1668660141.6500001</v>
      </c>
      <c r="AE179" s="52"/>
      <c r="AF179" s="52">
        <v>1668660141.6500001</v>
      </c>
      <c r="AG179" s="52"/>
      <c r="AH179" s="52"/>
      <c r="AI179" s="52"/>
      <c r="AJ179" s="52"/>
      <c r="AK179" s="52"/>
      <c r="AL179" s="52"/>
      <c r="AM179" s="52"/>
      <c r="AN179" s="52"/>
      <c r="AO179" s="52">
        <f>AP179+AQ179+AR179+AS179+AT179+AU179+AV179+AW179+AX179+AY179</f>
        <v>4512484175</v>
      </c>
      <c r="AP179" s="52"/>
      <c r="AQ179" s="52">
        <v>512484175</v>
      </c>
      <c r="AR179" s="52"/>
      <c r="AS179" s="52"/>
      <c r="AT179" s="52"/>
      <c r="AU179" s="52"/>
      <c r="AV179" s="52">
        <v>4000000000</v>
      </c>
      <c r="AW179" s="52"/>
      <c r="AX179" s="52"/>
      <c r="AY179" s="52"/>
      <c r="AZ179" s="52">
        <f>BA179+BB179+BC179+BD179+BE179+BF179+BG179+BH179+BI179+BJ179</f>
        <v>470625231</v>
      </c>
      <c r="BA179" s="52"/>
      <c r="BB179" s="52">
        <v>470625231</v>
      </c>
      <c r="BC179" s="52"/>
      <c r="BD179" s="52"/>
      <c r="BE179" s="52"/>
      <c r="BF179" s="52"/>
      <c r="BG179" s="52"/>
      <c r="BH179" s="52"/>
      <c r="BI179" s="52"/>
      <c r="BJ179" s="52"/>
      <c r="BK179" s="52">
        <f t="shared" si="56"/>
        <v>233048876</v>
      </c>
      <c r="BL179" s="52"/>
      <c r="BM179" s="52">
        <v>233048876</v>
      </c>
      <c r="BN179" s="52"/>
      <c r="BO179" s="52"/>
      <c r="BP179" s="52"/>
      <c r="BQ179" s="52"/>
      <c r="BR179" s="52"/>
      <c r="BS179" s="52"/>
      <c r="BT179" s="52"/>
      <c r="BU179" s="53"/>
      <c r="BV179" s="54">
        <f>AD179+AO179+AZ179+BK179</f>
        <v>6884818423.6499996</v>
      </c>
      <c r="BW179" s="55"/>
    </row>
    <row r="180" spans="1:80" s="190" customFormat="1" ht="60.75" customHeight="1" x14ac:dyDescent="0.2">
      <c r="A180" s="206">
        <v>1</v>
      </c>
      <c r="B180" s="215" t="s">
        <v>19</v>
      </c>
      <c r="C180" s="17" t="s">
        <v>958</v>
      </c>
      <c r="D180" s="67" t="s">
        <v>1633</v>
      </c>
      <c r="E180" s="82" t="s">
        <v>1634</v>
      </c>
      <c r="F180" s="6" t="s">
        <v>1010</v>
      </c>
      <c r="G180" s="17" t="s">
        <v>1284</v>
      </c>
      <c r="H180" s="82" t="s">
        <v>1635</v>
      </c>
      <c r="I180" s="6">
        <v>43</v>
      </c>
      <c r="J180" s="6" t="s">
        <v>1267</v>
      </c>
      <c r="K180" s="15">
        <v>14</v>
      </c>
      <c r="L180" s="6" t="s">
        <v>1084</v>
      </c>
      <c r="M180" s="206">
        <v>40</v>
      </c>
      <c r="N180" s="209">
        <v>4302</v>
      </c>
      <c r="O180" s="207" t="s">
        <v>29</v>
      </c>
      <c r="P180" s="14" t="s">
        <v>1285</v>
      </c>
      <c r="Q180" s="6">
        <v>4302075</v>
      </c>
      <c r="R180" s="6">
        <v>4302075</v>
      </c>
      <c r="S180" s="17" t="s">
        <v>296</v>
      </c>
      <c r="T180" s="14" t="s">
        <v>1286</v>
      </c>
      <c r="U180" s="6">
        <v>430207500</v>
      </c>
      <c r="V180" s="6">
        <v>430207500</v>
      </c>
      <c r="W180" s="48" t="s">
        <v>1287</v>
      </c>
      <c r="X180" s="49" t="s">
        <v>8</v>
      </c>
      <c r="Y180" s="6">
        <v>25</v>
      </c>
      <c r="Z180" s="6">
        <v>25</v>
      </c>
      <c r="AA180" s="6">
        <v>25</v>
      </c>
      <c r="AB180" s="6">
        <v>25</v>
      </c>
      <c r="AC180" s="6">
        <v>25</v>
      </c>
      <c r="AD180" s="50">
        <f>AE180+AF180+AG180+AH180+AI180+AJ180+AK180+AL180+AM180+AN180</f>
        <v>793225262</v>
      </c>
      <c r="AE180" s="52">
        <v>543825727</v>
      </c>
      <c r="AF180" s="52">
        <v>249399535</v>
      </c>
      <c r="AG180" s="52"/>
      <c r="AH180" s="52"/>
      <c r="AI180" s="52"/>
      <c r="AJ180" s="52"/>
      <c r="AK180" s="52"/>
      <c r="AL180" s="52"/>
      <c r="AM180" s="52"/>
      <c r="AN180" s="52"/>
      <c r="AO180" s="52">
        <f>AP180+AQ180+AR180+AS180+AT180+AU180+AV180+AW180+AX180+AY180</f>
        <v>791223719.25</v>
      </c>
      <c r="AP180" s="52">
        <v>561254344.25</v>
      </c>
      <c r="AQ180" s="52">
        <v>229969375</v>
      </c>
      <c r="AR180" s="52"/>
      <c r="AS180" s="52"/>
      <c r="AT180" s="52"/>
      <c r="AU180" s="52"/>
      <c r="AV180" s="52"/>
      <c r="AW180" s="52"/>
      <c r="AX180" s="52"/>
      <c r="AY180" s="52"/>
      <c r="AZ180" s="52">
        <f>BA180+BB180+BC180+BD180+BE180+BF180+BG180+BH180+BI180+BJ180</f>
        <v>924810015.13999999</v>
      </c>
      <c r="BA180" s="52">
        <v>658332997.13999999</v>
      </c>
      <c r="BB180" s="52">
        <v>266477018</v>
      </c>
      <c r="BC180" s="52"/>
      <c r="BD180" s="52"/>
      <c r="BE180" s="52"/>
      <c r="BF180" s="52"/>
      <c r="BG180" s="52"/>
      <c r="BH180" s="52"/>
      <c r="BI180" s="52"/>
      <c r="BJ180" s="52"/>
      <c r="BK180" s="52">
        <f t="shared" si="56"/>
        <v>1077254617</v>
      </c>
      <c r="BL180" s="52">
        <v>772286475</v>
      </c>
      <c r="BM180" s="52">
        <v>304968142</v>
      </c>
      <c r="BN180" s="52"/>
      <c r="BO180" s="52"/>
      <c r="BP180" s="52"/>
      <c r="BQ180" s="52"/>
      <c r="BR180" s="52"/>
      <c r="BS180" s="52"/>
      <c r="BT180" s="52"/>
      <c r="BU180" s="53"/>
      <c r="BV180" s="54">
        <f>AD180+AO180+AZ180+BK180</f>
        <v>3586513613.3899999</v>
      </c>
      <c r="BW180" s="55"/>
    </row>
    <row r="181" spans="1:80" s="190" customFormat="1" ht="60" customHeight="1" x14ac:dyDescent="0.2">
      <c r="A181" s="206">
        <v>1</v>
      </c>
      <c r="B181" s="215" t="s">
        <v>19</v>
      </c>
      <c r="C181" s="17" t="s">
        <v>958</v>
      </c>
      <c r="D181" s="67" t="s">
        <v>1633</v>
      </c>
      <c r="E181" s="82" t="s">
        <v>1634</v>
      </c>
      <c r="F181" s="6" t="s">
        <v>1010</v>
      </c>
      <c r="G181" s="17" t="s">
        <v>1284</v>
      </c>
      <c r="H181" s="82" t="s">
        <v>1635</v>
      </c>
      <c r="I181" s="6">
        <v>43</v>
      </c>
      <c r="J181" s="6" t="s">
        <v>1267</v>
      </c>
      <c r="K181" s="15">
        <v>14</v>
      </c>
      <c r="L181" s="6" t="s">
        <v>1084</v>
      </c>
      <c r="M181" s="206">
        <v>40</v>
      </c>
      <c r="N181" s="209">
        <v>4302</v>
      </c>
      <c r="O181" s="207" t="s">
        <v>29</v>
      </c>
      <c r="P181" s="14" t="s">
        <v>1285</v>
      </c>
      <c r="Q181" s="6">
        <v>4302075</v>
      </c>
      <c r="R181" s="6" t="s">
        <v>1681</v>
      </c>
      <c r="S181" s="17" t="s">
        <v>296</v>
      </c>
      <c r="T181" s="14" t="s">
        <v>1288</v>
      </c>
      <c r="U181" s="6" t="s">
        <v>77</v>
      </c>
      <c r="V181" s="6" t="s">
        <v>1682</v>
      </c>
      <c r="W181" s="48" t="s">
        <v>1289</v>
      </c>
      <c r="X181" s="49" t="s">
        <v>8</v>
      </c>
      <c r="Y181" s="6">
        <v>1</v>
      </c>
      <c r="Z181" s="6">
        <v>1</v>
      </c>
      <c r="AA181" s="6">
        <v>1</v>
      </c>
      <c r="AB181" s="6">
        <v>1</v>
      </c>
      <c r="AC181" s="6">
        <v>1</v>
      </c>
      <c r="AD181" s="50">
        <f>AE181+AF181+AG181+AH181+AI181+AJ181+AK181+AL181+AM181+AN181</f>
        <v>30000000</v>
      </c>
      <c r="AE181" s="52">
        <v>30000000</v>
      </c>
      <c r="AF181" s="52"/>
      <c r="AG181" s="52"/>
      <c r="AH181" s="52"/>
      <c r="AI181" s="52"/>
      <c r="AJ181" s="52"/>
      <c r="AK181" s="52"/>
      <c r="AL181" s="52"/>
      <c r="AM181" s="52"/>
      <c r="AN181" s="52"/>
      <c r="AO181" s="52">
        <f>AP181+AQ181+AR181+AS181+AT181+AU181+AV181+AW181+AX181+AY181</f>
        <v>25272383</v>
      </c>
      <c r="AP181" s="52">
        <v>25272383</v>
      </c>
      <c r="AQ181" s="52"/>
      <c r="AR181" s="52"/>
      <c r="AS181" s="52"/>
      <c r="AT181" s="52"/>
      <c r="AU181" s="52"/>
      <c r="AV181" s="52"/>
      <c r="AW181" s="52"/>
      <c r="AX181" s="52"/>
      <c r="AY181" s="52"/>
      <c r="AZ181" s="52">
        <f>BA181+BB181+BC181+BD181+BE181+BF181+BG181+BH181+BI181+BJ181</f>
        <v>30297595</v>
      </c>
      <c r="BA181" s="52">
        <v>30297595</v>
      </c>
      <c r="BB181" s="52"/>
      <c r="BC181" s="52"/>
      <c r="BD181" s="52"/>
      <c r="BE181" s="52"/>
      <c r="BF181" s="52"/>
      <c r="BG181" s="52"/>
      <c r="BH181" s="52"/>
      <c r="BI181" s="52"/>
      <c r="BJ181" s="52"/>
      <c r="BK181" s="52">
        <f t="shared" si="56"/>
        <v>42595274</v>
      </c>
      <c r="BL181" s="52">
        <v>42595274</v>
      </c>
      <c r="BM181" s="52"/>
      <c r="BN181" s="52"/>
      <c r="BO181" s="52"/>
      <c r="BP181" s="52"/>
      <c r="BQ181" s="52"/>
      <c r="BR181" s="52"/>
      <c r="BS181" s="52"/>
      <c r="BT181" s="52"/>
      <c r="BU181" s="53"/>
      <c r="BV181" s="54">
        <f>AD181+AO181+AZ181+BK181</f>
        <v>128165252</v>
      </c>
      <c r="BW181" s="55"/>
    </row>
    <row r="182" spans="1:80" ht="27" customHeight="1" x14ac:dyDescent="0.2">
      <c r="A182" s="206"/>
      <c r="B182" s="215"/>
      <c r="C182" s="56"/>
      <c r="D182" s="10"/>
      <c r="E182" s="16"/>
      <c r="F182" s="6"/>
      <c r="G182" s="17"/>
      <c r="H182" s="16"/>
      <c r="I182" s="6"/>
      <c r="J182" s="6"/>
      <c r="K182" s="15"/>
      <c r="L182" s="6"/>
      <c r="M182" s="58">
        <v>41</v>
      </c>
      <c r="N182" s="58">
        <v>4501</v>
      </c>
      <c r="O182" s="59" t="s">
        <v>79</v>
      </c>
      <c r="P182" s="58"/>
      <c r="Q182" s="60"/>
      <c r="R182" s="60"/>
      <c r="S182" s="60"/>
      <c r="T182" s="60"/>
      <c r="U182" s="60"/>
      <c r="V182" s="60"/>
      <c r="W182" s="43"/>
      <c r="X182" s="44"/>
      <c r="Y182" s="44"/>
      <c r="Z182" s="44"/>
      <c r="AA182" s="44"/>
      <c r="AB182" s="44"/>
      <c r="AC182" s="41"/>
      <c r="AD182" s="61">
        <f>SUBTOTAL(9,AD183:AD184)</f>
        <v>5525536946.8599997</v>
      </c>
      <c r="AE182" s="61">
        <f t="shared" ref="AE182:AJ182" si="69">SUBTOTAL(9,AE183:AE184)</f>
        <v>96923000</v>
      </c>
      <c r="AF182" s="61">
        <f t="shared" si="69"/>
        <v>5428613946.8599997</v>
      </c>
      <c r="AG182" s="61">
        <f t="shared" si="69"/>
        <v>0</v>
      </c>
      <c r="AH182" s="61">
        <f t="shared" si="69"/>
        <v>0</v>
      </c>
      <c r="AI182" s="61">
        <f t="shared" si="69"/>
        <v>0</v>
      </c>
      <c r="AJ182" s="61">
        <f t="shared" si="69"/>
        <v>0</v>
      </c>
      <c r="AK182" s="61">
        <f t="shared" ref="AK182:AW182" si="70">SUBTOTAL(9,AK183:AK184)</f>
        <v>0</v>
      </c>
      <c r="AL182" s="61">
        <f t="shared" si="70"/>
        <v>0</v>
      </c>
      <c r="AM182" s="61">
        <f t="shared" si="70"/>
        <v>0</v>
      </c>
      <c r="AN182" s="61">
        <f t="shared" si="70"/>
        <v>0</v>
      </c>
      <c r="AO182" s="61">
        <f t="shared" si="70"/>
        <v>1277127499.95</v>
      </c>
      <c r="AP182" s="61">
        <f t="shared" si="70"/>
        <v>5164901.95</v>
      </c>
      <c r="AQ182" s="61">
        <f t="shared" si="70"/>
        <v>1271962598</v>
      </c>
      <c r="AR182" s="61">
        <f t="shared" si="70"/>
        <v>0</v>
      </c>
      <c r="AS182" s="61">
        <f t="shared" si="70"/>
        <v>0</v>
      </c>
      <c r="AT182" s="61">
        <f t="shared" si="70"/>
        <v>0</v>
      </c>
      <c r="AU182" s="61">
        <f t="shared" si="70"/>
        <v>0</v>
      </c>
      <c r="AV182" s="61">
        <f t="shared" si="70"/>
        <v>0</v>
      </c>
      <c r="AW182" s="61">
        <f t="shared" si="70"/>
        <v>0</v>
      </c>
      <c r="AX182" s="61">
        <f t="shared" ref="AX182:BV182" si="71">SUBTOTAL(9,AX183:AX184)</f>
        <v>0</v>
      </c>
      <c r="AY182" s="61">
        <f t="shared" si="71"/>
        <v>0</v>
      </c>
      <c r="AZ182" s="61">
        <f t="shared" si="71"/>
        <v>1564611778.8399999</v>
      </c>
      <c r="BA182" s="61">
        <f t="shared" si="71"/>
        <v>90725118.840000004</v>
      </c>
      <c r="BB182" s="61">
        <f t="shared" si="71"/>
        <v>1473886660</v>
      </c>
      <c r="BC182" s="61">
        <f t="shared" si="71"/>
        <v>0</v>
      </c>
      <c r="BD182" s="61">
        <f t="shared" si="71"/>
        <v>0</v>
      </c>
      <c r="BE182" s="61">
        <f t="shared" si="71"/>
        <v>0</v>
      </c>
      <c r="BF182" s="61">
        <f t="shared" si="71"/>
        <v>0</v>
      </c>
      <c r="BG182" s="61">
        <f t="shared" si="71"/>
        <v>0</v>
      </c>
      <c r="BH182" s="61">
        <f t="shared" si="71"/>
        <v>0</v>
      </c>
      <c r="BI182" s="61">
        <f t="shared" si="71"/>
        <v>0</v>
      </c>
      <c r="BJ182" s="61">
        <f t="shared" si="71"/>
        <v>0</v>
      </c>
      <c r="BK182" s="61">
        <f t="shared" si="71"/>
        <v>1968963456.8699999</v>
      </c>
      <c r="BL182" s="61">
        <f t="shared" si="71"/>
        <v>282182056.87</v>
      </c>
      <c r="BM182" s="61">
        <f t="shared" si="71"/>
        <v>1686781400</v>
      </c>
      <c r="BN182" s="61">
        <f t="shared" si="71"/>
        <v>0</v>
      </c>
      <c r="BO182" s="61">
        <f t="shared" si="71"/>
        <v>0</v>
      </c>
      <c r="BP182" s="61">
        <f t="shared" si="71"/>
        <v>0</v>
      </c>
      <c r="BQ182" s="61">
        <f t="shared" si="71"/>
        <v>0</v>
      </c>
      <c r="BR182" s="61">
        <f t="shared" si="71"/>
        <v>0</v>
      </c>
      <c r="BS182" s="61">
        <f t="shared" si="71"/>
        <v>0</v>
      </c>
      <c r="BT182" s="61">
        <f t="shared" si="71"/>
        <v>0</v>
      </c>
      <c r="BU182" s="62">
        <f t="shared" si="71"/>
        <v>0</v>
      </c>
      <c r="BV182" s="61">
        <f t="shared" si="71"/>
        <v>10336239682.52</v>
      </c>
      <c r="BW182" s="55"/>
    </row>
    <row r="183" spans="1:80" s="190" customFormat="1" ht="189" customHeight="1" x14ac:dyDescent="0.2">
      <c r="A183" s="206">
        <v>1</v>
      </c>
      <c r="B183" s="215" t="s">
        <v>19</v>
      </c>
      <c r="C183" s="17" t="s">
        <v>324</v>
      </c>
      <c r="D183" s="17" t="s">
        <v>21</v>
      </c>
      <c r="E183" s="16" t="s">
        <v>325</v>
      </c>
      <c r="F183" s="6" t="s">
        <v>326</v>
      </c>
      <c r="G183" s="17" t="s">
        <v>327</v>
      </c>
      <c r="H183" s="16" t="s">
        <v>328</v>
      </c>
      <c r="I183" s="6">
        <v>45</v>
      </c>
      <c r="J183" s="6" t="s">
        <v>1294</v>
      </c>
      <c r="K183" s="15">
        <v>16</v>
      </c>
      <c r="L183" s="6" t="s">
        <v>398</v>
      </c>
      <c r="M183" s="206">
        <v>45</v>
      </c>
      <c r="N183" s="206">
        <v>4501</v>
      </c>
      <c r="O183" s="207" t="s">
        <v>79</v>
      </c>
      <c r="P183" s="63" t="s">
        <v>1305</v>
      </c>
      <c r="Q183" s="6">
        <v>4501001</v>
      </c>
      <c r="R183" s="6">
        <v>4501001</v>
      </c>
      <c r="S183" s="17" t="s">
        <v>83</v>
      </c>
      <c r="T183" s="74" t="s">
        <v>1306</v>
      </c>
      <c r="U183" s="6">
        <v>450100100</v>
      </c>
      <c r="V183" s="6">
        <v>450100100</v>
      </c>
      <c r="W183" s="48" t="s">
        <v>1695</v>
      </c>
      <c r="X183" s="49" t="s">
        <v>8</v>
      </c>
      <c r="Y183" s="6">
        <v>12</v>
      </c>
      <c r="Z183" s="6">
        <v>12</v>
      </c>
      <c r="AA183" s="6">
        <v>12</v>
      </c>
      <c r="AB183" s="6">
        <v>12</v>
      </c>
      <c r="AC183" s="6">
        <v>12</v>
      </c>
      <c r="AD183" s="50">
        <f>AE183+AF183+AG183+AH183+AI183+AJ183+AK183+AL183+AM183+AN183</f>
        <v>96923000</v>
      </c>
      <c r="AE183" s="52">
        <v>96923000</v>
      </c>
      <c r="AF183" s="52"/>
      <c r="AG183" s="52"/>
      <c r="AH183" s="52"/>
      <c r="AI183" s="52"/>
      <c r="AJ183" s="52"/>
      <c r="AK183" s="52"/>
      <c r="AL183" s="52"/>
      <c r="AM183" s="52"/>
      <c r="AN183" s="52"/>
      <c r="AO183" s="52">
        <f>AP183+AQ183+AR183+AS183+AT183+AU183+AV183+AW183+AX183+AY183</f>
        <v>5164901.95</v>
      </c>
      <c r="AP183" s="52">
        <v>5164901.95</v>
      </c>
      <c r="AQ183" s="52"/>
      <c r="AR183" s="52"/>
      <c r="AS183" s="52"/>
      <c r="AT183" s="52"/>
      <c r="AU183" s="52"/>
      <c r="AV183" s="52"/>
      <c r="AW183" s="52"/>
      <c r="AX183" s="52"/>
      <c r="AY183" s="52"/>
      <c r="AZ183" s="52">
        <f>BA183+BB183+BC183+BD183+BE183+BF183+BG183+BH183+BI183+BJ183</f>
        <v>90725118.840000004</v>
      </c>
      <c r="BA183" s="52">
        <v>90725118.840000004</v>
      </c>
      <c r="BB183" s="52"/>
      <c r="BC183" s="52"/>
      <c r="BD183" s="52"/>
      <c r="BE183" s="52"/>
      <c r="BF183" s="52"/>
      <c r="BG183" s="52"/>
      <c r="BH183" s="52"/>
      <c r="BI183" s="52"/>
      <c r="BJ183" s="52"/>
      <c r="BK183" s="52">
        <f t="shared" si="56"/>
        <v>282182056.87</v>
      </c>
      <c r="BL183" s="52">
        <v>282182056.87</v>
      </c>
      <c r="BM183" s="52"/>
      <c r="BN183" s="52"/>
      <c r="BO183" s="52"/>
      <c r="BP183" s="52"/>
      <c r="BQ183" s="52"/>
      <c r="BR183" s="52"/>
      <c r="BS183" s="52"/>
      <c r="BT183" s="52"/>
      <c r="BU183" s="53"/>
      <c r="BV183" s="54">
        <f>AD183+AO183+AZ183+BK183</f>
        <v>474995077.66000003</v>
      </c>
      <c r="BW183" s="55"/>
    </row>
    <row r="184" spans="1:80" s="190" customFormat="1" ht="189" customHeight="1" x14ac:dyDescent="0.2">
      <c r="A184" s="206">
        <v>1</v>
      </c>
      <c r="B184" s="215" t="s">
        <v>19</v>
      </c>
      <c r="C184" s="17" t="s">
        <v>324</v>
      </c>
      <c r="D184" s="17" t="s">
        <v>21</v>
      </c>
      <c r="E184" s="16" t="s">
        <v>325</v>
      </c>
      <c r="F184" s="6" t="s">
        <v>326</v>
      </c>
      <c r="G184" s="17" t="s">
        <v>327</v>
      </c>
      <c r="H184" s="16" t="s">
        <v>328</v>
      </c>
      <c r="I184" s="6">
        <v>45</v>
      </c>
      <c r="J184" s="6" t="s">
        <v>1294</v>
      </c>
      <c r="K184" s="15">
        <v>18</v>
      </c>
      <c r="L184" s="6" t="s">
        <v>330</v>
      </c>
      <c r="M184" s="206">
        <v>41</v>
      </c>
      <c r="N184" s="206">
        <v>4501</v>
      </c>
      <c r="O184" s="207" t="s">
        <v>79</v>
      </c>
      <c r="P184" s="74" t="s">
        <v>1307</v>
      </c>
      <c r="Q184" s="6" t="s">
        <v>77</v>
      </c>
      <c r="R184" s="6">
        <v>4501029</v>
      </c>
      <c r="S184" s="17" t="s">
        <v>80</v>
      </c>
      <c r="T184" s="74" t="s">
        <v>1308</v>
      </c>
      <c r="U184" s="6" t="s">
        <v>77</v>
      </c>
      <c r="V184" s="6">
        <v>450102900</v>
      </c>
      <c r="W184" s="48" t="s">
        <v>1309</v>
      </c>
      <c r="X184" s="49" t="s">
        <v>8</v>
      </c>
      <c r="Y184" s="6">
        <v>5</v>
      </c>
      <c r="Z184" s="6">
        <v>5</v>
      </c>
      <c r="AA184" s="6">
        <v>5</v>
      </c>
      <c r="AB184" s="6">
        <v>5</v>
      </c>
      <c r="AC184" s="6">
        <v>5</v>
      </c>
      <c r="AD184" s="50">
        <f>AE184+AF184+AG184+AH184+AI184+AJ184+AK184+AL184+AM184+AN184</f>
        <v>5428613946.8599997</v>
      </c>
      <c r="AE184" s="52"/>
      <c r="AF184" s="52">
        <v>5428613946.8599997</v>
      </c>
      <c r="AG184" s="52"/>
      <c r="AH184" s="52"/>
      <c r="AI184" s="52"/>
      <c r="AJ184" s="52"/>
      <c r="AK184" s="52"/>
      <c r="AL184" s="52"/>
      <c r="AM184" s="52"/>
      <c r="AN184" s="52"/>
      <c r="AO184" s="52">
        <f>AP184+AQ184+AR184+AS184+AT184+AU184+AV184+AW184+AX184+AY184</f>
        <v>1271962598</v>
      </c>
      <c r="AP184" s="52"/>
      <c r="AQ184" s="52">
        <v>1271962598</v>
      </c>
      <c r="AR184" s="52"/>
      <c r="AS184" s="52"/>
      <c r="AT184" s="52"/>
      <c r="AU184" s="52"/>
      <c r="AV184" s="52"/>
      <c r="AW184" s="52"/>
      <c r="AX184" s="52"/>
      <c r="AY184" s="52"/>
      <c r="AZ184" s="52">
        <f>BA184+BB184+BC184+BD184+BE184+BF184+BG184+BH184+BI184+BJ184</f>
        <v>1473886660</v>
      </c>
      <c r="BA184" s="52"/>
      <c r="BB184" s="52">
        <v>1473886660</v>
      </c>
      <c r="BC184" s="52"/>
      <c r="BD184" s="52"/>
      <c r="BE184" s="52"/>
      <c r="BF184" s="52"/>
      <c r="BG184" s="52"/>
      <c r="BH184" s="52"/>
      <c r="BI184" s="52"/>
      <c r="BJ184" s="52"/>
      <c r="BK184" s="52">
        <f t="shared" si="56"/>
        <v>1686781400</v>
      </c>
      <c r="BL184" s="52"/>
      <c r="BM184" s="52">
        <v>1686781400</v>
      </c>
      <c r="BN184" s="52"/>
      <c r="BO184" s="52"/>
      <c r="BP184" s="52"/>
      <c r="BQ184" s="52"/>
      <c r="BR184" s="52"/>
      <c r="BS184" s="52"/>
      <c r="BT184" s="52"/>
      <c r="BU184" s="53"/>
      <c r="BV184" s="54">
        <f>AD184+AO184+AZ184+BK184</f>
        <v>9861244604.8600006</v>
      </c>
      <c r="BW184" s="55"/>
    </row>
    <row r="185" spans="1:80" ht="36" customHeight="1" x14ac:dyDescent="0.2">
      <c r="A185" s="206"/>
      <c r="B185" s="215"/>
      <c r="C185" s="56"/>
      <c r="D185" s="17"/>
      <c r="E185" s="16"/>
      <c r="F185" s="6"/>
      <c r="G185" s="17"/>
      <c r="H185" s="16"/>
      <c r="I185" s="6"/>
      <c r="J185" s="6"/>
      <c r="K185" s="15"/>
      <c r="L185" s="6"/>
      <c r="M185" s="58">
        <v>44</v>
      </c>
      <c r="N185" s="58">
        <v>2202</v>
      </c>
      <c r="O185" s="59" t="s">
        <v>170</v>
      </c>
      <c r="P185" s="58"/>
      <c r="Q185" s="60"/>
      <c r="R185" s="60"/>
      <c r="S185" s="60"/>
      <c r="T185" s="60"/>
      <c r="U185" s="60"/>
      <c r="V185" s="60"/>
      <c r="W185" s="43"/>
      <c r="X185" s="44"/>
      <c r="Y185" s="44"/>
      <c r="Z185" s="44"/>
      <c r="AA185" s="44"/>
      <c r="AB185" s="44"/>
      <c r="AC185" s="41"/>
      <c r="AD185" s="45">
        <f>AD186</f>
        <v>243838500</v>
      </c>
      <c r="AE185" s="45">
        <f t="shared" ref="AE185:BV185" si="72">AE186</f>
        <v>153838500</v>
      </c>
      <c r="AF185" s="45">
        <f t="shared" si="72"/>
        <v>90000000</v>
      </c>
      <c r="AG185" s="45">
        <f t="shared" si="72"/>
        <v>0</v>
      </c>
      <c r="AH185" s="45">
        <f t="shared" si="72"/>
        <v>0</v>
      </c>
      <c r="AI185" s="45">
        <f t="shared" si="72"/>
        <v>0</v>
      </c>
      <c r="AJ185" s="45">
        <f t="shared" si="72"/>
        <v>0</v>
      </c>
      <c r="AK185" s="45">
        <f t="shared" si="72"/>
        <v>0</v>
      </c>
      <c r="AL185" s="45">
        <f t="shared" si="72"/>
        <v>0</v>
      </c>
      <c r="AM185" s="45">
        <f t="shared" si="72"/>
        <v>0</v>
      </c>
      <c r="AN185" s="45">
        <f t="shared" si="72"/>
        <v>0</v>
      </c>
      <c r="AO185" s="45">
        <f t="shared" si="72"/>
        <v>95000000</v>
      </c>
      <c r="AP185" s="45">
        <f t="shared" si="72"/>
        <v>95000000</v>
      </c>
      <c r="AQ185" s="45">
        <f t="shared" si="72"/>
        <v>0</v>
      </c>
      <c r="AR185" s="45">
        <f t="shared" si="72"/>
        <v>0</v>
      </c>
      <c r="AS185" s="45">
        <f t="shared" si="72"/>
        <v>0</v>
      </c>
      <c r="AT185" s="45">
        <f t="shared" si="72"/>
        <v>0</v>
      </c>
      <c r="AU185" s="45">
        <f t="shared" si="72"/>
        <v>0</v>
      </c>
      <c r="AV185" s="45">
        <f t="shared" si="72"/>
        <v>0</v>
      </c>
      <c r="AW185" s="45">
        <f t="shared" si="72"/>
        <v>0</v>
      </c>
      <c r="AX185" s="45">
        <f t="shared" si="72"/>
        <v>0</v>
      </c>
      <c r="AY185" s="45">
        <f t="shared" si="72"/>
        <v>0</v>
      </c>
      <c r="AZ185" s="45">
        <f t="shared" si="72"/>
        <v>175474354</v>
      </c>
      <c r="BA185" s="45">
        <f t="shared" si="72"/>
        <v>125463000</v>
      </c>
      <c r="BB185" s="45">
        <f t="shared" si="72"/>
        <v>50011354</v>
      </c>
      <c r="BC185" s="45">
        <f t="shared" si="72"/>
        <v>0</v>
      </c>
      <c r="BD185" s="45">
        <f t="shared" si="72"/>
        <v>0</v>
      </c>
      <c r="BE185" s="45">
        <f t="shared" si="72"/>
        <v>0</v>
      </c>
      <c r="BF185" s="45">
        <f t="shared" si="72"/>
        <v>0</v>
      </c>
      <c r="BG185" s="45">
        <f t="shared" si="72"/>
        <v>0</v>
      </c>
      <c r="BH185" s="45">
        <f t="shared" si="72"/>
        <v>0</v>
      </c>
      <c r="BI185" s="45">
        <f t="shared" si="72"/>
        <v>0</v>
      </c>
      <c r="BJ185" s="45">
        <f t="shared" si="72"/>
        <v>0</v>
      </c>
      <c r="BK185" s="45">
        <f t="shared" si="72"/>
        <v>176540354</v>
      </c>
      <c r="BL185" s="45">
        <f t="shared" si="72"/>
        <v>126529000</v>
      </c>
      <c r="BM185" s="45">
        <f t="shared" si="72"/>
        <v>50011354</v>
      </c>
      <c r="BN185" s="45">
        <f t="shared" si="72"/>
        <v>0</v>
      </c>
      <c r="BO185" s="45">
        <f t="shared" si="72"/>
        <v>0</v>
      </c>
      <c r="BP185" s="45">
        <f t="shared" si="72"/>
        <v>0</v>
      </c>
      <c r="BQ185" s="45">
        <f t="shared" si="72"/>
        <v>0</v>
      </c>
      <c r="BR185" s="45">
        <f t="shared" si="72"/>
        <v>0</v>
      </c>
      <c r="BS185" s="45">
        <f t="shared" si="72"/>
        <v>0</v>
      </c>
      <c r="BT185" s="45">
        <f t="shared" si="72"/>
        <v>0</v>
      </c>
      <c r="BU185" s="46">
        <f t="shared" si="72"/>
        <v>0</v>
      </c>
      <c r="BV185" s="45">
        <f t="shared" si="72"/>
        <v>690853208</v>
      </c>
      <c r="BW185" s="55"/>
    </row>
    <row r="186" spans="1:80" s="190" customFormat="1" ht="173.25" customHeight="1" x14ac:dyDescent="0.2">
      <c r="A186" s="206">
        <v>1</v>
      </c>
      <c r="B186" s="215" t="s">
        <v>19</v>
      </c>
      <c r="C186" s="17" t="s">
        <v>667</v>
      </c>
      <c r="D186" s="17" t="s">
        <v>171</v>
      </c>
      <c r="E186" s="90">
        <v>0.623</v>
      </c>
      <c r="F186" s="6">
        <v>2018</v>
      </c>
      <c r="G186" s="17" t="s">
        <v>794</v>
      </c>
      <c r="H186" s="82">
        <v>0.65</v>
      </c>
      <c r="I186" s="6">
        <v>22</v>
      </c>
      <c r="J186" s="6" t="s">
        <v>672</v>
      </c>
      <c r="K186" s="15">
        <v>1</v>
      </c>
      <c r="L186" s="6" t="s">
        <v>672</v>
      </c>
      <c r="M186" s="206">
        <v>44</v>
      </c>
      <c r="N186" s="206">
        <v>2202</v>
      </c>
      <c r="O186" s="207" t="s">
        <v>1663</v>
      </c>
      <c r="P186" s="6" t="s">
        <v>1484</v>
      </c>
      <c r="Q186" s="6" t="s">
        <v>77</v>
      </c>
      <c r="R186" s="6">
        <v>2202006</v>
      </c>
      <c r="S186" s="17" t="s">
        <v>172</v>
      </c>
      <c r="T186" s="6" t="s">
        <v>1485</v>
      </c>
      <c r="U186" s="6" t="s">
        <v>77</v>
      </c>
      <c r="V186" s="6">
        <v>220200604</v>
      </c>
      <c r="W186" s="48" t="s">
        <v>1486</v>
      </c>
      <c r="X186" s="49" t="s">
        <v>8</v>
      </c>
      <c r="Y186" s="6">
        <v>2</v>
      </c>
      <c r="Z186" s="6">
        <v>2</v>
      </c>
      <c r="AA186" s="6">
        <v>2</v>
      </c>
      <c r="AB186" s="6">
        <v>2</v>
      </c>
      <c r="AC186" s="6">
        <v>2</v>
      </c>
      <c r="AD186" s="50">
        <f>AE186+AF186+AG186+AH186+AI186+AJ186+AK186+AL186+AM186+AN186</f>
        <v>243838500</v>
      </c>
      <c r="AE186" s="52">
        <v>153838500</v>
      </c>
      <c r="AF186" s="52">
        <v>90000000</v>
      </c>
      <c r="AG186" s="52"/>
      <c r="AH186" s="52"/>
      <c r="AI186" s="52"/>
      <c r="AJ186" s="52"/>
      <c r="AK186" s="52"/>
      <c r="AL186" s="52"/>
      <c r="AM186" s="52"/>
      <c r="AN186" s="52"/>
      <c r="AO186" s="52">
        <f>AP186+AQ186+AR186+AS186+AT186+AU186+AV186+AW186+AX186+AY186</f>
        <v>95000000</v>
      </c>
      <c r="AP186" s="52">
        <v>95000000</v>
      </c>
      <c r="AQ186" s="52"/>
      <c r="AR186" s="52"/>
      <c r="AS186" s="52"/>
      <c r="AT186" s="52"/>
      <c r="AU186" s="52"/>
      <c r="AV186" s="52"/>
      <c r="AW186" s="52"/>
      <c r="AX186" s="52"/>
      <c r="AY186" s="52"/>
      <c r="AZ186" s="52">
        <f>BA186+BB186+BC186+BD186+BE186+BF186+BG186+BH186+BI186+BJ186</f>
        <v>175474354</v>
      </c>
      <c r="BA186" s="52">
        <v>125463000</v>
      </c>
      <c r="BB186" s="52">
        <v>50011354</v>
      </c>
      <c r="BC186" s="52"/>
      <c r="BD186" s="52"/>
      <c r="BE186" s="52"/>
      <c r="BF186" s="52"/>
      <c r="BG186" s="52"/>
      <c r="BH186" s="52"/>
      <c r="BI186" s="52"/>
      <c r="BJ186" s="52"/>
      <c r="BK186" s="52">
        <f t="shared" si="56"/>
        <v>176540354</v>
      </c>
      <c r="BL186" s="52">
        <v>126529000</v>
      </c>
      <c r="BM186" s="52">
        <v>50011354</v>
      </c>
      <c r="BN186" s="52"/>
      <c r="BO186" s="52"/>
      <c r="BP186" s="52"/>
      <c r="BQ186" s="52"/>
      <c r="BR186" s="52"/>
      <c r="BS186" s="52"/>
      <c r="BT186" s="52"/>
      <c r="BU186" s="53"/>
      <c r="BV186" s="54">
        <f>AD186+AO186+AZ186+BK186</f>
        <v>690853208</v>
      </c>
      <c r="BW186" s="55"/>
    </row>
    <row r="187" spans="1:80" s="182" customFormat="1" ht="15.75" customHeight="1" x14ac:dyDescent="0.25">
      <c r="A187" s="24">
        <v>2</v>
      </c>
      <c r="B187" s="117" t="s">
        <v>33</v>
      </c>
      <c r="C187" s="24"/>
      <c r="D187" s="24"/>
      <c r="E187" s="118"/>
      <c r="F187" s="24"/>
      <c r="G187" s="24"/>
      <c r="H187" s="118"/>
      <c r="I187" s="24"/>
      <c r="J187" s="24"/>
      <c r="K187" s="24"/>
      <c r="L187" s="24"/>
      <c r="M187" s="24"/>
      <c r="N187" s="24"/>
      <c r="O187" s="24"/>
      <c r="P187" s="24"/>
      <c r="Q187" s="119"/>
      <c r="R187" s="119"/>
      <c r="S187" s="119"/>
      <c r="T187" s="119"/>
      <c r="U187" s="119"/>
      <c r="V187" s="119"/>
      <c r="W187" s="30"/>
      <c r="X187" s="30"/>
      <c r="Y187" s="27"/>
      <c r="Z187" s="27"/>
      <c r="AA187" s="27"/>
      <c r="AB187" s="27"/>
      <c r="AC187" s="31"/>
      <c r="AD187" s="32">
        <f t="shared" ref="AD187:AW187" si="73">AD188+AD201+AD203+AD206+AD208+AD210+AD213+AD219+AD231+AD236+AD238+AD241+AD245+AD221</f>
        <v>25041532563.849998</v>
      </c>
      <c r="AE187" s="32">
        <f t="shared" si="73"/>
        <v>2486209206</v>
      </c>
      <c r="AF187" s="32">
        <f t="shared" si="73"/>
        <v>545981904.85000002</v>
      </c>
      <c r="AG187" s="32">
        <f t="shared" si="73"/>
        <v>0</v>
      </c>
      <c r="AH187" s="32">
        <f t="shared" si="73"/>
        <v>0</v>
      </c>
      <c r="AI187" s="32">
        <f t="shared" si="73"/>
        <v>0</v>
      </c>
      <c r="AJ187" s="32">
        <f t="shared" si="73"/>
        <v>0</v>
      </c>
      <c r="AK187" s="32">
        <f t="shared" si="73"/>
        <v>22009341453</v>
      </c>
      <c r="AL187" s="32">
        <f t="shared" si="73"/>
        <v>0</v>
      </c>
      <c r="AM187" s="32">
        <f t="shared" si="73"/>
        <v>0</v>
      </c>
      <c r="AN187" s="32">
        <f t="shared" si="73"/>
        <v>0</v>
      </c>
      <c r="AO187" s="32">
        <f t="shared" si="73"/>
        <v>3530526184.6100001</v>
      </c>
      <c r="AP187" s="32">
        <f t="shared" si="73"/>
        <v>1977775817.6100001</v>
      </c>
      <c r="AQ187" s="32">
        <f t="shared" si="73"/>
        <v>561250367</v>
      </c>
      <c r="AR187" s="32">
        <f t="shared" si="73"/>
        <v>0</v>
      </c>
      <c r="AS187" s="32">
        <f t="shared" si="73"/>
        <v>0</v>
      </c>
      <c r="AT187" s="32">
        <f t="shared" si="73"/>
        <v>0</v>
      </c>
      <c r="AU187" s="32">
        <f t="shared" si="73"/>
        <v>0</v>
      </c>
      <c r="AV187" s="32">
        <f t="shared" si="73"/>
        <v>991500000</v>
      </c>
      <c r="AW187" s="32">
        <f t="shared" si="73"/>
        <v>0</v>
      </c>
      <c r="AX187" s="32">
        <f t="shared" ref="AX187:BV187" si="74">AX188+AX201+AX203+AX206+AX208+AX210+AX213+AX219+AX231+AX236+AX238+AX241+AX245+AX221</f>
        <v>0</v>
      </c>
      <c r="AY187" s="32">
        <f t="shared" si="74"/>
        <v>0</v>
      </c>
      <c r="AZ187" s="32">
        <f t="shared" si="74"/>
        <v>7788143880.5599995</v>
      </c>
      <c r="BA187" s="32">
        <f t="shared" si="74"/>
        <v>3633438767.5599999</v>
      </c>
      <c r="BB187" s="32">
        <f t="shared" si="74"/>
        <v>663205113</v>
      </c>
      <c r="BC187" s="32">
        <f t="shared" si="74"/>
        <v>0</v>
      </c>
      <c r="BD187" s="32">
        <f t="shared" si="74"/>
        <v>0</v>
      </c>
      <c r="BE187" s="32">
        <f t="shared" si="74"/>
        <v>0</v>
      </c>
      <c r="BF187" s="32">
        <f t="shared" si="74"/>
        <v>0</v>
      </c>
      <c r="BG187" s="32">
        <f t="shared" si="74"/>
        <v>3491500000</v>
      </c>
      <c r="BH187" s="32">
        <f t="shared" si="74"/>
        <v>0</v>
      </c>
      <c r="BI187" s="32">
        <f t="shared" si="74"/>
        <v>0</v>
      </c>
      <c r="BJ187" s="32">
        <f t="shared" si="74"/>
        <v>0</v>
      </c>
      <c r="BK187" s="32">
        <f t="shared" si="74"/>
        <v>10272137925.16</v>
      </c>
      <c r="BL187" s="32">
        <f t="shared" si="74"/>
        <v>5370025407.1599998</v>
      </c>
      <c r="BM187" s="32">
        <f t="shared" si="74"/>
        <v>749612518</v>
      </c>
      <c r="BN187" s="32">
        <f t="shared" si="74"/>
        <v>0</v>
      </c>
      <c r="BO187" s="32">
        <f t="shared" si="74"/>
        <v>0</v>
      </c>
      <c r="BP187" s="32">
        <f t="shared" si="74"/>
        <v>0</v>
      </c>
      <c r="BQ187" s="32">
        <f t="shared" si="74"/>
        <v>0</v>
      </c>
      <c r="BR187" s="32">
        <f t="shared" si="74"/>
        <v>4152500000</v>
      </c>
      <c r="BS187" s="32">
        <f t="shared" si="74"/>
        <v>0</v>
      </c>
      <c r="BT187" s="32">
        <f t="shared" si="74"/>
        <v>0</v>
      </c>
      <c r="BU187" s="32">
        <f t="shared" si="74"/>
        <v>0</v>
      </c>
      <c r="BV187" s="32">
        <f t="shared" si="74"/>
        <v>46632340554.18</v>
      </c>
      <c r="BW187" s="120"/>
      <c r="CB187" s="173"/>
    </row>
    <row r="188" spans="1:80" ht="23.25" customHeight="1" x14ac:dyDescent="0.25">
      <c r="A188" s="34"/>
      <c r="B188" s="121"/>
      <c r="C188" s="34"/>
      <c r="D188" s="34"/>
      <c r="E188" s="37"/>
      <c r="F188" s="34"/>
      <c r="G188" s="34"/>
      <c r="H188" s="37"/>
      <c r="I188" s="34"/>
      <c r="J188" s="34"/>
      <c r="K188" s="34"/>
      <c r="L188" s="34"/>
      <c r="M188" s="58">
        <v>4</v>
      </c>
      <c r="N188" s="58">
        <v>1702</v>
      </c>
      <c r="O188" s="59" t="s">
        <v>111</v>
      </c>
      <c r="P188" s="58"/>
      <c r="Q188" s="60"/>
      <c r="R188" s="60"/>
      <c r="S188" s="60"/>
      <c r="T188" s="60"/>
      <c r="U188" s="60"/>
      <c r="V188" s="60"/>
      <c r="W188" s="43"/>
      <c r="X188" s="43"/>
      <c r="Y188" s="44"/>
      <c r="Z188" s="44"/>
      <c r="AA188" s="44"/>
      <c r="AB188" s="44"/>
      <c r="AC188" s="41"/>
      <c r="AD188" s="45">
        <f>SUM(AD189:AD200)</f>
        <v>8674533501</v>
      </c>
      <c r="AE188" s="45">
        <f t="shared" ref="AE188:BU188" si="75">SUM(AE189:AE200)</f>
        <v>872354420</v>
      </c>
      <c r="AF188" s="45">
        <f t="shared" si="75"/>
        <v>0</v>
      </c>
      <c r="AG188" s="45">
        <f t="shared" si="75"/>
        <v>0</v>
      </c>
      <c r="AH188" s="45">
        <f t="shared" si="75"/>
        <v>0</v>
      </c>
      <c r="AI188" s="45">
        <f t="shared" si="75"/>
        <v>0</v>
      </c>
      <c r="AJ188" s="45">
        <f t="shared" si="75"/>
        <v>0</v>
      </c>
      <c r="AK188" s="45">
        <f t="shared" si="75"/>
        <v>7802179081</v>
      </c>
      <c r="AL188" s="45">
        <f t="shared" si="75"/>
        <v>0</v>
      </c>
      <c r="AM188" s="45">
        <f t="shared" si="75"/>
        <v>0</v>
      </c>
      <c r="AN188" s="45">
        <f t="shared" si="75"/>
        <v>0</v>
      </c>
      <c r="AO188" s="45">
        <f t="shared" si="75"/>
        <v>869373777.21000004</v>
      </c>
      <c r="AP188" s="45">
        <f t="shared" si="75"/>
        <v>869373777.21000004</v>
      </c>
      <c r="AQ188" s="45">
        <f t="shared" si="75"/>
        <v>0</v>
      </c>
      <c r="AR188" s="45">
        <f t="shared" si="75"/>
        <v>0</v>
      </c>
      <c r="AS188" s="45">
        <f t="shared" si="75"/>
        <v>0</v>
      </c>
      <c r="AT188" s="45">
        <f t="shared" si="75"/>
        <v>0</v>
      </c>
      <c r="AU188" s="45">
        <f t="shared" si="75"/>
        <v>0</v>
      </c>
      <c r="AV188" s="45">
        <f t="shared" si="75"/>
        <v>0</v>
      </c>
      <c r="AW188" s="45">
        <f t="shared" si="75"/>
        <v>0</v>
      </c>
      <c r="AX188" s="45">
        <f t="shared" si="75"/>
        <v>0</v>
      </c>
      <c r="AY188" s="45">
        <f t="shared" si="75"/>
        <v>0</v>
      </c>
      <c r="AZ188" s="45">
        <f t="shared" si="75"/>
        <v>1351345470.76</v>
      </c>
      <c r="BA188" s="45">
        <f t="shared" si="75"/>
        <v>1351345470.76</v>
      </c>
      <c r="BB188" s="45">
        <f t="shared" si="75"/>
        <v>0</v>
      </c>
      <c r="BC188" s="45">
        <f t="shared" si="75"/>
        <v>0</v>
      </c>
      <c r="BD188" s="45">
        <f t="shared" si="75"/>
        <v>0</v>
      </c>
      <c r="BE188" s="45">
        <f t="shared" si="75"/>
        <v>0</v>
      </c>
      <c r="BF188" s="45">
        <f t="shared" si="75"/>
        <v>0</v>
      </c>
      <c r="BG188" s="45">
        <f t="shared" si="75"/>
        <v>0</v>
      </c>
      <c r="BH188" s="45">
        <f t="shared" si="75"/>
        <v>0</v>
      </c>
      <c r="BI188" s="45">
        <f t="shared" si="75"/>
        <v>0</v>
      </c>
      <c r="BJ188" s="45">
        <f t="shared" si="75"/>
        <v>0</v>
      </c>
      <c r="BK188" s="45">
        <f t="shared" si="75"/>
        <v>1928906323.1600001</v>
      </c>
      <c r="BL188" s="45">
        <f t="shared" si="75"/>
        <v>1928906323.1600001</v>
      </c>
      <c r="BM188" s="45">
        <f t="shared" si="75"/>
        <v>0</v>
      </c>
      <c r="BN188" s="45">
        <f t="shared" si="75"/>
        <v>0</v>
      </c>
      <c r="BO188" s="45">
        <f t="shared" si="75"/>
        <v>0</v>
      </c>
      <c r="BP188" s="45">
        <f t="shared" si="75"/>
        <v>0</v>
      </c>
      <c r="BQ188" s="45">
        <f t="shared" si="75"/>
        <v>0</v>
      </c>
      <c r="BR188" s="45">
        <f t="shared" si="75"/>
        <v>0</v>
      </c>
      <c r="BS188" s="45">
        <f t="shared" si="75"/>
        <v>0</v>
      </c>
      <c r="BT188" s="45">
        <f t="shared" si="75"/>
        <v>0</v>
      </c>
      <c r="BU188" s="46">
        <f t="shared" si="75"/>
        <v>0</v>
      </c>
      <c r="BV188" s="45">
        <f>SUM(BV189:BV200)</f>
        <v>12824159072.130001</v>
      </c>
      <c r="BW188" s="47"/>
    </row>
    <row r="189" spans="1:80" s="190" customFormat="1" ht="101.25" customHeight="1" x14ac:dyDescent="0.2">
      <c r="A189" s="206">
        <v>2</v>
      </c>
      <c r="B189" s="216" t="s">
        <v>33</v>
      </c>
      <c r="C189" s="17" t="s">
        <v>343</v>
      </c>
      <c r="D189" s="17" t="s">
        <v>35</v>
      </c>
      <c r="E189" s="122">
        <v>0.16500000000000001</v>
      </c>
      <c r="F189" s="6">
        <v>2018</v>
      </c>
      <c r="G189" s="17" t="s">
        <v>344</v>
      </c>
      <c r="H189" s="90">
        <v>0.18099999999999999</v>
      </c>
      <c r="I189" s="123">
        <v>17</v>
      </c>
      <c r="J189" s="124" t="s">
        <v>345</v>
      </c>
      <c r="K189" s="14">
        <v>13</v>
      </c>
      <c r="L189" s="125" t="s">
        <v>346</v>
      </c>
      <c r="M189" s="208">
        <v>4</v>
      </c>
      <c r="N189" s="209">
        <v>1702</v>
      </c>
      <c r="O189" s="207" t="s">
        <v>111</v>
      </c>
      <c r="P189" s="6" t="s">
        <v>347</v>
      </c>
      <c r="Q189" s="14">
        <v>1702007</v>
      </c>
      <c r="R189" s="14">
        <v>1702007</v>
      </c>
      <c r="S189" s="17" t="s">
        <v>113</v>
      </c>
      <c r="T189" s="6" t="s">
        <v>348</v>
      </c>
      <c r="U189" s="14" t="s">
        <v>349</v>
      </c>
      <c r="V189" s="14" t="s">
        <v>349</v>
      </c>
      <c r="W189" s="126" t="s">
        <v>350</v>
      </c>
      <c r="X189" s="9" t="s">
        <v>9</v>
      </c>
      <c r="Y189" s="9">
        <v>16</v>
      </c>
      <c r="Z189" s="9">
        <v>5</v>
      </c>
      <c r="AA189" s="9">
        <v>4</v>
      </c>
      <c r="AB189" s="9">
        <v>4</v>
      </c>
      <c r="AC189" s="9">
        <v>3</v>
      </c>
      <c r="AD189" s="50">
        <f t="shared" ref="AD189:AD200" si="76">AE189+AF189+AG189+AH189+AI189+AJ189+AK189+AL189+AM189+AN189</f>
        <v>219300265</v>
      </c>
      <c r="AE189" s="127">
        <f>130000000+89300265</f>
        <v>219300265</v>
      </c>
      <c r="AF189" s="127"/>
      <c r="AG189" s="127"/>
      <c r="AH189" s="127"/>
      <c r="AI189" s="127"/>
      <c r="AJ189" s="127"/>
      <c r="AK189" s="128"/>
      <c r="AL189" s="128"/>
      <c r="AM189" s="128"/>
      <c r="AN189" s="128"/>
      <c r="AO189" s="52">
        <f t="shared" ref="AO189:AO200" si="77">AP189+AQ189+AR189+AS189+AT189+AU189+AV189+AW189+AX189+AY189</f>
        <v>122753485</v>
      </c>
      <c r="AP189" s="128">
        <v>122753485</v>
      </c>
      <c r="AQ189" s="128"/>
      <c r="AR189" s="128"/>
      <c r="AS189" s="128"/>
      <c r="AT189" s="128"/>
      <c r="AU189" s="128"/>
      <c r="AV189" s="128"/>
      <c r="AW189" s="128"/>
      <c r="AX189" s="128"/>
      <c r="AY189" s="128"/>
      <c r="AZ189" s="52">
        <f t="shared" ref="AZ189:AZ200" si="78">BA189+BB189+BC189+BD189+BE189+BF189+BG189+BH189+BI189+BJ189</f>
        <v>190000000</v>
      </c>
      <c r="BA189" s="128">
        <v>190000000</v>
      </c>
      <c r="BB189" s="128"/>
      <c r="BC189" s="128"/>
      <c r="BD189" s="128"/>
      <c r="BE189" s="128"/>
      <c r="BF189" s="128"/>
      <c r="BG189" s="128"/>
      <c r="BH189" s="128"/>
      <c r="BI189" s="128"/>
      <c r="BJ189" s="128"/>
      <c r="BK189" s="52">
        <f t="shared" ref="BK189:BK200" si="79">BL189+BM189+BN189+BO189+BP189+BQ189+BR189+BS189+BT189+BU189</f>
        <v>278700000</v>
      </c>
      <c r="BL189" s="128">
        <v>278700000</v>
      </c>
      <c r="BM189" s="128"/>
      <c r="BN189" s="128"/>
      <c r="BO189" s="128"/>
      <c r="BP189" s="128"/>
      <c r="BQ189" s="128"/>
      <c r="BR189" s="128"/>
      <c r="BS189" s="128"/>
      <c r="BT189" s="128"/>
      <c r="BU189" s="129"/>
      <c r="BV189" s="54">
        <f t="shared" ref="BV189:BV200" si="80">AD189+AO189+AZ189+BK189</f>
        <v>810753750</v>
      </c>
      <c r="BW189" s="55"/>
    </row>
    <row r="190" spans="1:80" s="190" customFormat="1" ht="101.25" customHeight="1" x14ac:dyDescent="0.2">
      <c r="A190" s="206">
        <v>2</v>
      </c>
      <c r="B190" s="216" t="s">
        <v>33</v>
      </c>
      <c r="C190" s="17" t="s">
        <v>343</v>
      </c>
      <c r="D190" s="17" t="s">
        <v>35</v>
      </c>
      <c r="E190" s="122">
        <v>0.16500000000000001</v>
      </c>
      <c r="F190" s="6">
        <v>2018</v>
      </c>
      <c r="G190" s="17" t="s">
        <v>344</v>
      </c>
      <c r="H190" s="90">
        <v>0.18099999999999999</v>
      </c>
      <c r="I190" s="123">
        <v>17</v>
      </c>
      <c r="J190" s="124" t="s">
        <v>345</v>
      </c>
      <c r="K190" s="14">
        <v>13</v>
      </c>
      <c r="L190" s="125" t="s">
        <v>346</v>
      </c>
      <c r="M190" s="208">
        <v>4</v>
      </c>
      <c r="N190" s="209">
        <v>1702</v>
      </c>
      <c r="O190" s="207" t="s">
        <v>111</v>
      </c>
      <c r="P190" s="6" t="s">
        <v>351</v>
      </c>
      <c r="Q190" s="14" t="s">
        <v>352</v>
      </c>
      <c r="R190" s="14" t="s">
        <v>352</v>
      </c>
      <c r="S190" s="17" t="s">
        <v>114</v>
      </c>
      <c r="T190" s="6" t="s">
        <v>353</v>
      </c>
      <c r="U190" s="14" t="s">
        <v>354</v>
      </c>
      <c r="V190" s="14" t="s">
        <v>354</v>
      </c>
      <c r="W190" s="48" t="s">
        <v>355</v>
      </c>
      <c r="X190" s="6" t="s">
        <v>9</v>
      </c>
      <c r="Y190" s="6">
        <v>500</v>
      </c>
      <c r="Z190" s="6">
        <v>0</v>
      </c>
      <c r="AA190" s="6">
        <v>168</v>
      </c>
      <c r="AB190" s="6">
        <v>166</v>
      </c>
      <c r="AC190" s="6">
        <v>166</v>
      </c>
      <c r="AD190" s="50">
        <f t="shared" si="76"/>
        <v>0</v>
      </c>
      <c r="AE190" s="51"/>
      <c r="AF190" s="51"/>
      <c r="AG190" s="51"/>
      <c r="AH190" s="51"/>
      <c r="AI190" s="51"/>
      <c r="AJ190" s="51"/>
      <c r="AK190" s="52"/>
      <c r="AL190" s="52"/>
      <c r="AM190" s="52"/>
      <c r="AN190" s="52"/>
      <c r="AO190" s="52">
        <f t="shared" si="77"/>
        <v>90960210</v>
      </c>
      <c r="AP190" s="52">
        <v>90960210</v>
      </c>
      <c r="AQ190" s="52"/>
      <c r="AR190" s="52"/>
      <c r="AS190" s="52"/>
      <c r="AT190" s="52"/>
      <c r="AU190" s="52"/>
      <c r="AV190" s="52"/>
      <c r="AW190" s="52"/>
      <c r="AX190" s="52"/>
      <c r="AY190" s="52"/>
      <c r="AZ190" s="52">
        <f t="shared" si="78"/>
        <v>182388969</v>
      </c>
      <c r="BA190" s="52">
        <v>182388969</v>
      </c>
      <c r="BB190" s="52"/>
      <c r="BC190" s="52"/>
      <c r="BD190" s="52"/>
      <c r="BE190" s="52"/>
      <c r="BF190" s="52"/>
      <c r="BG190" s="52"/>
      <c r="BH190" s="52"/>
      <c r="BI190" s="52"/>
      <c r="BJ190" s="52"/>
      <c r="BK190" s="52">
        <f t="shared" si="79"/>
        <v>184220700</v>
      </c>
      <c r="BL190" s="52">
        <v>184220700</v>
      </c>
      <c r="BM190" s="52"/>
      <c r="BN190" s="52"/>
      <c r="BO190" s="52"/>
      <c r="BP190" s="52"/>
      <c r="BQ190" s="52"/>
      <c r="BR190" s="52"/>
      <c r="BS190" s="52"/>
      <c r="BT190" s="52"/>
      <c r="BU190" s="53"/>
      <c r="BV190" s="54">
        <f t="shared" si="80"/>
        <v>457569879</v>
      </c>
      <c r="BW190" s="55"/>
    </row>
    <row r="191" spans="1:80" s="190" customFormat="1" ht="101.25" customHeight="1" x14ac:dyDescent="0.2">
      <c r="A191" s="206">
        <v>2</v>
      </c>
      <c r="B191" s="216" t="s">
        <v>33</v>
      </c>
      <c r="C191" s="17" t="s">
        <v>343</v>
      </c>
      <c r="D191" s="17" t="s">
        <v>35</v>
      </c>
      <c r="E191" s="122">
        <v>0.16500000000000001</v>
      </c>
      <c r="F191" s="6">
        <v>2018</v>
      </c>
      <c r="G191" s="17" t="s">
        <v>344</v>
      </c>
      <c r="H191" s="90">
        <v>0.18099999999999999</v>
      </c>
      <c r="I191" s="123">
        <v>17</v>
      </c>
      <c r="J191" s="124" t="s">
        <v>345</v>
      </c>
      <c r="K191" s="14">
        <v>13</v>
      </c>
      <c r="L191" s="125" t="s">
        <v>346</v>
      </c>
      <c r="M191" s="208">
        <v>4</v>
      </c>
      <c r="N191" s="209">
        <v>1702</v>
      </c>
      <c r="O191" s="207" t="s">
        <v>111</v>
      </c>
      <c r="P191" s="6" t="s">
        <v>356</v>
      </c>
      <c r="Q191" s="14">
        <v>1702011</v>
      </c>
      <c r="R191" s="14">
        <v>1702011</v>
      </c>
      <c r="S191" s="17" t="s">
        <v>112</v>
      </c>
      <c r="T191" s="6" t="s">
        <v>357</v>
      </c>
      <c r="U191" s="14" t="s">
        <v>358</v>
      </c>
      <c r="V191" s="14" t="s">
        <v>358</v>
      </c>
      <c r="W191" s="48" t="s">
        <v>359</v>
      </c>
      <c r="X191" s="6" t="s">
        <v>8</v>
      </c>
      <c r="Y191" s="6">
        <v>30</v>
      </c>
      <c r="Z191" s="6">
        <v>30</v>
      </c>
      <c r="AA191" s="6">
        <v>30</v>
      </c>
      <c r="AB191" s="6">
        <v>30</v>
      </c>
      <c r="AC191" s="6">
        <v>30</v>
      </c>
      <c r="AD191" s="50">
        <f t="shared" si="76"/>
        <v>222850000</v>
      </c>
      <c r="AE191" s="51">
        <f>195850000+27000000</f>
        <v>222850000</v>
      </c>
      <c r="AF191" s="51"/>
      <c r="AG191" s="51"/>
      <c r="AH191" s="51"/>
      <c r="AI191" s="51"/>
      <c r="AJ191" s="51"/>
      <c r="AK191" s="52"/>
      <c r="AL191" s="52"/>
      <c r="AM191" s="52"/>
      <c r="AN191" s="52"/>
      <c r="AO191" s="52">
        <f t="shared" si="77"/>
        <v>225542790</v>
      </c>
      <c r="AP191" s="52">
        <v>225542790</v>
      </c>
      <c r="AQ191" s="52"/>
      <c r="AR191" s="52"/>
      <c r="AS191" s="52"/>
      <c r="AT191" s="52"/>
      <c r="AU191" s="52"/>
      <c r="AV191" s="52"/>
      <c r="AW191" s="52"/>
      <c r="AX191" s="52"/>
      <c r="AY191" s="52"/>
      <c r="AZ191" s="52">
        <f t="shared" si="78"/>
        <v>254663620</v>
      </c>
      <c r="BA191" s="52">
        <v>254663620</v>
      </c>
      <c r="BB191" s="52"/>
      <c r="BC191" s="52"/>
      <c r="BD191" s="52"/>
      <c r="BE191" s="52"/>
      <c r="BF191" s="52"/>
      <c r="BG191" s="52"/>
      <c r="BH191" s="52"/>
      <c r="BI191" s="52"/>
      <c r="BJ191" s="52"/>
      <c r="BK191" s="52">
        <f t="shared" si="79"/>
        <v>407382303</v>
      </c>
      <c r="BL191" s="52">
        <v>407382303</v>
      </c>
      <c r="BM191" s="52"/>
      <c r="BN191" s="52"/>
      <c r="BO191" s="52"/>
      <c r="BP191" s="52"/>
      <c r="BQ191" s="52"/>
      <c r="BR191" s="52"/>
      <c r="BS191" s="52"/>
      <c r="BT191" s="52"/>
      <c r="BU191" s="53"/>
      <c r="BV191" s="54">
        <f t="shared" si="80"/>
        <v>1110438713</v>
      </c>
      <c r="BW191" s="55"/>
    </row>
    <row r="192" spans="1:80" s="190" customFormat="1" ht="101.25" customHeight="1" x14ac:dyDescent="0.2">
      <c r="A192" s="206">
        <v>2</v>
      </c>
      <c r="B192" s="216" t="s">
        <v>33</v>
      </c>
      <c r="C192" s="17" t="s">
        <v>396</v>
      </c>
      <c r="D192" s="17" t="s">
        <v>213</v>
      </c>
      <c r="E192" s="88">
        <v>0.39389999999999997</v>
      </c>
      <c r="F192" s="6">
        <v>2018</v>
      </c>
      <c r="G192" s="17" t="s">
        <v>397</v>
      </c>
      <c r="H192" s="82">
        <v>0.5</v>
      </c>
      <c r="I192" s="123">
        <v>17</v>
      </c>
      <c r="J192" s="124" t="s">
        <v>345</v>
      </c>
      <c r="K192" s="14">
        <v>16</v>
      </c>
      <c r="L192" s="125" t="s">
        <v>398</v>
      </c>
      <c r="M192" s="208">
        <v>4</v>
      </c>
      <c r="N192" s="209">
        <v>1702</v>
      </c>
      <c r="O192" s="207" t="s">
        <v>111</v>
      </c>
      <c r="P192" s="79" t="s">
        <v>356</v>
      </c>
      <c r="Q192" s="14" t="s">
        <v>214</v>
      </c>
      <c r="R192" s="14" t="s">
        <v>214</v>
      </c>
      <c r="S192" s="17" t="s">
        <v>215</v>
      </c>
      <c r="T192" s="79" t="s">
        <v>399</v>
      </c>
      <c r="U192" s="14">
        <v>170201102</v>
      </c>
      <c r="V192" s="14">
        <v>170201102</v>
      </c>
      <c r="W192" s="48" t="s">
        <v>400</v>
      </c>
      <c r="X192" s="6" t="s">
        <v>9</v>
      </c>
      <c r="Y192" s="6">
        <v>24</v>
      </c>
      <c r="Z192" s="6">
        <v>0</v>
      </c>
      <c r="AA192" s="6">
        <v>4</v>
      </c>
      <c r="AB192" s="6">
        <v>10</v>
      </c>
      <c r="AC192" s="6">
        <v>10</v>
      </c>
      <c r="AD192" s="50">
        <f t="shared" si="76"/>
        <v>0</v>
      </c>
      <c r="AE192" s="51"/>
      <c r="AF192" s="51"/>
      <c r="AG192" s="51"/>
      <c r="AH192" s="51"/>
      <c r="AI192" s="51"/>
      <c r="AJ192" s="51"/>
      <c r="AK192" s="52"/>
      <c r="AL192" s="52"/>
      <c r="AM192" s="52"/>
      <c r="AN192" s="52"/>
      <c r="AO192" s="52">
        <f t="shared" si="77"/>
        <v>17100000</v>
      </c>
      <c r="AP192" s="52">
        <v>17100000</v>
      </c>
      <c r="AQ192" s="52"/>
      <c r="AR192" s="52"/>
      <c r="AS192" s="52"/>
      <c r="AT192" s="52"/>
      <c r="AU192" s="52"/>
      <c r="AV192" s="52"/>
      <c r="AW192" s="52"/>
      <c r="AX192" s="52"/>
      <c r="AY192" s="52"/>
      <c r="AZ192" s="52">
        <f t="shared" si="78"/>
        <v>34743600</v>
      </c>
      <c r="BA192" s="52">
        <v>34743600</v>
      </c>
      <c r="BB192" s="52"/>
      <c r="BC192" s="52"/>
      <c r="BD192" s="52"/>
      <c r="BE192" s="52"/>
      <c r="BF192" s="52"/>
      <c r="BG192" s="52"/>
      <c r="BH192" s="52"/>
      <c r="BI192" s="52"/>
      <c r="BJ192" s="52"/>
      <c r="BK192" s="52">
        <f t="shared" si="79"/>
        <v>77864000</v>
      </c>
      <c r="BL192" s="52">
        <v>77864000</v>
      </c>
      <c r="BM192" s="52"/>
      <c r="BN192" s="52"/>
      <c r="BO192" s="52"/>
      <c r="BP192" s="52"/>
      <c r="BQ192" s="52"/>
      <c r="BR192" s="52"/>
      <c r="BS192" s="52"/>
      <c r="BT192" s="52"/>
      <c r="BU192" s="53"/>
      <c r="BV192" s="54">
        <f t="shared" si="80"/>
        <v>129707600</v>
      </c>
      <c r="BW192" s="77"/>
    </row>
    <row r="193" spans="1:75" s="190" customFormat="1" ht="101.25" customHeight="1" x14ac:dyDescent="0.2">
      <c r="A193" s="206">
        <v>2</v>
      </c>
      <c r="B193" s="216" t="s">
        <v>33</v>
      </c>
      <c r="C193" s="17" t="s">
        <v>343</v>
      </c>
      <c r="D193" s="17" t="s">
        <v>35</v>
      </c>
      <c r="E193" s="122">
        <v>0.16500000000000001</v>
      </c>
      <c r="F193" s="6">
        <v>2018</v>
      </c>
      <c r="G193" s="17" t="s">
        <v>344</v>
      </c>
      <c r="H193" s="90">
        <v>0.18099999999999999</v>
      </c>
      <c r="I193" s="123">
        <v>17</v>
      </c>
      <c r="J193" s="124" t="s">
        <v>345</v>
      </c>
      <c r="K193" s="14">
        <v>8</v>
      </c>
      <c r="L193" s="125" t="s">
        <v>360</v>
      </c>
      <c r="M193" s="208">
        <v>4</v>
      </c>
      <c r="N193" s="209">
        <v>1702</v>
      </c>
      <c r="O193" s="207" t="s">
        <v>111</v>
      </c>
      <c r="P193" s="6" t="s">
        <v>361</v>
      </c>
      <c r="Q193" s="14">
        <v>1702014</v>
      </c>
      <c r="R193" s="14">
        <v>1702014</v>
      </c>
      <c r="S193" s="17" t="s">
        <v>116</v>
      </c>
      <c r="T193" s="6" t="s">
        <v>362</v>
      </c>
      <c r="U193" s="14" t="s">
        <v>363</v>
      </c>
      <c r="V193" s="14" t="s">
        <v>363</v>
      </c>
      <c r="W193" s="48" t="s">
        <v>364</v>
      </c>
      <c r="X193" s="6" t="s">
        <v>9</v>
      </c>
      <c r="Y193" s="6">
        <v>100</v>
      </c>
      <c r="Z193" s="6">
        <v>25</v>
      </c>
      <c r="AA193" s="6">
        <v>25</v>
      </c>
      <c r="AB193" s="6">
        <v>25</v>
      </c>
      <c r="AC193" s="6">
        <v>25</v>
      </c>
      <c r="AD193" s="50">
        <f t="shared" si="76"/>
        <v>50000000</v>
      </c>
      <c r="AE193" s="51">
        <v>50000000</v>
      </c>
      <c r="AF193" s="51"/>
      <c r="AG193" s="51"/>
      <c r="AH193" s="51"/>
      <c r="AI193" s="51"/>
      <c r="AJ193" s="51"/>
      <c r="AK193" s="52"/>
      <c r="AL193" s="52"/>
      <c r="AM193" s="52"/>
      <c r="AN193" s="52"/>
      <c r="AO193" s="52">
        <f t="shared" si="77"/>
        <v>45870000</v>
      </c>
      <c r="AP193" s="52">
        <v>45870000</v>
      </c>
      <c r="AQ193" s="52"/>
      <c r="AR193" s="52"/>
      <c r="AS193" s="52"/>
      <c r="AT193" s="52"/>
      <c r="AU193" s="52"/>
      <c r="AV193" s="52"/>
      <c r="AW193" s="52"/>
      <c r="AX193" s="52"/>
      <c r="AY193" s="52"/>
      <c r="AZ193" s="52">
        <f t="shared" si="78"/>
        <v>100000000</v>
      </c>
      <c r="BA193" s="52">
        <v>100000000</v>
      </c>
      <c r="BB193" s="52"/>
      <c r="BC193" s="52"/>
      <c r="BD193" s="52"/>
      <c r="BE193" s="52"/>
      <c r="BF193" s="52"/>
      <c r="BG193" s="52"/>
      <c r="BH193" s="52"/>
      <c r="BI193" s="52"/>
      <c r="BJ193" s="52"/>
      <c r="BK193" s="52">
        <f t="shared" si="79"/>
        <v>92900000</v>
      </c>
      <c r="BL193" s="52">
        <v>92900000</v>
      </c>
      <c r="BM193" s="52"/>
      <c r="BN193" s="52"/>
      <c r="BO193" s="52"/>
      <c r="BP193" s="52"/>
      <c r="BQ193" s="52"/>
      <c r="BR193" s="52"/>
      <c r="BS193" s="52"/>
      <c r="BT193" s="52"/>
      <c r="BU193" s="53"/>
      <c r="BV193" s="54">
        <f t="shared" si="80"/>
        <v>288770000</v>
      </c>
      <c r="BW193" s="55"/>
    </row>
    <row r="194" spans="1:75" s="190" customFormat="1" ht="101.25" customHeight="1" x14ac:dyDescent="0.2">
      <c r="A194" s="206">
        <v>2</v>
      </c>
      <c r="B194" s="216" t="s">
        <v>33</v>
      </c>
      <c r="C194" s="17" t="s">
        <v>343</v>
      </c>
      <c r="D194" s="17" t="s">
        <v>35</v>
      </c>
      <c r="E194" s="122">
        <v>0.16500000000000001</v>
      </c>
      <c r="F194" s="6">
        <v>2018</v>
      </c>
      <c r="G194" s="17" t="s">
        <v>344</v>
      </c>
      <c r="H194" s="90">
        <v>0.18099999999999999</v>
      </c>
      <c r="I194" s="123">
        <v>17</v>
      </c>
      <c r="J194" s="124" t="s">
        <v>345</v>
      </c>
      <c r="K194" s="14">
        <v>8</v>
      </c>
      <c r="L194" s="125" t="s">
        <v>360</v>
      </c>
      <c r="M194" s="208">
        <v>4</v>
      </c>
      <c r="N194" s="209">
        <v>1702</v>
      </c>
      <c r="O194" s="207" t="s">
        <v>111</v>
      </c>
      <c r="P194" s="6" t="s">
        <v>365</v>
      </c>
      <c r="Q194" s="14" t="s">
        <v>366</v>
      </c>
      <c r="R194" s="14" t="s">
        <v>366</v>
      </c>
      <c r="S194" s="17" t="s">
        <v>117</v>
      </c>
      <c r="T194" s="6" t="s">
        <v>367</v>
      </c>
      <c r="U194" s="14" t="s">
        <v>368</v>
      </c>
      <c r="V194" s="14" t="s">
        <v>368</v>
      </c>
      <c r="W194" s="48" t="s">
        <v>369</v>
      </c>
      <c r="X194" s="6" t="s">
        <v>9</v>
      </c>
      <c r="Y194" s="6">
        <v>2500</v>
      </c>
      <c r="Z194" s="6">
        <v>250</v>
      </c>
      <c r="AA194" s="6">
        <v>750</v>
      </c>
      <c r="AB194" s="6">
        <v>750</v>
      </c>
      <c r="AC194" s="6">
        <v>750</v>
      </c>
      <c r="AD194" s="50">
        <f t="shared" si="76"/>
        <v>5215418380</v>
      </c>
      <c r="AE194" s="51">
        <v>129000000</v>
      </c>
      <c r="AF194" s="51"/>
      <c r="AG194" s="51"/>
      <c r="AH194" s="51"/>
      <c r="AI194" s="51"/>
      <c r="AJ194" s="51"/>
      <c r="AK194" s="52">
        <v>5086418380</v>
      </c>
      <c r="AL194" s="52"/>
      <c r="AM194" s="52"/>
      <c r="AN194" s="52"/>
      <c r="AO194" s="52">
        <f t="shared" si="77"/>
        <v>155040600</v>
      </c>
      <c r="AP194" s="52">
        <v>155040600</v>
      </c>
      <c r="AQ194" s="52"/>
      <c r="AR194" s="52"/>
      <c r="AS194" s="52"/>
      <c r="AT194" s="52"/>
      <c r="AU194" s="52"/>
      <c r="AV194" s="52"/>
      <c r="AW194" s="52"/>
      <c r="AX194" s="52"/>
      <c r="AY194" s="52"/>
      <c r="AZ194" s="52">
        <f t="shared" si="78"/>
        <v>250000000</v>
      </c>
      <c r="BA194" s="52">
        <v>250000000</v>
      </c>
      <c r="BB194" s="52"/>
      <c r="BC194" s="52"/>
      <c r="BD194" s="52"/>
      <c r="BE194" s="52"/>
      <c r="BF194" s="52"/>
      <c r="BG194" s="52"/>
      <c r="BH194" s="52"/>
      <c r="BI194" s="52"/>
      <c r="BJ194" s="52"/>
      <c r="BK194" s="52">
        <f t="shared" si="79"/>
        <v>314002000</v>
      </c>
      <c r="BL194" s="52">
        <v>314002000</v>
      </c>
      <c r="BM194" s="52"/>
      <c r="BN194" s="52"/>
      <c r="BO194" s="52"/>
      <c r="BP194" s="52"/>
      <c r="BQ194" s="52"/>
      <c r="BR194" s="52"/>
      <c r="BS194" s="52"/>
      <c r="BT194" s="52"/>
      <c r="BU194" s="53"/>
      <c r="BV194" s="54">
        <f t="shared" si="80"/>
        <v>5934460980</v>
      </c>
      <c r="BW194" s="55"/>
    </row>
    <row r="195" spans="1:75" s="190" customFormat="1" ht="101.25" customHeight="1" x14ac:dyDescent="0.2">
      <c r="A195" s="206">
        <v>2</v>
      </c>
      <c r="B195" s="216" t="s">
        <v>33</v>
      </c>
      <c r="C195" s="17" t="s">
        <v>343</v>
      </c>
      <c r="D195" s="17" t="s">
        <v>35</v>
      </c>
      <c r="E195" s="122">
        <v>0.16500000000000001</v>
      </c>
      <c r="F195" s="6">
        <v>2018</v>
      </c>
      <c r="G195" s="17" t="s">
        <v>344</v>
      </c>
      <c r="H195" s="90">
        <v>0.18099999999999999</v>
      </c>
      <c r="I195" s="123">
        <v>17</v>
      </c>
      <c r="J195" s="124" t="s">
        <v>345</v>
      </c>
      <c r="K195" s="14">
        <v>8</v>
      </c>
      <c r="L195" s="125" t="s">
        <v>360</v>
      </c>
      <c r="M195" s="208">
        <v>4</v>
      </c>
      <c r="N195" s="209">
        <v>1702</v>
      </c>
      <c r="O195" s="207" t="s">
        <v>111</v>
      </c>
      <c r="P195" s="6" t="s">
        <v>370</v>
      </c>
      <c r="Q195" s="14">
        <v>1702021</v>
      </c>
      <c r="R195" s="14">
        <v>1702021</v>
      </c>
      <c r="S195" s="17" t="s">
        <v>118</v>
      </c>
      <c r="T195" s="6" t="s">
        <v>371</v>
      </c>
      <c r="U195" s="14" t="s">
        <v>372</v>
      </c>
      <c r="V195" s="14" t="s">
        <v>372</v>
      </c>
      <c r="W195" s="48" t="s">
        <v>373</v>
      </c>
      <c r="X195" s="6" t="s">
        <v>9</v>
      </c>
      <c r="Y195" s="6">
        <v>500</v>
      </c>
      <c r="Z195" s="6">
        <v>50</v>
      </c>
      <c r="AA195" s="6">
        <v>150</v>
      </c>
      <c r="AB195" s="6">
        <v>150</v>
      </c>
      <c r="AC195" s="6">
        <v>150</v>
      </c>
      <c r="AD195" s="50">
        <f t="shared" si="76"/>
        <v>2725760701</v>
      </c>
      <c r="AE195" s="51">
        <v>10000000</v>
      </c>
      <c r="AF195" s="51"/>
      <c r="AG195" s="51"/>
      <c r="AH195" s="51"/>
      <c r="AI195" s="51"/>
      <c r="AJ195" s="51"/>
      <c r="AK195" s="52">
        <v>2715760701</v>
      </c>
      <c r="AL195" s="52"/>
      <c r="AM195" s="52"/>
      <c r="AN195" s="52"/>
      <c r="AO195" s="52">
        <f t="shared" si="77"/>
        <v>9174000</v>
      </c>
      <c r="AP195" s="52">
        <v>9174000</v>
      </c>
      <c r="AQ195" s="52"/>
      <c r="AR195" s="52"/>
      <c r="AS195" s="52"/>
      <c r="AT195" s="52"/>
      <c r="AU195" s="52"/>
      <c r="AV195" s="52"/>
      <c r="AW195" s="52"/>
      <c r="AX195" s="52"/>
      <c r="AY195" s="52"/>
      <c r="AZ195" s="52">
        <f t="shared" si="78"/>
        <v>20000000</v>
      </c>
      <c r="BA195" s="52">
        <v>20000000</v>
      </c>
      <c r="BB195" s="52"/>
      <c r="BC195" s="52"/>
      <c r="BD195" s="52"/>
      <c r="BE195" s="52"/>
      <c r="BF195" s="52"/>
      <c r="BG195" s="52"/>
      <c r="BH195" s="52"/>
      <c r="BI195" s="52"/>
      <c r="BJ195" s="52"/>
      <c r="BK195" s="52">
        <f t="shared" si="79"/>
        <v>100000000</v>
      </c>
      <c r="BL195" s="52">
        <v>100000000</v>
      </c>
      <c r="BM195" s="52"/>
      <c r="BN195" s="52"/>
      <c r="BO195" s="52"/>
      <c r="BP195" s="52"/>
      <c r="BQ195" s="52"/>
      <c r="BR195" s="52"/>
      <c r="BS195" s="52"/>
      <c r="BT195" s="52"/>
      <c r="BU195" s="53"/>
      <c r="BV195" s="54">
        <f t="shared" si="80"/>
        <v>2854934701</v>
      </c>
      <c r="BW195" s="55"/>
    </row>
    <row r="196" spans="1:75" s="190" customFormat="1" ht="101.25" customHeight="1" x14ac:dyDescent="0.2">
      <c r="A196" s="206">
        <v>2</v>
      </c>
      <c r="B196" s="216" t="s">
        <v>33</v>
      </c>
      <c r="C196" s="17" t="s">
        <v>343</v>
      </c>
      <c r="D196" s="17" t="s">
        <v>35</v>
      </c>
      <c r="E196" s="122">
        <v>0.16500000000000001</v>
      </c>
      <c r="F196" s="6">
        <v>2018</v>
      </c>
      <c r="G196" s="17" t="s">
        <v>344</v>
      </c>
      <c r="H196" s="90">
        <v>0.18099999999999999</v>
      </c>
      <c r="I196" s="123">
        <v>17</v>
      </c>
      <c r="J196" s="124" t="s">
        <v>345</v>
      </c>
      <c r="K196" s="14">
        <v>8</v>
      </c>
      <c r="L196" s="125" t="s">
        <v>360</v>
      </c>
      <c r="M196" s="208">
        <v>4</v>
      </c>
      <c r="N196" s="209">
        <v>1702</v>
      </c>
      <c r="O196" s="207" t="s">
        <v>111</v>
      </c>
      <c r="P196" s="6" t="s">
        <v>374</v>
      </c>
      <c r="Q196" s="14" t="s">
        <v>375</v>
      </c>
      <c r="R196" s="14" t="s">
        <v>375</v>
      </c>
      <c r="S196" s="17" t="s">
        <v>105</v>
      </c>
      <c r="T196" s="6" t="s">
        <v>376</v>
      </c>
      <c r="U196" s="14" t="s">
        <v>377</v>
      </c>
      <c r="V196" s="14" t="s">
        <v>377</v>
      </c>
      <c r="W196" s="48" t="s">
        <v>378</v>
      </c>
      <c r="X196" s="6" t="s">
        <v>8</v>
      </c>
      <c r="Y196" s="6">
        <v>1</v>
      </c>
      <c r="Z196" s="6">
        <v>1</v>
      </c>
      <c r="AA196" s="6">
        <v>1</v>
      </c>
      <c r="AB196" s="6">
        <v>1</v>
      </c>
      <c r="AC196" s="6">
        <v>1</v>
      </c>
      <c r="AD196" s="50">
        <f t="shared" si="76"/>
        <v>50000000</v>
      </c>
      <c r="AE196" s="51">
        <v>50000000</v>
      </c>
      <c r="AF196" s="51"/>
      <c r="AG196" s="51"/>
      <c r="AH196" s="51"/>
      <c r="AI196" s="51"/>
      <c r="AJ196" s="51"/>
      <c r="AK196" s="52"/>
      <c r="AL196" s="52"/>
      <c r="AM196" s="52"/>
      <c r="AN196" s="52"/>
      <c r="AO196" s="52">
        <f t="shared" si="77"/>
        <v>45870000</v>
      </c>
      <c r="AP196" s="52">
        <v>45870000</v>
      </c>
      <c r="AQ196" s="52"/>
      <c r="AR196" s="52"/>
      <c r="AS196" s="52"/>
      <c r="AT196" s="52"/>
      <c r="AU196" s="52"/>
      <c r="AV196" s="52"/>
      <c r="AW196" s="52"/>
      <c r="AX196" s="52"/>
      <c r="AY196" s="52"/>
      <c r="AZ196" s="52">
        <f t="shared" si="78"/>
        <v>70000000</v>
      </c>
      <c r="BA196" s="52">
        <v>70000000</v>
      </c>
      <c r="BB196" s="52"/>
      <c r="BC196" s="52"/>
      <c r="BD196" s="52"/>
      <c r="BE196" s="52"/>
      <c r="BF196" s="52"/>
      <c r="BG196" s="52"/>
      <c r="BH196" s="52"/>
      <c r="BI196" s="52"/>
      <c r="BJ196" s="52"/>
      <c r="BK196" s="52">
        <f t="shared" si="79"/>
        <v>92900000</v>
      </c>
      <c r="BL196" s="52">
        <v>92900000</v>
      </c>
      <c r="BM196" s="52"/>
      <c r="BN196" s="52"/>
      <c r="BO196" s="52"/>
      <c r="BP196" s="52"/>
      <c r="BQ196" s="52"/>
      <c r="BR196" s="52"/>
      <c r="BS196" s="52"/>
      <c r="BT196" s="52"/>
      <c r="BU196" s="53"/>
      <c r="BV196" s="54">
        <f t="shared" si="80"/>
        <v>258770000</v>
      </c>
      <c r="BW196" s="55"/>
    </row>
    <row r="197" spans="1:75" s="190" customFormat="1" ht="101.25" customHeight="1" x14ac:dyDescent="0.2">
      <c r="A197" s="206">
        <v>2</v>
      </c>
      <c r="B197" s="216" t="s">
        <v>33</v>
      </c>
      <c r="C197" s="17" t="s">
        <v>343</v>
      </c>
      <c r="D197" s="17" t="s">
        <v>35</v>
      </c>
      <c r="E197" s="122">
        <v>0.16500000000000001</v>
      </c>
      <c r="F197" s="6">
        <v>2018</v>
      </c>
      <c r="G197" s="17" t="s">
        <v>344</v>
      </c>
      <c r="H197" s="90">
        <v>0.18099999999999999</v>
      </c>
      <c r="I197" s="123">
        <v>17</v>
      </c>
      <c r="J197" s="124" t="s">
        <v>345</v>
      </c>
      <c r="K197" s="14">
        <v>8</v>
      </c>
      <c r="L197" s="125" t="s">
        <v>360</v>
      </c>
      <c r="M197" s="208">
        <v>4</v>
      </c>
      <c r="N197" s="209">
        <v>1702</v>
      </c>
      <c r="O197" s="207" t="s">
        <v>111</v>
      </c>
      <c r="P197" s="6" t="s">
        <v>379</v>
      </c>
      <c r="Q197" s="14">
        <v>1702024</v>
      </c>
      <c r="R197" s="14">
        <v>1702024</v>
      </c>
      <c r="S197" s="17" t="s">
        <v>380</v>
      </c>
      <c r="T197" s="6" t="s">
        <v>381</v>
      </c>
      <c r="U197" s="14" t="s">
        <v>382</v>
      </c>
      <c r="V197" s="14" t="s">
        <v>382</v>
      </c>
      <c r="W197" s="48" t="s">
        <v>383</v>
      </c>
      <c r="X197" s="6" t="s">
        <v>8</v>
      </c>
      <c r="Y197" s="6">
        <v>12</v>
      </c>
      <c r="Z197" s="6">
        <v>12</v>
      </c>
      <c r="AA197" s="6">
        <v>12</v>
      </c>
      <c r="AB197" s="6">
        <v>12</v>
      </c>
      <c r="AC197" s="6">
        <v>12</v>
      </c>
      <c r="AD197" s="50">
        <f t="shared" si="76"/>
        <v>50000000</v>
      </c>
      <c r="AE197" s="51">
        <v>50000000</v>
      </c>
      <c r="AF197" s="51"/>
      <c r="AG197" s="51"/>
      <c r="AH197" s="51"/>
      <c r="AI197" s="51"/>
      <c r="AJ197" s="51"/>
      <c r="AK197" s="52"/>
      <c r="AL197" s="52"/>
      <c r="AM197" s="52"/>
      <c r="AN197" s="52"/>
      <c r="AO197" s="52">
        <f t="shared" si="77"/>
        <v>45870000</v>
      </c>
      <c r="AP197" s="52">
        <v>45870000</v>
      </c>
      <c r="AQ197" s="52"/>
      <c r="AR197" s="52"/>
      <c r="AS197" s="52"/>
      <c r="AT197" s="52"/>
      <c r="AU197" s="52"/>
      <c r="AV197" s="52"/>
      <c r="AW197" s="52"/>
      <c r="AX197" s="52"/>
      <c r="AY197" s="52"/>
      <c r="AZ197" s="52">
        <f t="shared" si="78"/>
        <v>70000000</v>
      </c>
      <c r="BA197" s="52">
        <v>70000000</v>
      </c>
      <c r="BB197" s="52"/>
      <c r="BC197" s="52"/>
      <c r="BD197" s="52"/>
      <c r="BE197" s="52"/>
      <c r="BF197" s="52"/>
      <c r="BG197" s="52"/>
      <c r="BH197" s="52"/>
      <c r="BI197" s="52"/>
      <c r="BJ197" s="52"/>
      <c r="BK197" s="52">
        <f t="shared" si="79"/>
        <v>92900000</v>
      </c>
      <c r="BL197" s="52">
        <v>92900000</v>
      </c>
      <c r="BM197" s="52"/>
      <c r="BN197" s="52"/>
      <c r="BO197" s="52"/>
      <c r="BP197" s="52"/>
      <c r="BQ197" s="52"/>
      <c r="BR197" s="52"/>
      <c r="BS197" s="52"/>
      <c r="BT197" s="52"/>
      <c r="BU197" s="53"/>
      <c r="BV197" s="54">
        <f t="shared" si="80"/>
        <v>258770000</v>
      </c>
      <c r="BW197" s="55"/>
    </row>
    <row r="198" spans="1:75" s="190" customFormat="1" ht="101.25" customHeight="1" x14ac:dyDescent="0.2">
      <c r="A198" s="206">
        <v>2</v>
      </c>
      <c r="B198" s="216" t="s">
        <v>33</v>
      </c>
      <c r="C198" s="17" t="s">
        <v>343</v>
      </c>
      <c r="D198" s="17" t="s">
        <v>35</v>
      </c>
      <c r="E198" s="122">
        <v>0.16500000000000001</v>
      </c>
      <c r="F198" s="6">
        <v>2018</v>
      </c>
      <c r="G198" s="17" t="s">
        <v>344</v>
      </c>
      <c r="H198" s="90">
        <v>0.18099999999999999</v>
      </c>
      <c r="I198" s="123">
        <v>17</v>
      </c>
      <c r="J198" s="124" t="s">
        <v>345</v>
      </c>
      <c r="K198" s="14">
        <v>13</v>
      </c>
      <c r="L198" s="125" t="s">
        <v>384</v>
      </c>
      <c r="M198" s="208">
        <v>4</v>
      </c>
      <c r="N198" s="209">
        <v>1702</v>
      </c>
      <c r="O198" s="207" t="s">
        <v>111</v>
      </c>
      <c r="P198" s="6" t="s">
        <v>385</v>
      </c>
      <c r="Q198" s="14">
        <v>1702025</v>
      </c>
      <c r="R198" s="14">
        <v>1702025</v>
      </c>
      <c r="S198" s="17" t="s">
        <v>119</v>
      </c>
      <c r="T198" s="6" t="s">
        <v>386</v>
      </c>
      <c r="U198" s="14" t="s">
        <v>387</v>
      </c>
      <c r="V198" s="14" t="s">
        <v>387</v>
      </c>
      <c r="W198" s="48" t="s">
        <v>388</v>
      </c>
      <c r="X198" s="6" t="s">
        <v>9</v>
      </c>
      <c r="Y198" s="6">
        <v>100</v>
      </c>
      <c r="Z198" s="6">
        <v>25</v>
      </c>
      <c r="AA198" s="6">
        <v>25</v>
      </c>
      <c r="AB198" s="6">
        <v>25</v>
      </c>
      <c r="AC198" s="6">
        <v>25</v>
      </c>
      <c r="AD198" s="50">
        <f t="shared" si="76"/>
        <v>30000000</v>
      </c>
      <c r="AE198" s="51">
        <v>30000000</v>
      </c>
      <c r="AF198" s="51"/>
      <c r="AG198" s="51"/>
      <c r="AH198" s="51"/>
      <c r="AI198" s="51"/>
      <c r="AJ198" s="51"/>
      <c r="AK198" s="52"/>
      <c r="AL198" s="52"/>
      <c r="AM198" s="52"/>
      <c r="AN198" s="52"/>
      <c r="AO198" s="52">
        <f t="shared" si="77"/>
        <v>27522000</v>
      </c>
      <c r="AP198" s="52">
        <v>27522000</v>
      </c>
      <c r="AQ198" s="52"/>
      <c r="AR198" s="52"/>
      <c r="AS198" s="52"/>
      <c r="AT198" s="52"/>
      <c r="AU198" s="52"/>
      <c r="AV198" s="52"/>
      <c r="AW198" s="52"/>
      <c r="AX198" s="52"/>
      <c r="AY198" s="52"/>
      <c r="AZ198" s="52">
        <f t="shared" si="78"/>
        <v>50000000</v>
      </c>
      <c r="BA198" s="52">
        <v>50000000</v>
      </c>
      <c r="BB198" s="52"/>
      <c r="BC198" s="52"/>
      <c r="BD198" s="52"/>
      <c r="BE198" s="52"/>
      <c r="BF198" s="52"/>
      <c r="BG198" s="52"/>
      <c r="BH198" s="52"/>
      <c r="BI198" s="52"/>
      <c r="BJ198" s="52"/>
      <c r="BK198" s="52">
        <f t="shared" si="79"/>
        <v>55740000</v>
      </c>
      <c r="BL198" s="52">
        <v>55740000</v>
      </c>
      <c r="BM198" s="52"/>
      <c r="BN198" s="52"/>
      <c r="BO198" s="52"/>
      <c r="BP198" s="52"/>
      <c r="BQ198" s="52"/>
      <c r="BR198" s="52"/>
      <c r="BS198" s="52"/>
      <c r="BT198" s="52"/>
      <c r="BU198" s="53"/>
      <c r="BV198" s="54">
        <f t="shared" si="80"/>
        <v>163262000</v>
      </c>
      <c r="BW198" s="55"/>
    </row>
    <row r="199" spans="1:75" s="190" customFormat="1" ht="101.25" customHeight="1" x14ac:dyDescent="0.2">
      <c r="A199" s="206">
        <v>2</v>
      </c>
      <c r="B199" s="216" t="s">
        <v>33</v>
      </c>
      <c r="C199" s="17" t="s">
        <v>343</v>
      </c>
      <c r="D199" s="17" t="s">
        <v>35</v>
      </c>
      <c r="E199" s="122">
        <v>0.16500000000000001</v>
      </c>
      <c r="F199" s="6">
        <v>2018</v>
      </c>
      <c r="G199" s="17" t="s">
        <v>344</v>
      </c>
      <c r="H199" s="90">
        <v>0.18099999999999999</v>
      </c>
      <c r="I199" s="123">
        <v>17</v>
      </c>
      <c r="J199" s="124" t="s">
        <v>345</v>
      </c>
      <c r="K199" s="14">
        <v>13</v>
      </c>
      <c r="L199" s="125" t="s">
        <v>384</v>
      </c>
      <c r="M199" s="208">
        <v>4</v>
      </c>
      <c r="N199" s="209">
        <v>1702</v>
      </c>
      <c r="O199" s="207" t="s">
        <v>111</v>
      </c>
      <c r="P199" s="6" t="s">
        <v>389</v>
      </c>
      <c r="Q199" s="14">
        <v>1702038</v>
      </c>
      <c r="R199" s="14">
        <v>1702038</v>
      </c>
      <c r="S199" s="17" t="s">
        <v>115</v>
      </c>
      <c r="T199" s="6" t="s">
        <v>390</v>
      </c>
      <c r="U199" s="14" t="s">
        <v>391</v>
      </c>
      <c r="V199" s="14" t="s">
        <v>391</v>
      </c>
      <c r="W199" s="48" t="s">
        <v>392</v>
      </c>
      <c r="X199" s="6" t="s">
        <v>8</v>
      </c>
      <c r="Y199" s="6">
        <v>30</v>
      </c>
      <c r="Z199" s="6">
        <v>30</v>
      </c>
      <c r="AA199" s="6">
        <v>30</v>
      </c>
      <c r="AB199" s="6">
        <v>30</v>
      </c>
      <c r="AC199" s="6">
        <v>30</v>
      </c>
      <c r="AD199" s="50">
        <f t="shared" si="76"/>
        <v>71204155</v>
      </c>
      <c r="AE199" s="51">
        <v>71204155</v>
      </c>
      <c r="AF199" s="51"/>
      <c r="AG199" s="51"/>
      <c r="AH199" s="51"/>
      <c r="AI199" s="51"/>
      <c r="AJ199" s="51"/>
      <c r="AK199" s="52"/>
      <c r="AL199" s="52"/>
      <c r="AM199" s="52"/>
      <c r="AN199" s="52"/>
      <c r="AO199" s="52">
        <f t="shared" si="77"/>
        <v>65322692.210000001</v>
      </c>
      <c r="AP199" s="52">
        <v>65322692.210000001</v>
      </c>
      <c r="AQ199" s="52"/>
      <c r="AR199" s="52"/>
      <c r="AS199" s="52"/>
      <c r="AT199" s="52"/>
      <c r="AU199" s="52"/>
      <c r="AV199" s="52"/>
      <c r="AW199" s="52"/>
      <c r="AX199" s="52"/>
      <c r="AY199" s="52"/>
      <c r="AZ199" s="52">
        <f t="shared" si="78"/>
        <v>50000000</v>
      </c>
      <c r="BA199" s="52">
        <v>50000000</v>
      </c>
      <c r="BB199" s="52"/>
      <c r="BC199" s="52"/>
      <c r="BD199" s="52"/>
      <c r="BE199" s="52"/>
      <c r="BF199" s="52"/>
      <c r="BG199" s="52"/>
      <c r="BH199" s="52"/>
      <c r="BI199" s="52"/>
      <c r="BJ199" s="52"/>
      <c r="BK199" s="52">
        <f t="shared" si="79"/>
        <v>132297320.16</v>
      </c>
      <c r="BL199" s="52">
        <v>132297320.16</v>
      </c>
      <c r="BM199" s="52"/>
      <c r="BN199" s="52"/>
      <c r="BO199" s="52"/>
      <c r="BP199" s="52"/>
      <c r="BQ199" s="52"/>
      <c r="BR199" s="52"/>
      <c r="BS199" s="52"/>
      <c r="BT199" s="52"/>
      <c r="BU199" s="53"/>
      <c r="BV199" s="54">
        <f t="shared" si="80"/>
        <v>318824167.37</v>
      </c>
      <c r="BW199" s="55"/>
    </row>
    <row r="200" spans="1:75" s="190" customFormat="1" ht="94.5" customHeight="1" x14ac:dyDescent="0.2">
      <c r="A200" s="206">
        <v>2</v>
      </c>
      <c r="B200" s="216" t="s">
        <v>33</v>
      </c>
      <c r="C200" s="17" t="s">
        <v>343</v>
      </c>
      <c r="D200" s="17" t="s">
        <v>35</v>
      </c>
      <c r="E200" s="122">
        <v>0.16500000000000001</v>
      </c>
      <c r="F200" s="6">
        <v>2018</v>
      </c>
      <c r="G200" s="17" t="s">
        <v>344</v>
      </c>
      <c r="H200" s="90">
        <v>0.18099999999999999</v>
      </c>
      <c r="I200" s="123">
        <v>17</v>
      </c>
      <c r="J200" s="124" t="s">
        <v>345</v>
      </c>
      <c r="K200" s="14">
        <v>13</v>
      </c>
      <c r="L200" s="125" t="s">
        <v>384</v>
      </c>
      <c r="M200" s="208">
        <v>4</v>
      </c>
      <c r="N200" s="209">
        <v>1702</v>
      </c>
      <c r="O200" s="207" t="s">
        <v>111</v>
      </c>
      <c r="P200" s="6" t="s">
        <v>389</v>
      </c>
      <c r="Q200" s="14">
        <v>1702038</v>
      </c>
      <c r="R200" s="14">
        <v>1702038</v>
      </c>
      <c r="S200" s="17" t="s">
        <v>115</v>
      </c>
      <c r="T200" s="79" t="s">
        <v>393</v>
      </c>
      <c r="U200" s="14" t="s">
        <v>394</v>
      </c>
      <c r="V200" s="14" t="s">
        <v>394</v>
      </c>
      <c r="W200" s="48" t="s">
        <v>395</v>
      </c>
      <c r="X200" s="6" t="s">
        <v>9</v>
      </c>
      <c r="Y200" s="6">
        <v>300</v>
      </c>
      <c r="Z200" s="6">
        <v>60</v>
      </c>
      <c r="AA200" s="6">
        <v>80</v>
      </c>
      <c r="AB200" s="6">
        <v>80</v>
      </c>
      <c r="AC200" s="6">
        <v>80</v>
      </c>
      <c r="AD200" s="50">
        <f t="shared" si="76"/>
        <v>40000000</v>
      </c>
      <c r="AE200" s="51">
        <v>40000000</v>
      </c>
      <c r="AF200" s="51"/>
      <c r="AG200" s="51"/>
      <c r="AH200" s="51"/>
      <c r="AI200" s="51"/>
      <c r="AJ200" s="51"/>
      <c r="AK200" s="52"/>
      <c r="AL200" s="52"/>
      <c r="AM200" s="52"/>
      <c r="AN200" s="52"/>
      <c r="AO200" s="52">
        <f t="shared" si="77"/>
        <v>18348000</v>
      </c>
      <c r="AP200" s="52">
        <v>18348000</v>
      </c>
      <c r="AQ200" s="52"/>
      <c r="AR200" s="52"/>
      <c r="AS200" s="52"/>
      <c r="AT200" s="52"/>
      <c r="AU200" s="52"/>
      <c r="AV200" s="52"/>
      <c r="AW200" s="52"/>
      <c r="AX200" s="52"/>
      <c r="AY200" s="52"/>
      <c r="AZ200" s="52">
        <f t="shared" si="78"/>
        <v>79549281.760000005</v>
      </c>
      <c r="BA200" s="52">
        <v>79549281.760000005</v>
      </c>
      <c r="BB200" s="52"/>
      <c r="BC200" s="52"/>
      <c r="BD200" s="52"/>
      <c r="BE200" s="52"/>
      <c r="BF200" s="52"/>
      <c r="BG200" s="52"/>
      <c r="BH200" s="52"/>
      <c r="BI200" s="52"/>
      <c r="BJ200" s="52"/>
      <c r="BK200" s="52">
        <f t="shared" si="79"/>
        <v>100000000</v>
      </c>
      <c r="BL200" s="52">
        <v>100000000</v>
      </c>
      <c r="BM200" s="52"/>
      <c r="BN200" s="52"/>
      <c r="BO200" s="52"/>
      <c r="BP200" s="52"/>
      <c r="BQ200" s="52"/>
      <c r="BR200" s="52"/>
      <c r="BS200" s="52"/>
      <c r="BT200" s="52"/>
      <c r="BU200" s="53"/>
      <c r="BV200" s="54">
        <f t="shared" si="80"/>
        <v>237897281.75999999</v>
      </c>
      <c r="BW200" s="55"/>
    </row>
    <row r="201" spans="1:75" ht="29.25" customHeight="1" x14ac:dyDescent="0.25">
      <c r="A201" s="23"/>
      <c r="B201" s="217"/>
      <c r="C201" s="34"/>
      <c r="D201" s="34"/>
      <c r="E201" s="37"/>
      <c r="F201" s="34"/>
      <c r="G201" s="34"/>
      <c r="H201" s="37"/>
      <c r="I201" s="34"/>
      <c r="J201" s="34"/>
      <c r="K201" s="34"/>
      <c r="L201" s="34"/>
      <c r="M201" s="58">
        <v>5</v>
      </c>
      <c r="N201" s="58">
        <v>1703</v>
      </c>
      <c r="O201" s="59" t="s">
        <v>120</v>
      </c>
      <c r="P201" s="58"/>
      <c r="Q201" s="60"/>
      <c r="R201" s="60"/>
      <c r="S201" s="60"/>
      <c r="T201" s="60"/>
      <c r="U201" s="60"/>
      <c r="V201" s="60"/>
      <c r="W201" s="43"/>
      <c r="X201" s="43"/>
      <c r="Y201" s="44"/>
      <c r="Z201" s="44"/>
      <c r="AA201" s="44"/>
      <c r="AB201" s="44"/>
      <c r="AC201" s="41"/>
      <c r="AD201" s="45">
        <f t="shared" ref="AD201:BV201" si="81">AD202</f>
        <v>2805760701</v>
      </c>
      <c r="AE201" s="45">
        <f t="shared" si="81"/>
        <v>90000000</v>
      </c>
      <c r="AF201" s="45">
        <f t="shared" si="81"/>
        <v>0</v>
      </c>
      <c r="AG201" s="45">
        <f t="shared" si="81"/>
        <v>0</v>
      </c>
      <c r="AH201" s="45">
        <f t="shared" si="81"/>
        <v>0</v>
      </c>
      <c r="AI201" s="45">
        <f t="shared" si="81"/>
        <v>0</v>
      </c>
      <c r="AJ201" s="45">
        <f t="shared" si="81"/>
        <v>0</v>
      </c>
      <c r="AK201" s="45">
        <f t="shared" si="81"/>
        <v>2715760701</v>
      </c>
      <c r="AL201" s="45">
        <f t="shared" si="81"/>
        <v>0</v>
      </c>
      <c r="AM201" s="45">
        <f t="shared" si="81"/>
        <v>0</v>
      </c>
      <c r="AN201" s="45">
        <f t="shared" si="81"/>
        <v>0</v>
      </c>
      <c r="AO201" s="45">
        <f t="shared" si="81"/>
        <v>78437700</v>
      </c>
      <c r="AP201" s="45">
        <f t="shared" si="81"/>
        <v>78437700</v>
      </c>
      <c r="AQ201" s="45">
        <f t="shared" si="81"/>
        <v>0</v>
      </c>
      <c r="AR201" s="45">
        <f t="shared" si="81"/>
        <v>0</v>
      </c>
      <c r="AS201" s="45">
        <f t="shared" si="81"/>
        <v>0</v>
      </c>
      <c r="AT201" s="45">
        <f t="shared" si="81"/>
        <v>0</v>
      </c>
      <c r="AU201" s="45">
        <f t="shared" si="81"/>
        <v>0</v>
      </c>
      <c r="AV201" s="45">
        <f t="shared" si="81"/>
        <v>0</v>
      </c>
      <c r="AW201" s="45">
        <f t="shared" si="81"/>
        <v>0</v>
      </c>
      <c r="AX201" s="45">
        <f t="shared" si="81"/>
        <v>0</v>
      </c>
      <c r="AY201" s="45">
        <f t="shared" si="81"/>
        <v>0</v>
      </c>
      <c r="AZ201" s="45">
        <f t="shared" si="81"/>
        <v>97038874.799999997</v>
      </c>
      <c r="BA201" s="45">
        <f t="shared" si="81"/>
        <v>97038874.799999997</v>
      </c>
      <c r="BB201" s="45">
        <f t="shared" si="81"/>
        <v>0</v>
      </c>
      <c r="BC201" s="45">
        <f t="shared" si="81"/>
        <v>0</v>
      </c>
      <c r="BD201" s="45">
        <f t="shared" si="81"/>
        <v>0</v>
      </c>
      <c r="BE201" s="45">
        <f t="shared" si="81"/>
        <v>0</v>
      </c>
      <c r="BF201" s="45">
        <f t="shared" si="81"/>
        <v>0</v>
      </c>
      <c r="BG201" s="45">
        <f t="shared" si="81"/>
        <v>0</v>
      </c>
      <c r="BH201" s="45">
        <f t="shared" si="81"/>
        <v>0</v>
      </c>
      <c r="BI201" s="45">
        <f t="shared" si="81"/>
        <v>0</v>
      </c>
      <c r="BJ201" s="45">
        <f t="shared" si="81"/>
        <v>0</v>
      </c>
      <c r="BK201" s="45">
        <f t="shared" si="81"/>
        <v>162755226</v>
      </c>
      <c r="BL201" s="45">
        <f t="shared" si="81"/>
        <v>162755226</v>
      </c>
      <c r="BM201" s="45">
        <f t="shared" si="81"/>
        <v>0</v>
      </c>
      <c r="BN201" s="45">
        <f t="shared" si="81"/>
        <v>0</v>
      </c>
      <c r="BO201" s="45">
        <f t="shared" si="81"/>
        <v>0</v>
      </c>
      <c r="BP201" s="45">
        <f t="shared" si="81"/>
        <v>0</v>
      </c>
      <c r="BQ201" s="45">
        <f t="shared" si="81"/>
        <v>0</v>
      </c>
      <c r="BR201" s="45">
        <f t="shared" si="81"/>
        <v>0</v>
      </c>
      <c r="BS201" s="45">
        <f t="shared" si="81"/>
        <v>0</v>
      </c>
      <c r="BT201" s="45">
        <f t="shared" si="81"/>
        <v>0</v>
      </c>
      <c r="BU201" s="46">
        <f t="shared" si="81"/>
        <v>0</v>
      </c>
      <c r="BV201" s="45">
        <f t="shared" si="81"/>
        <v>3143992501.8000002</v>
      </c>
      <c r="BW201" s="47"/>
    </row>
    <row r="202" spans="1:75" s="190" customFormat="1" ht="110.25" customHeight="1" x14ac:dyDescent="0.2">
      <c r="A202" s="206">
        <v>2</v>
      </c>
      <c r="B202" s="216" t="s">
        <v>33</v>
      </c>
      <c r="C202" s="17" t="s">
        <v>343</v>
      </c>
      <c r="D202" s="17" t="s">
        <v>35</v>
      </c>
      <c r="E202" s="122">
        <v>0.16500000000000001</v>
      </c>
      <c r="F202" s="6">
        <v>2018</v>
      </c>
      <c r="G202" s="17" t="s">
        <v>344</v>
      </c>
      <c r="H202" s="90">
        <v>0.18099999999999999</v>
      </c>
      <c r="I202" s="123">
        <v>17</v>
      </c>
      <c r="J202" s="124" t="s">
        <v>345</v>
      </c>
      <c r="K202" s="14">
        <v>8</v>
      </c>
      <c r="L202" s="125" t="s">
        <v>360</v>
      </c>
      <c r="M202" s="209">
        <v>5</v>
      </c>
      <c r="N202" s="209">
        <v>1703</v>
      </c>
      <c r="O202" s="207" t="s">
        <v>120</v>
      </c>
      <c r="P202" s="6" t="s">
        <v>401</v>
      </c>
      <c r="Q202" s="14">
        <v>1703013</v>
      </c>
      <c r="R202" s="14">
        <v>1703013</v>
      </c>
      <c r="S202" s="17" t="s">
        <v>121</v>
      </c>
      <c r="T202" s="6" t="s">
        <v>402</v>
      </c>
      <c r="U202" s="14" t="s">
        <v>403</v>
      </c>
      <c r="V202" s="14" t="s">
        <v>403</v>
      </c>
      <c r="W202" s="48" t="s">
        <v>404</v>
      </c>
      <c r="X202" s="6" t="s">
        <v>9</v>
      </c>
      <c r="Y202" s="6">
        <v>300</v>
      </c>
      <c r="Z202" s="6">
        <v>75</v>
      </c>
      <c r="AA202" s="6">
        <v>100</v>
      </c>
      <c r="AB202" s="6">
        <v>70</v>
      </c>
      <c r="AC202" s="6">
        <v>55</v>
      </c>
      <c r="AD202" s="50">
        <f>AE202+AF202+AG202+AH202+AI202+AJ202+AK202+AL202+AM202+AN202</f>
        <v>2805760701</v>
      </c>
      <c r="AE202" s="51">
        <v>90000000</v>
      </c>
      <c r="AF202" s="51"/>
      <c r="AG202" s="51"/>
      <c r="AH202" s="51"/>
      <c r="AI202" s="51"/>
      <c r="AJ202" s="51"/>
      <c r="AK202" s="52">
        <v>2715760701</v>
      </c>
      <c r="AL202" s="52"/>
      <c r="AM202" s="52"/>
      <c r="AN202" s="52"/>
      <c r="AO202" s="52">
        <f>AP202+AQ202+AR202+AS202+AT202+AU202+AV202+AW202+AX202+AY202</f>
        <v>78437700</v>
      </c>
      <c r="AP202" s="52">
        <v>78437700</v>
      </c>
      <c r="AQ202" s="52"/>
      <c r="AR202" s="52"/>
      <c r="AS202" s="52"/>
      <c r="AT202" s="52"/>
      <c r="AU202" s="52"/>
      <c r="AV202" s="52"/>
      <c r="AW202" s="52"/>
      <c r="AX202" s="52"/>
      <c r="AY202" s="52"/>
      <c r="AZ202" s="52">
        <f>BA202+BB202+BC202+BD202+BE202+BF202+BG202+BH202+BI202+BJ202</f>
        <v>97038874.799999997</v>
      </c>
      <c r="BA202" s="52">
        <v>97038874.799999997</v>
      </c>
      <c r="BB202" s="52"/>
      <c r="BC202" s="52"/>
      <c r="BD202" s="52"/>
      <c r="BE202" s="52"/>
      <c r="BF202" s="52"/>
      <c r="BG202" s="52"/>
      <c r="BH202" s="52"/>
      <c r="BI202" s="52"/>
      <c r="BJ202" s="52"/>
      <c r="BK202" s="52">
        <f>BL202+BM202+BN202+BO202+BP202+BQ202+BR202+BS202+BT202+BU202</f>
        <v>162755226</v>
      </c>
      <c r="BL202" s="52">
        <v>162755226</v>
      </c>
      <c r="BM202" s="52"/>
      <c r="BN202" s="52"/>
      <c r="BO202" s="52"/>
      <c r="BP202" s="52"/>
      <c r="BQ202" s="52"/>
      <c r="BR202" s="52"/>
      <c r="BS202" s="52"/>
      <c r="BT202" s="52"/>
      <c r="BU202" s="53"/>
      <c r="BV202" s="54">
        <f>AD202+AO202+AZ202+BK202</f>
        <v>3143992501.8000002</v>
      </c>
      <c r="BW202" s="55"/>
    </row>
    <row r="203" spans="1:75" ht="33" customHeight="1" x14ac:dyDescent="0.25">
      <c r="A203" s="23"/>
      <c r="B203" s="217"/>
      <c r="C203" s="34"/>
      <c r="D203" s="34"/>
      <c r="E203" s="37"/>
      <c r="F203" s="34"/>
      <c r="G203" s="34"/>
      <c r="H203" s="37"/>
      <c r="I203" s="34"/>
      <c r="J203" s="34"/>
      <c r="K203" s="34"/>
      <c r="L203" s="34"/>
      <c r="M203" s="111">
        <v>6</v>
      </c>
      <c r="N203" s="58">
        <v>1704</v>
      </c>
      <c r="O203" s="59" t="s">
        <v>122</v>
      </c>
      <c r="P203" s="58"/>
      <c r="Q203" s="60"/>
      <c r="R203" s="60"/>
      <c r="S203" s="60"/>
      <c r="T203" s="60"/>
      <c r="U203" s="60"/>
      <c r="V203" s="60"/>
      <c r="W203" s="43"/>
      <c r="X203" s="43"/>
      <c r="Y203" s="44"/>
      <c r="Z203" s="44"/>
      <c r="AA203" s="44"/>
      <c r="AB203" s="44"/>
      <c r="AC203" s="41"/>
      <c r="AD203" s="45">
        <f>SUM(AD204:AD205)</f>
        <v>2451022529</v>
      </c>
      <c r="AE203" s="45">
        <f t="shared" ref="AE203:BV203" si="82">SUM(AE204:AE205)</f>
        <v>80364849</v>
      </c>
      <c r="AF203" s="45">
        <f t="shared" si="82"/>
        <v>0</v>
      </c>
      <c r="AG203" s="45">
        <f t="shared" si="82"/>
        <v>0</v>
      </c>
      <c r="AH203" s="45">
        <f t="shared" si="82"/>
        <v>0</v>
      </c>
      <c r="AI203" s="45">
        <f t="shared" si="82"/>
        <v>0</v>
      </c>
      <c r="AJ203" s="45">
        <f t="shared" si="82"/>
        <v>0</v>
      </c>
      <c r="AK203" s="45">
        <f t="shared" si="82"/>
        <v>2370657680</v>
      </c>
      <c r="AL203" s="45">
        <f t="shared" si="82"/>
        <v>0</v>
      </c>
      <c r="AM203" s="45">
        <f t="shared" si="82"/>
        <v>0</v>
      </c>
      <c r="AN203" s="45">
        <f t="shared" si="82"/>
        <v>0</v>
      </c>
      <c r="AO203" s="45">
        <f t="shared" si="82"/>
        <v>69722400</v>
      </c>
      <c r="AP203" s="45">
        <f t="shared" si="82"/>
        <v>69722400</v>
      </c>
      <c r="AQ203" s="45">
        <f t="shared" si="82"/>
        <v>0</v>
      </c>
      <c r="AR203" s="45">
        <f t="shared" si="82"/>
        <v>0</v>
      </c>
      <c r="AS203" s="45">
        <f t="shared" si="82"/>
        <v>0</v>
      </c>
      <c r="AT203" s="45">
        <f t="shared" si="82"/>
        <v>0</v>
      </c>
      <c r="AU203" s="45">
        <f t="shared" si="82"/>
        <v>0</v>
      </c>
      <c r="AV203" s="45">
        <f t="shared" si="82"/>
        <v>0</v>
      </c>
      <c r="AW203" s="45">
        <f t="shared" si="82"/>
        <v>0</v>
      </c>
      <c r="AX203" s="45">
        <f t="shared" si="82"/>
        <v>0</v>
      </c>
      <c r="AY203" s="45">
        <f t="shared" si="82"/>
        <v>0</v>
      </c>
      <c r="AZ203" s="45">
        <f t="shared" si="82"/>
        <v>144765000</v>
      </c>
      <c r="BA203" s="45">
        <f t="shared" si="82"/>
        <v>144765000</v>
      </c>
      <c r="BB203" s="45">
        <f t="shared" si="82"/>
        <v>0</v>
      </c>
      <c r="BC203" s="45">
        <f t="shared" si="82"/>
        <v>0</v>
      </c>
      <c r="BD203" s="45">
        <f t="shared" si="82"/>
        <v>0</v>
      </c>
      <c r="BE203" s="45">
        <f t="shared" si="82"/>
        <v>0</v>
      </c>
      <c r="BF203" s="45">
        <f t="shared" si="82"/>
        <v>0</v>
      </c>
      <c r="BG203" s="45">
        <f t="shared" si="82"/>
        <v>0</v>
      </c>
      <c r="BH203" s="45">
        <f t="shared" si="82"/>
        <v>0</v>
      </c>
      <c r="BI203" s="45">
        <f t="shared" si="82"/>
        <v>0</v>
      </c>
      <c r="BJ203" s="45">
        <f t="shared" si="82"/>
        <v>0</v>
      </c>
      <c r="BK203" s="45">
        <f t="shared" si="82"/>
        <v>243325000</v>
      </c>
      <c r="BL203" s="45">
        <f t="shared" si="82"/>
        <v>243325000</v>
      </c>
      <c r="BM203" s="45">
        <f t="shared" si="82"/>
        <v>0</v>
      </c>
      <c r="BN203" s="45">
        <f t="shared" si="82"/>
        <v>0</v>
      </c>
      <c r="BO203" s="45">
        <f t="shared" si="82"/>
        <v>0</v>
      </c>
      <c r="BP203" s="45">
        <f t="shared" si="82"/>
        <v>0</v>
      </c>
      <c r="BQ203" s="45">
        <f t="shared" si="82"/>
        <v>0</v>
      </c>
      <c r="BR203" s="45">
        <f t="shared" si="82"/>
        <v>0</v>
      </c>
      <c r="BS203" s="45">
        <f t="shared" si="82"/>
        <v>0</v>
      </c>
      <c r="BT203" s="45">
        <f t="shared" si="82"/>
        <v>0</v>
      </c>
      <c r="BU203" s="46">
        <f t="shared" si="82"/>
        <v>0</v>
      </c>
      <c r="BV203" s="45">
        <f t="shared" si="82"/>
        <v>2908834929</v>
      </c>
      <c r="BW203" s="47"/>
    </row>
    <row r="204" spans="1:75" s="190" customFormat="1" ht="126" customHeight="1" x14ac:dyDescent="0.2">
      <c r="A204" s="206">
        <v>2</v>
      </c>
      <c r="B204" s="216" t="s">
        <v>33</v>
      </c>
      <c r="C204" s="17" t="s">
        <v>343</v>
      </c>
      <c r="D204" s="17" t="s">
        <v>35</v>
      </c>
      <c r="E204" s="122">
        <v>0.16500000000000001</v>
      </c>
      <c r="F204" s="6">
        <v>2018</v>
      </c>
      <c r="G204" s="17" t="s">
        <v>344</v>
      </c>
      <c r="H204" s="90">
        <v>0.18099999999999999</v>
      </c>
      <c r="I204" s="123">
        <v>17</v>
      </c>
      <c r="J204" s="124" t="s">
        <v>345</v>
      </c>
      <c r="K204" s="14">
        <v>13</v>
      </c>
      <c r="L204" s="125" t="s">
        <v>346</v>
      </c>
      <c r="M204" s="208">
        <v>6</v>
      </c>
      <c r="N204" s="209">
        <v>1704</v>
      </c>
      <c r="O204" s="207" t="s">
        <v>122</v>
      </c>
      <c r="P204" s="6" t="s">
        <v>405</v>
      </c>
      <c r="Q204" s="14" t="s">
        <v>406</v>
      </c>
      <c r="R204" s="14" t="s">
        <v>406</v>
      </c>
      <c r="S204" s="17" t="s">
        <v>123</v>
      </c>
      <c r="T204" s="6" t="s">
        <v>407</v>
      </c>
      <c r="U204" s="14" t="s">
        <v>408</v>
      </c>
      <c r="V204" s="14" t="s">
        <v>408</v>
      </c>
      <c r="W204" s="48" t="s">
        <v>409</v>
      </c>
      <c r="X204" s="6" t="s">
        <v>8</v>
      </c>
      <c r="Y204" s="6">
        <v>1</v>
      </c>
      <c r="Z204" s="6">
        <v>1</v>
      </c>
      <c r="AA204" s="6">
        <v>1</v>
      </c>
      <c r="AB204" s="6">
        <v>1</v>
      </c>
      <c r="AC204" s="6">
        <v>1</v>
      </c>
      <c r="AD204" s="50">
        <f>AE204+AF204+AG204+AH204+AI204+AJ204+AK204+AL204+AM204+AN204</f>
        <v>2420657680</v>
      </c>
      <c r="AE204" s="51">
        <v>50000000</v>
      </c>
      <c r="AF204" s="51"/>
      <c r="AG204" s="51"/>
      <c r="AH204" s="51"/>
      <c r="AI204" s="51"/>
      <c r="AJ204" s="51"/>
      <c r="AK204" s="52">
        <v>2370657680</v>
      </c>
      <c r="AL204" s="52"/>
      <c r="AM204" s="52"/>
      <c r="AN204" s="52"/>
      <c r="AO204" s="52">
        <f>AP204+AQ204+AR204+AS204+AT204+AU204+AV204+AW204+AX204+AY204</f>
        <v>42200400</v>
      </c>
      <c r="AP204" s="52">
        <v>42200400</v>
      </c>
      <c r="AQ204" s="52"/>
      <c r="AR204" s="52"/>
      <c r="AS204" s="52"/>
      <c r="AT204" s="52"/>
      <c r="AU204" s="52"/>
      <c r="AV204" s="52"/>
      <c r="AW204" s="52"/>
      <c r="AX204" s="52"/>
      <c r="AY204" s="52"/>
      <c r="AZ204" s="52">
        <f>BA204+BB204+BC204+BD204+BE204+BF204+BG204+BH204+BI204+BJ204</f>
        <v>100000000</v>
      </c>
      <c r="BA204" s="52">
        <v>100000000</v>
      </c>
      <c r="BB204" s="52"/>
      <c r="BC204" s="52"/>
      <c r="BD204" s="52"/>
      <c r="BE204" s="52"/>
      <c r="BF204" s="52"/>
      <c r="BG204" s="52"/>
      <c r="BH204" s="52"/>
      <c r="BI204" s="52"/>
      <c r="BJ204" s="52"/>
      <c r="BK204" s="52">
        <f>BL204+BM204+BN204+BO204+BP204+BQ204+BR204+BS204+BT204+BU204</f>
        <v>100000000</v>
      </c>
      <c r="BL204" s="52">
        <v>100000000</v>
      </c>
      <c r="BM204" s="52"/>
      <c r="BN204" s="52"/>
      <c r="BO204" s="52"/>
      <c r="BP204" s="52"/>
      <c r="BQ204" s="52"/>
      <c r="BR204" s="52"/>
      <c r="BS204" s="52"/>
      <c r="BT204" s="52"/>
      <c r="BU204" s="53"/>
      <c r="BV204" s="54">
        <f>AD204+AO204+AZ204+BK204</f>
        <v>2662858080</v>
      </c>
      <c r="BW204" s="55"/>
    </row>
    <row r="205" spans="1:75" s="190" customFormat="1" ht="97.5" customHeight="1" x14ac:dyDescent="0.2">
      <c r="A205" s="206">
        <v>2</v>
      </c>
      <c r="B205" s="216" t="s">
        <v>33</v>
      </c>
      <c r="C205" s="17" t="s">
        <v>343</v>
      </c>
      <c r="D205" s="17" t="s">
        <v>35</v>
      </c>
      <c r="E205" s="122">
        <v>0.16500000000000001</v>
      </c>
      <c r="F205" s="6">
        <v>2018</v>
      </c>
      <c r="G205" s="17" t="s">
        <v>344</v>
      </c>
      <c r="H205" s="90">
        <v>0.18099999999999999</v>
      </c>
      <c r="I205" s="123">
        <v>17</v>
      </c>
      <c r="J205" s="124" t="s">
        <v>345</v>
      </c>
      <c r="K205" s="14">
        <v>13</v>
      </c>
      <c r="L205" s="125" t="s">
        <v>346</v>
      </c>
      <c r="M205" s="208">
        <v>6</v>
      </c>
      <c r="N205" s="209">
        <v>1704</v>
      </c>
      <c r="O205" s="207" t="s">
        <v>122</v>
      </c>
      <c r="P205" s="6" t="s">
        <v>410</v>
      </c>
      <c r="Q205" s="14" t="s">
        <v>411</v>
      </c>
      <c r="R205" s="14" t="s">
        <v>411</v>
      </c>
      <c r="S205" s="17" t="s">
        <v>124</v>
      </c>
      <c r="T205" s="6" t="s">
        <v>412</v>
      </c>
      <c r="U205" s="14" t="s">
        <v>413</v>
      </c>
      <c r="V205" s="14" t="s">
        <v>413</v>
      </c>
      <c r="W205" s="48" t="s">
        <v>414</v>
      </c>
      <c r="X205" s="6" t="s">
        <v>9</v>
      </c>
      <c r="Y205" s="6">
        <v>500</v>
      </c>
      <c r="Z205" s="6">
        <v>50</v>
      </c>
      <c r="AA205" s="6">
        <v>150</v>
      </c>
      <c r="AB205" s="6">
        <v>150</v>
      </c>
      <c r="AC205" s="6">
        <v>150</v>
      </c>
      <c r="AD205" s="50">
        <f>AE205+AF205+AG205+AH205+AI205+AJ205+AK205+AL205+AM205+AN205</f>
        <v>30364849</v>
      </c>
      <c r="AE205" s="51">
        <v>30364849</v>
      </c>
      <c r="AF205" s="51"/>
      <c r="AG205" s="51"/>
      <c r="AH205" s="51"/>
      <c r="AI205" s="51"/>
      <c r="AJ205" s="51"/>
      <c r="AK205" s="52"/>
      <c r="AL205" s="52"/>
      <c r="AM205" s="52"/>
      <c r="AN205" s="52"/>
      <c r="AO205" s="52">
        <f>AP205+AQ205+AR205+AS205+AT205+AU205+AV205+AW205+AX205+AY205</f>
        <v>27522000</v>
      </c>
      <c r="AP205" s="52">
        <v>27522000</v>
      </c>
      <c r="AQ205" s="52"/>
      <c r="AR205" s="52"/>
      <c r="AS205" s="52"/>
      <c r="AT205" s="52"/>
      <c r="AU205" s="52"/>
      <c r="AV205" s="52"/>
      <c r="AW205" s="52"/>
      <c r="AX205" s="52"/>
      <c r="AY205" s="52"/>
      <c r="AZ205" s="52">
        <f>BA205+BB205+BC205+BD205+BE205+BF205+BG205+BH205+BI205+BJ205</f>
        <v>44765000</v>
      </c>
      <c r="BA205" s="52">
        <v>44765000</v>
      </c>
      <c r="BB205" s="52"/>
      <c r="BC205" s="52"/>
      <c r="BD205" s="52"/>
      <c r="BE205" s="52"/>
      <c r="BF205" s="52"/>
      <c r="BG205" s="52"/>
      <c r="BH205" s="52"/>
      <c r="BI205" s="52"/>
      <c r="BJ205" s="52"/>
      <c r="BK205" s="52">
        <f>BL205+BM205+BN205+BO205+BP205+BQ205+BR205+BS205+BT205+BU205</f>
        <v>143325000</v>
      </c>
      <c r="BL205" s="52">
        <v>143325000</v>
      </c>
      <c r="BM205" s="52"/>
      <c r="BN205" s="52"/>
      <c r="BO205" s="52"/>
      <c r="BP205" s="52"/>
      <c r="BQ205" s="52"/>
      <c r="BR205" s="52"/>
      <c r="BS205" s="52"/>
      <c r="BT205" s="52"/>
      <c r="BU205" s="53"/>
      <c r="BV205" s="54">
        <f>AD205+AO205+AZ205+BK205</f>
        <v>245976849</v>
      </c>
      <c r="BW205" s="55"/>
    </row>
    <row r="206" spans="1:75" ht="25.5" customHeight="1" x14ac:dyDescent="0.25">
      <c r="A206" s="23"/>
      <c r="B206" s="217"/>
      <c r="C206" s="34"/>
      <c r="D206" s="34"/>
      <c r="E206" s="37"/>
      <c r="F206" s="34"/>
      <c r="G206" s="34"/>
      <c r="H206" s="37"/>
      <c r="I206" s="34"/>
      <c r="J206" s="34"/>
      <c r="K206" s="34"/>
      <c r="L206" s="34"/>
      <c r="M206" s="111">
        <v>7</v>
      </c>
      <c r="N206" s="58">
        <v>1706</v>
      </c>
      <c r="O206" s="59" t="s">
        <v>125</v>
      </c>
      <c r="P206" s="58"/>
      <c r="Q206" s="60"/>
      <c r="R206" s="60"/>
      <c r="S206" s="60"/>
      <c r="T206" s="60"/>
      <c r="U206" s="60"/>
      <c r="V206" s="60"/>
      <c r="W206" s="43"/>
      <c r="X206" s="43"/>
      <c r="Y206" s="44"/>
      <c r="Z206" s="44"/>
      <c r="AA206" s="44"/>
      <c r="AB206" s="44"/>
      <c r="AC206" s="41"/>
      <c r="AD206" s="45">
        <f t="shared" ref="AD206:BV206" si="83">SUM(AD207)</f>
        <v>12800000</v>
      </c>
      <c r="AE206" s="45">
        <f t="shared" si="83"/>
        <v>12800000</v>
      </c>
      <c r="AF206" s="45">
        <f t="shared" si="83"/>
        <v>0</v>
      </c>
      <c r="AG206" s="45">
        <f t="shared" si="83"/>
        <v>0</v>
      </c>
      <c r="AH206" s="45">
        <f t="shared" si="83"/>
        <v>0</v>
      </c>
      <c r="AI206" s="45">
        <f t="shared" si="83"/>
        <v>0</v>
      </c>
      <c r="AJ206" s="45">
        <f t="shared" si="83"/>
        <v>0</v>
      </c>
      <c r="AK206" s="45">
        <f t="shared" si="83"/>
        <v>0</v>
      </c>
      <c r="AL206" s="45">
        <f t="shared" si="83"/>
        <v>0</v>
      </c>
      <c r="AM206" s="45">
        <f t="shared" si="83"/>
        <v>0</v>
      </c>
      <c r="AN206" s="45">
        <f t="shared" si="83"/>
        <v>0</v>
      </c>
      <c r="AO206" s="45">
        <f t="shared" si="83"/>
        <v>11155584</v>
      </c>
      <c r="AP206" s="45">
        <f t="shared" si="83"/>
        <v>11155584</v>
      </c>
      <c r="AQ206" s="45">
        <f t="shared" si="83"/>
        <v>0</v>
      </c>
      <c r="AR206" s="45">
        <f t="shared" si="83"/>
        <v>0</v>
      </c>
      <c r="AS206" s="45">
        <f t="shared" si="83"/>
        <v>0</v>
      </c>
      <c r="AT206" s="45">
        <f t="shared" si="83"/>
        <v>0</v>
      </c>
      <c r="AU206" s="45">
        <f t="shared" si="83"/>
        <v>0</v>
      </c>
      <c r="AV206" s="45">
        <f t="shared" si="83"/>
        <v>0</v>
      </c>
      <c r="AW206" s="45">
        <f t="shared" si="83"/>
        <v>0</v>
      </c>
      <c r="AX206" s="45">
        <f t="shared" si="83"/>
        <v>0</v>
      </c>
      <c r="AY206" s="45">
        <f t="shared" si="83"/>
        <v>0</v>
      </c>
      <c r="AZ206" s="45">
        <f t="shared" si="83"/>
        <v>48255000</v>
      </c>
      <c r="BA206" s="45">
        <f t="shared" si="83"/>
        <v>48255000</v>
      </c>
      <c r="BB206" s="45">
        <f t="shared" si="83"/>
        <v>0</v>
      </c>
      <c r="BC206" s="45">
        <f t="shared" si="83"/>
        <v>0</v>
      </c>
      <c r="BD206" s="45">
        <f t="shared" si="83"/>
        <v>0</v>
      </c>
      <c r="BE206" s="45">
        <f t="shared" si="83"/>
        <v>0</v>
      </c>
      <c r="BF206" s="45">
        <f t="shared" si="83"/>
        <v>0</v>
      </c>
      <c r="BG206" s="45">
        <f t="shared" si="83"/>
        <v>0</v>
      </c>
      <c r="BH206" s="45">
        <f t="shared" si="83"/>
        <v>0</v>
      </c>
      <c r="BI206" s="45">
        <f t="shared" si="83"/>
        <v>0</v>
      </c>
      <c r="BJ206" s="45">
        <f t="shared" si="83"/>
        <v>0</v>
      </c>
      <c r="BK206" s="45">
        <f t="shared" si="83"/>
        <v>68665000</v>
      </c>
      <c r="BL206" s="45">
        <f t="shared" si="83"/>
        <v>68665000</v>
      </c>
      <c r="BM206" s="45">
        <f t="shared" si="83"/>
        <v>0</v>
      </c>
      <c r="BN206" s="45">
        <f t="shared" si="83"/>
        <v>0</v>
      </c>
      <c r="BO206" s="45">
        <f t="shared" si="83"/>
        <v>0</v>
      </c>
      <c r="BP206" s="45">
        <f t="shared" si="83"/>
        <v>0</v>
      </c>
      <c r="BQ206" s="45">
        <f t="shared" si="83"/>
        <v>0</v>
      </c>
      <c r="BR206" s="45">
        <f t="shared" si="83"/>
        <v>0</v>
      </c>
      <c r="BS206" s="45">
        <f t="shared" si="83"/>
        <v>0</v>
      </c>
      <c r="BT206" s="45">
        <f t="shared" si="83"/>
        <v>0</v>
      </c>
      <c r="BU206" s="46">
        <f t="shared" si="83"/>
        <v>0</v>
      </c>
      <c r="BV206" s="45">
        <f t="shared" si="83"/>
        <v>140875584</v>
      </c>
      <c r="BW206" s="47"/>
    </row>
    <row r="207" spans="1:75" s="190" customFormat="1" ht="101.25" customHeight="1" x14ac:dyDescent="0.2">
      <c r="A207" s="206">
        <v>2</v>
      </c>
      <c r="B207" s="216" t="s">
        <v>33</v>
      </c>
      <c r="C207" s="17" t="s">
        <v>343</v>
      </c>
      <c r="D207" s="17" t="s">
        <v>35</v>
      </c>
      <c r="E207" s="122">
        <v>0.16500000000000001</v>
      </c>
      <c r="F207" s="6">
        <v>2018</v>
      </c>
      <c r="G207" s="17" t="s">
        <v>344</v>
      </c>
      <c r="H207" s="90">
        <v>0.18099999999999999</v>
      </c>
      <c r="I207" s="123">
        <v>17</v>
      </c>
      <c r="J207" s="124" t="s">
        <v>345</v>
      </c>
      <c r="K207" s="14">
        <v>13</v>
      </c>
      <c r="L207" s="125" t="s">
        <v>346</v>
      </c>
      <c r="M207" s="208">
        <v>7</v>
      </c>
      <c r="N207" s="209">
        <v>1706</v>
      </c>
      <c r="O207" s="207" t="s">
        <v>125</v>
      </c>
      <c r="P207" s="6" t="s">
        <v>415</v>
      </c>
      <c r="Q207" s="14" t="s">
        <v>416</v>
      </c>
      <c r="R207" s="14">
        <v>1706004</v>
      </c>
      <c r="S207" s="17" t="s">
        <v>417</v>
      </c>
      <c r="T207" s="6" t="s">
        <v>418</v>
      </c>
      <c r="U207" s="14" t="s">
        <v>419</v>
      </c>
      <c r="V207" s="14" t="s">
        <v>419</v>
      </c>
      <c r="W207" s="48" t="s">
        <v>420</v>
      </c>
      <c r="X207" s="6" t="s">
        <v>8</v>
      </c>
      <c r="Y207" s="6">
        <v>10</v>
      </c>
      <c r="Z207" s="6">
        <v>10</v>
      </c>
      <c r="AA207" s="6">
        <v>10</v>
      </c>
      <c r="AB207" s="6">
        <v>10</v>
      </c>
      <c r="AC207" s="6">
        <v>10</v>
      </c>
      <c r="AD207" s="50">
        <f>AE207+AF207+AG207+AH207+AI207+AJ207+AK207+AL207+AM207+AN207</f>
        <v>12800000</v>
      </c>
      <c r="AE207" s="51">
        <v>12800000</v>
      </c>
      <c r="AF207" s="51"/>
      <c r="AG207" s="51"/>
      <c r="AH207" s="51"/>
      <c r="AI207" s="51"/>
      <c r="AJ207" s="51"/>
      <c r="AK207" s="52"/>
      <c r="AL207" s="52"/>
      <c r="AM207" s="52"/>
      <c r="AN207" s="52"/>
      <c r="AO207" s="52">
        <f>AP207+AQ207+AR207+AS207+AT207+AU207+AV207+AW207+AX207+AY207</f>
        <v>11155584</v>
      </c>
      <c r="AP207" s="52">
        <v>11155584</v>
      </c>
      <c r="AQ207" s="52"/>
      <c r="AR207" s="52"/>
      <c r="AS207" s="52"/>
      <c r="AT207" s="52"/>
      <c r="AU207" s="52"/>
      <c r="AV207" s="52"/>
      <c r="AW207" s="52"/>
      <c r="AX207" s="52"/>
      <c r="AY207" s="52"/>
      <c r="AZ207" s="52">
        <f>BA207+BB207+BC207+BD207+BE207+BF207+BG207+BH207+BI207+BJ207</f>
        <v>48255000</v>
      </c>
      <c r="BA207" s="52">
        <v>48255000</v>
      </c>
      <c r="BB207" s="52"/>
      <c r="BC207" s="52"/>
      <c r="BD207" s="52"/>
      <c r="BE207" s="52"/>
      <c r="BF207" s="52"/>
      <c r="BG207" s="52"/>
      <c r="BH207" s="52"/>
      <c r="BI207" s="52"/>
      <c r="BJ207" s="52"/>
      <c r="BK207" s="52">
        <f>BL207+BM207+BN207+BO207+BP207+BQ207+BR207+BS207+BT207+BU207</f>
        <v>68665000</v>
      </c>
      <c r="BL207" s="52">
        <v>68665000</v>
      </c>
      <c r="BM207" s="52"/>
      <c r="BN207" s="52"/>
      <c r="BO207" s="52"/>
      <c r="BP207" s="52"/>
      <c r="BQ207" s="52"/>
      <c r="BR207" s="52"/>
      <c r="BS207" s="52"/>
      <c r="BT207" s="52"/>
      <c r="BU207" s="53"/>
      <c r="BV207" s="54">
        <f>AD207+AO207+AZ207+BK207</f>
        <v>140875584</v>
      </c>
      <c r="BW207" s="55"/>
    </row>
    <row r="208" spans="1:75" ht="24.75" customHeight="1" x14ac:dyDescent="0.25">
      <c r="A208" s="23"/>
      <c r="B208" s="217"/>
      <c r="C208" s="34"/>
      <c r="D208" s="34"/>
      <c r="E208" s="37"/>
      <c r="F208" s="34"/>
      <c r="G208" s="34"/>
      <c r="H208" s="37"/>
      <c r="I208" s="34"/>
      <c r="J208" s="34"/>
      <c r="K208" s="34"/>
      <c r="L208" s="34"/>
      <c r="M208" s="111">
        <v>8</v>
      </c>
      <c r="N208" s="58">
        <v>1707</v>
      </c>
      <c r="O208" s="59" t="s">
        <v>126</v>
      </c>
      <c r="P208" s="58"/>
      <c r="Q208" s="60"/>
      <c r="R208" s="60"/>
      <c r="S208" s="60"/>
      <c r="T208" s="60"/>
      <c r="U208" s="60"/>
      <c r="V208" s="60"/>
      <c r="W208" s="43"/>
      <c r="X208" s="43"/>
      <c r="Y208" s="44"/>
      <c r="Z208" s="44"/>
      <c r="AA208" s="44"/>
      <c r="AB208" s="44"/>
      <c r="AC208" s="41"/>
      <c r="AD208" s="45">
        <f t="shared" ref="AD208:BV208" si="84">AD209</f>
        <v>50000000</v>
      </c>
      <c r="AE208" s="45">
        <f t="shared" si="84"/>
        <v>50000000</v>
      </c>
      <c r="AF208" s="45">
        <f t="shared" si="84"/>
        <v>0</v>
      </c>
      <c r="AG208" s="45">
        <f t="shared" si="84"/>
        <v>0</v>
      </c>
      <c r="AH208" s="45">
        <f t="shared" si="84"/>
        <v>0</v>
      </c>
      <c r="AI208" s="45">
        <f t="shared" si="84"/>
        <v>0</v>
      </c>
      <c r="AJ208" s="45">
        <f t="shared" si="84"/>
        <v>0</v>
      </c>
      <c r="AK208" s="45">
        <f t="shared" si="84"/>
        <v>0</v>
      </c>
      <c r="AL208" s="45">
        <f t="shared" si="84"/>
        <v>0</v>
      </c>
      <c r="AM208" s="45">
        <f t="shared" si="84"/>
        <v>0</v>
      </c>
      <c r="AN208" s="45">
        <f t="shared" si="84"/>
        <v>0</v>
      </c>
      <c r="AO208" s="45">
        <f t="shared" si="84"/>
        <v>43576500</v>
      </c>
      <c r="AP208" s="45">
        <f t="shared" si="84"/>
        <v>43576500</v>
      </c>
      <c r="AQ208" s="45">
        <f t="shared" si="84"/>
        <v>0</v>
      </c>
      <c r="AR208" s="45">
        <f t="shared" si="84"/>
        <v>0</v>
      </c>
      <c r="AS208" s="45">
        <f t="shared" si="84"/>
        <v>0</v>
      </c>
      <c r="AT208" s="45">
        <f t="shared" si="84"/>
        <v>0</v>
      </c>
      <c r="AU208" s="45">
        <f t="shared" si="84"/>
        <v>0</v>
      </c>
      <c r="AV208" s="45">
        <f t="shared" si="84"/>
        <v>0</v>
      </c>
      <c r="AW208" s="45">
        <f t="shared" si="84"/>
        <v>0</v>
      </c>
      <c r="AX208" s="45">
        <f t="shared" si="84"/>
        <v>0</v>
      </c>
      <c r="AY208" s="45">
        <f t="shared" si="84"/>
        <v>0</v>
      </c>
      <c r="AZ208" s="45">
        <f t="shared" si="84"/>
        <v>67557000</v>
      </c>
      <c r="BA208" s="45">
        <f t="shared" si="84"/>
        <v>67557000</v>
      </c>
      <c r="BB208" s="45">
        <f t="shared" si="84"/>
        <v>0</v>
      </c>
      <c r="BC208" s="45">
        <f t="shared" si="84"/>
        <v>0</v>
      </c>
      <c r="BD208" s="45">
        <f t="shared" si="84"/>
        <v>0</v>
      </c>
      <c r="BE208" s="45">
        <f t="shared" si="84"/>
        <v>0</v>
      </c>
      <c r="BF208" s="45">
        <f t="shared" si="84"/>
        <v>0</v>
      </c>
      <c r="BG208" s="45">
        <f t="shared" si="84"/>
        <v>0</v>
      </c>
      <c r="BH208" s="45">
        <f t="shared" si="84"/>
        <v>0</v>
      </c>
      <c r="BI208" s="45">
        <f t="shared" si="84"/>
        <v>0</v>
      </c>
      <c r="BJ208" s="45">
        <f t="shared" si="84"/>
        <v>0</v>
      </c>
      <c r="BK208" s="45">
        <f t="shared" si="84"/>
        <v>90419570</v>
      </c>
      <c r="BL208" s="45">
        <f t="shared" si="84"/>
        <v>90419570</v>
      </c>
      <c r="BM208" s="45">
        <f t="shared" si="84"/>
        <v>0</v>
      </c>
      <c r="BN208" s="45">
        <f t="shared" si="84"/>
        <v>0</v>
      </c>
      <c r="BO208" s="45">
        <f t="shared" si="84"/>
        <v>0</v>
      </c>
      <c r="BP208" s="45">
        <f t="shared" si="84"/>
        <v>0</v>
      </c>
      <c r="BQ208" s="45">
        <f t="shared" si="84"/>
        <v>0</v>
      </c>
      <c r="BR208" s="45">
        <f t="shared" si="84"/>
        <v>0</v>
      </c>
      <c r="BS208" s="45">
        <f t="shared" si="84"/>
        <v>0</v>
      </c>
      <c r="BT208" s="45">
        <f t="shared" si="84"/>
        <v>0</v>
      </c>
      <c r="BU208" s="46">
        <f t="shared" si="84"/>
        <v>0</v>
      </c>
      <c r="BV208" s="45">
        <f t="shared" si="84"/>
        <v>251553070</v>
      </c>
      <c r="BW208" s="47"/>
    </row>
    <row r="209" spans="1:75" s="190" customFormat="1" ht="91.5" customHeight="1" x14ac:dyDescent="0.2">
      <c r="A209" s="206">
        <v>2</v>
      </c>
      <c r="B209" s="216" t="s">
        <v>33</v>
      </c>
      <c r="C209" s="17" t="s">
        <v>343</v>
      </c>
      <c r="D209" s="17" t="s">
        <v>35</v>
      </c>
      <c r="E209" s="122">
        <v>0.16500000000000001</v>
      </c>
      <c r="F209" s="6">
        <v>2018</v>
      </c>
      <c r="G209" s="17" t="s">
        <v>344</v>
      </c>
      <c r="H209" s="90">
        <v>0.18099999999999999</v>
      </c>
      <c r="I209" s="123">
        <v>17</v>
      </c>
      <c r="J209" s="124" t="s">
        <v>345</v>
      </c>
      <c r="K209" s="14">
        <v>8</v>
      </c>
      <c r="L209" s="125" t="s">
        <v>360</v>
      </c>
      <c r="M209" s="208">
        <v>8</v>
      </c>
      <c r="N209" s="209">
        <v>1707</v>
      </c>
      <c r="O209" s="207" t="s">
        <v>126</v>
      </c>
      <c r="P209" s="6" t="s">
        <v>421</v>
      </c>
      <c r="Q209" s="14" t="s">
        <v>422</v>
      </c>
      <c r="R209" s="14" t="s">
        <v>422</v>
      </c>
      <c r="S209" s="17" t="s">
        <v>127</v>
      </c>
      <c r="T209" s="6" t="s">
        <v>423</v>
      </c>
      <c r="U209" s="14" t="s">
        <v>424</v>
      </c>
      <c r="V209" s="14" t="s">
        <v>424</v>
      </c>
      <c r="W209" s="48" t="s">
        <v>425</v>
      </c>
      <c r="X209" s="6" t="s">
        <v>9</v>
      </c>
      <c r="Y209" s="6">
        <v>20</v>
      </c>
      <c r="Z209" s="6">
        <v>5</v>
      </c>
      <c r="AA209" s="6">
        <v>5</v>
      </c>
      <c r="AB209" s="6">
        <v>5</v>
      </c>
      <c r="AC209" s="6">
        <v>5</v>
      </c>
      <c r="AD209" s="50">
        <f>AE209+AF209+AG209+AH209+AI209+AJ209+AK209+AL209+AM209+AN209</f>
        <v>50000000</v>
      </c>
      <c r="AE209" s="51">
        <v>50000000</v>
      </c>
      <c r="AF209" s="51"/>
      <c r="AG209" s="51"/>
      <c r="AH209" s="51"/>
      <c r="AI209" s="51"/>
      <c r="AJ209" s="51"/>
      <c r="AK209" s="52"/>
      <c r="AL209" s="52"/>
      <c r="AM209" s="52"/>
      <c r="AN209" s="52"/>
      <c r="AO209" s="52">
        <f>AP209+AQ209+AR209+AS209+AT209+AU209+AV209+AW209+AX209+AY209</f>
        <v>43576500</v>
      </c>
      <c r="AP209" s="52">
        <v>43576500</v>
      </c>
      <c r="AQ209" s="52"/>
      <c r="AR209" s="52"/>
      <c r="AS209" s="52"/>
      <c r="AT209" s="52"/>
      <c r="AU209" s="52"/>
      <c r="AV209" s="52"/>
      <c r="AW209" s="52"/>
      <c r="AX209" s="52"/>
      <c r="AY209" s="52"/>
      <c r="AZ209" s="52">
        <f>BA209+BB209+BC209+BD209+BE209+BF209+BG209+BH209+BI209+BJ209</f>
        <v>67557000</v>
      </c>
      <c r="BA209" s="52">
        <v>67557000</v>
      </c>
      <c r="BB209" s="52"/>
      <c r="BC209" s="52"/>
      <c r="BD209" s="52"/>
      <c r="BE209" s="52"/>
      <c r="BF209" s="52"/>
      <c r="BG209" s="52"/>
      <c r="BH209" s="52"/>
      <c r="BI209" s="52"/>
      <c r="BJ209" s="52"/>
      <c r="BK209" s="52">
        <f>BL209+BM209+BN209+BO209+BP209+BQ209+BR209+BS209+BT209+BU209</f>
        <v>90419570</v>
      </c>
      <c r="BL209" s="52">
        <v>90419570</v>
      </c>
      <c r="BM209" s="52"/>
      <c r="BN209" s="52"/>
      <c r="BO209" s="52"/>
      <c r="BP209" s="52"/>
      <c r="BQ209" s="52"/>
      <c r="BR209" s="52"/>
      <c r="BS209" s="52"/>
      <c r="BT209" s="52"/>
      <c r="BU209" s="53"/>
      <c r="BV209" s="54">
        <f>AD209+AO209+AZ209+BK209</f>
        <v>251553070</v>
      </c>
      <c r="BW209" s="55"/>
    </row>
    <row r="210" spans="1:75" ht="27" customHeight="1" x14ac:dyDescent="0.25">
      <c r="A210" s="23"/>
      <c r="B210" s="217"/>
      <c r="C210" s="34"/>
      <c r="D210" s="34"/>
      <c r="E210" s="37"/>
      <c r="F210" s="34"/>
      <c r="G210" s="34"/>
      <c r="H210" s="37"/>
      <c r="I210" s="34"/>
      <c r="J210" s="34"/>
      <c r="K210" s="34"/>
      <c r="L210" s="34"/>
      <c r="M210" s="111">
        <v>9</v>
      </c>
      <c r="N210" s="58">
        <v>1708</v>
      </c>
      <c r="O210" s="59" t="s">
        <v>128</v>
      </c>
      <c r="P210" s="58"/>
      <c r="Q210" s="60"/>
      <c r="R210" s="60"/>
      <c r="S210" s="60"/>
      <c r="T210" s="60"/>
      <c r="U210" s="60"/>
      <c r="V210" s="60"/>
      <c r="W210" s="43"/>
      <c r="X210" s="43"/>
      <c r="Y210" s="44"/>
      <c r="Z210" s="44"/>
      <c r="AA210" s="44"/>
      <c r="AB210" s="44"/>
      <c r="AC210" s="41"/>
      <c r="AD210" s="45">
        <f>SUM(AD211:AD212)</f>
        <v>80000000</v>
      </c>
      <c r="AE210" s="45">
        <f t="shared" ref="AE210:BV210" si="85">SUM(AE211:AE212)</f>
        <v>80000000</v>
      </c>
      <c r="AF210" s="45">
        <f t="shared" si="85"/>
        <v>0</v>
      </c>
      <c r="AG210" s="45">
        <f t="shared" si="85"/>
        <v>0</v>
      </c>
      <c r="AH210" s="45">
        <f t="shared" si="85"/>
        <v>0</v>
      </c>
      <c r="AI210" s="45">
        <f t="shared" si="85"/>
        <v>0</v>
      </c>
      <c r="AJ210" s="45">
        <f t="shared" si="85"/>
        <v>0</v>
      </c>
      <c r="AK210" s="45">
        <f t="shared" si="85"/>
        <v>0</v>
      </c>
      <c r="AL210" s="45">
        <f t="shared" si="85"/>
        <v>0</v>
      </c>
      <c r="AM210" s="45">
        <f t="shared" si="85"/>
        <v>0</v>
      </c>
      <c r="AN210" s="45">
        <f t="shared" si="85"/>
        <v>0</v>
      </c>
      <c r="AO210" s="45">
        <f t="shared" si="85"/>
        <v>69722.399999999994</v>
      </c>
      <c r="AP210" s="45">
        <f t="shared" si="85"/>
        <v>69722.399999999994</v>
      </c>
      <c r="AQ210" s="45">
        <f t="shared" si="85"/>
        <v>0</v>
      </c>
      <c r="AR210" s="45">
        <f t="shared" si="85"/>
        <v>0</v>
      </c>
      <c r="AS210" s="45">
        <f t="shared" si="85"/>
        <v>0</v>
      </c>
      <c r="AT210" s="45">
        <f t="shared" si="85"/>
        <v>0</v>
      </c>
      <c r="AU210" s="45">
        <f t="shared" si="85"/>
        <v>0</v>
      </c>
      <c r="AV210" s="45">
        <f t="shared" si="85"/>
        <v>0</v>
      </c>
      <c r="AW210" s="45">
        <f t="shared" si="85"/>
        <v>0</v>
      </c>
      <c r="AX210" s="45">
        <f t="shared" si="85"/>
        <v>0</v>
      </c>
      <c r="AY210" s="45">
        <f t="shared" si="85"/>
        <v>0</v>
      </c>
      <c r="AZ210" s="45">
        <f t="shared" si="85"/>
        <v>144765000</v>
      </c>
      <c r="BA210" s="45">
        <f t="shared" si="85"/>
        <v>144765000</v>
      </c>
      <c r="BB210" s="45">
        <f t="shared" si="85"/>
        <v>0</v>
      </c>
      <c r="BC210" s="45">
        <f t="shared" si="85"/>
        <v>0</v>
      </c>
      <c r="BD210" s="45">
        <f t="shared" si="85"/>
        <v>0</v>
      </c>
      <c r="BE210" s="45">
        <f t="shared" si="85"/>
        <v>0</v>
      </c>
      <c r="BF210" s="45">
        <f t="shared" si="85"/>
        <v>0</v>
      </c>
      <c r="BG210" s="45">
        <f t="shared" si="85"/>
        <v>0</v>
      </c>
      <c r="BH210" s="45">
        <f t="shared" si="85"/>
        <v>0</v>
      </c>
      <c r="BI210" s="45">
        <f t="shared" si="85"/>
        <v>0</v>
      </c>
      <c r="BJ210" s="45">
        <f t="shared" si="85"/>
        <v>0</v>
      </c>
      <c r="BK210" s="45">
        <f t="shared" si="85"/>
        <v>194660000</v>
      </c>
      <c r="BL210" s="45">
        <f t="shared" si="85"/>
        <v>194660000</v>
      </c>
      <c r="BM210" s="45">
        <f t="shared" si="85"/>
        <v>0</v>
      </c>
      <c r="BN210" s="45">
        <f t="shared" si="85"/>
        <v>0</v>
      </c>
      <c r="BO210" s="45">
        <f t="shared" si="85"/>
        <v>0</v>
      </c>
      <c r="BP210" s="45">
        <f t="shared" si="85"/>
        <v>0</v>
      </c>
      <c r="BQ210" s="45">
        <f t="shared" si="85"/>
        <v>0</v>
      </c>
      <c r="BR210" s="45">
        <f t="shared" si="85"/>
        <v>0</v>
      </c>
      <c r="BS210" s="45">
        <f t="shared" si="85"/>
        <v>0</v>
      </c>
      <c r="BT210" s="45">
        <f t="shared" si="85"/>
        <v>0</v>
      </c>
      <c r="BU210" s="46">
        <f t="shared" si="85"/>
        <v>0</v>
      </c>
      <c r="BV210" s="45">
        <f t="shared" si="85"/>
        <v>419494722.39999998</v>
      </c>
      <c r="BW210" s="47"/>
    </row>
    <row r="211" spans="1:75" s="190" customFormat="1" ht="96" customHeight="1" x14ac:dyDescent="0.2">
      <c r="A211" s="206">
        <v>2</v>
      </c>
      <c r="B211" s="216" t="s">
        <v>33</v>
      </c>
      <c r="C211" s="17" t="s">
        <v>343</v>
      </c>
      <c r="D211" s="17" t="s">
        <v>35</v>
      </c>
      <c r="E211" s="122">
        <v>0.16500000000000001</v>
      </c>
      <c r="F211" s="6">
        <v>2018</v>
      </c>
      <c r="G211" s="17" t="s">
        <v>344</v>
      </c>
      <c r="H211" s="90">
        <v>0.18099999999999999</v>
      </c>
      <c r="I211" s="123">
        <v>17</v>
      </c>
      <c r="J211" s="124" t="s">
        <v>345</v>
      </c>
      <c r="K211" s="14">
        <v>13</v>
      </c>
      <c r="L211" s="125" t="s">
        <v>346</v>
      </c>
      <c r="M211" s="208">
        <v>9</v>
      </c>
      <c r="N211" s="209">
        <v>1708</v>
      </c>
      <c r="O211" s="207" t="s">
        <v>128</v>
      </c>
      <c r="P211" s="6" t="s">
        <v>426</v>
      </c>
      <c r="Q211" s="14" t="s">
        <v>427</v>
      </c>
      <c r="R211" s="14" t="s">
        <v>427</v>
      </c>
      <c r="S211" s="17" t="s">
        <v>123</v>
      </c>
      <c r="T211" s="6" t="s">
        <v>428</v>
      </c>
      <c r="U211" s="14" t="s">
        <v>429</v>
      </c>
      <c r="V211" s="14" t="s">
        <v>429</v>
      </c>
      <c r="W211" s="48" t="s">
        <v>430</v>
      </c>
      <c r="X211" s="6" t="s">
        <v>8</v>
      </c>
      <c r="Y211" s="6">
        <v>2</v>
      </c>
      <c r="Z211" s="6">
        <v>2</v>
      </c>
      <c r="AA211" s="6">
        <v>2</v>
      </c>
      <c r="AB211" s="6">
        <v>2</v>
      </c>
      <c r="AC211" s="6">
        <v>2</v>
      </c>
      <c r="AD211" s="50">
        <f>AE211+AF211+AG211+AH211+AI211+AJ211+AK211+AL211+AM211+AN211</f>
        <v>65000000</v>
      </c>
      <c r="AE211" s="52">
        <v>65000000</v>
      </c>
      <c r="AF211" s="52"/>
      <c r="AG211" s="52"/>
      <c r="AH211" s="52"/>
      <c r="AI211" s="52"/>
      <c r="AJ211" s="52"/>
      <c r="AK211" s="52"/>
      <c r="AL211" s="52"/>
      <c r="AM211" s="52"/>
      <c r="AN211" s="52"/>
      <c r="AO211" s="52">
        <f>AP211+AQ211+AR211+AS211+AT211+AU211+AV211+AW211+AX211+AY211</f>
        <v>69722.399999999994</v>
      </c>
      <c r="AP211" s="52">
        <v>69722.399999999994</v>
      </c>
      <c r="AQ211" s="52"/>
      <c r="AR211" s="52"/>
      <c r="AS211" s="52"/>
      <c r="AT211" s="52"/>
      <c r="AU211" s="52"/>
      <c r="AV211" s="52"/>
      <c r="AW211" s="52"/>
      <c r="AX211" s="52"/>
      <c r="AY211" s="52"/>
      <c r="AZ211" s="52">
        <f>BA211+BB211+BC211+BD211+BE211+BF211+BG211+BH211+BI211+BJ211</f>
        <v>100000000</v>
      </c>
      <c r="BA211" s="52">
        <v>100000000</v>
      </c>
      <c r="BB211" s="52"/>
      <c r="BC211" s="52"/>
      <c r="BD211" s="52"/>
      <c r="BE211" s="52"/>
      <c r="BF211" s="52"/>
      <c r="BG211" s="52"/>
      <c r="BH211" s="52"/>
      <c r="BI211" s="52"/>
      <c r="BJ211" s="52"/>
      <c r="BK211" s="52">
        <f>BL211+BM211+BN211+BO211+BP211+BQ211+BR211+BS211+BT211+BU211</f>
        <v>100000000</v>
      </c>
      <c r="BL211" s="52">
        <v>100000000</v>
      </c>
      <c r="BM211" s="52"/>
      <c r="BN211" s="52"/>
      <c r="BO211" s="52"/>
      <c r="BP211" s="52"/>
      <c r="BQ211" s="52"/>
      <c r="BR211" s="52"/>
      <c r="BS211" s="52"/>
      <c r="BT211" s="52"/>
      <c r="BU211" s="53"/>
      <c r="BV211" s="54">
        <f>AD211+AO211+AZ211+BK211</f>
        <v>265069722.40000001</v>
      </c>
      <c r="BW211" s="55"/>
    </row>
    <row r="212" spans="1:75" s="190" customFormat="1" ht="96" customHeight="1" x14ac:dyDescent="0.2">
      <c r="A212" s="206">
        <v>2</v>
      </c>
      <c r="B212" s="216" t="s">
        <v>33</v>
      </c>
      <c r="C212" s="17" t="s">
        <v>343</v>
      </c>
      <c r="D212" s="17" t="s">
        <v>35</v>
      </c>
      <c r="E212" s="122">
        <v>0.16500000000000001</v>
      </c>
      <c r="F212" s="6">
        <v>2018</v>
      </c>
      <c r="G212" s="17" t="s">
        <v>344</v>
      </c>
      <c r="H212" s="90">
        <v>0.18099999999999999</v>
      </c>
      <c r="I212" s="123">
        <v>17</v>
      </c>
      <c r="J212" s="124" t="s">
        <v>345</v>
      </c>
      <c r="K212" s="14">
        <v>13</v>
      </c>
      <c r="L212" s="125" t="s">
        <v>346</v>
      </c>
      <c r="M212" s="208">
        <v>9</v>
      </c>
      <c r="N212" s="209">
        <v>1708</v>
      </c>
      <c r="O212" s="207" t="s">
        <v>128</v>
      </c>
      <c r="P212" s="6" t="s">
        <v>431</v>
      </c>
      <c r="Q212" s="14" t="s">
        <v>432</v>
      </c>
      <c r="R212" s="14" t="s">
        <v>432</v>
      </c>
      <c r="S212" s="17" t="s">
        <v>129</v>
      </c>
      <c r="T212" s="6" t="s">
        <v>433</v>
      </c>
      <c r="U212" s="14" t="s">
        <v>434</v>
      </c>
      <c r="V212" s="14">
        <v>170805100</v>
      </c>
      <c r="W212" s="48" t="s">
        <v>435</v>
      </c>
      <c r="X212" s="6" t="s">
        <v>8</v>
      </c>
      <c r="Y212" s="6">
        <v>1</v>
      </c>
      <c r="Z212" s="6">
        <v>1</v>
      </c>
      <c r="AA212" s="6">
        <v>1</v>
      </c>
      <c r="AB212" s="6">
        <v>1</v>
      </c>
      <c r="AC212" s="6">
        <v>1</v>
      </c>
      <c r="AD212" s="50">
        <f>AE212+AF212+AG212+AH212+AI212+AJ212+AK212+AL212+AM212+AN212</f>
        <v>15000000</v>
      </c>
      <c r="AE212" s="52">
        <v>15000000</v>
      </c>
      <c r="AF212" s="52"/>
      <c r="AG212" s="52"/>
      <c r="AH212" s="52"/>
      <c r="AI212" s="52"/>
      <c r="AJ212" s="52"/>
      <c r="AK212" s="52"/>
      <c r="AL212" s="52"/>
      <c r="AM212" s="52"/>
      <c r="AN212" s="52"/>
      <c r="AO212" s="52">
        <f>AP212+AQ212+AR212+AS212+AT212+AU212+AV212+AW212+AX212+AY212</f>
        <v>0</v>
      </c>
      <c r="AP212" s="52"/>
      <c r="AQ212" s="52"/>
      <c r="AR212" s="52"/>
      <c r="AS212" s="52"/>
      <c r="AT212" s="52"/>
      <c r="AU212" s="52"/>
      <c r="AV212" s="52"/>
      <c r="AW212" s="52"/>
      <c r="AX212" s="52"/>
      <c r="AY212" s="52"/>
      <c r="AZ212" s="52">
        <f>BA212+BB212+BC212+BD212+BE212+BF212+BG212+BH212+BI212+BJ212</f>
        <v>44765000</v>
      </c>
      <c r="BA212" s="52">
        <v>44765000</v>
      </c>
      <c r="BB212" s="52"/>
      <c r="BC212" s="52"/>
      <c r="BD212" s="52"/>
      <c r="BE212" s="52"/>
      <c r="BF212" s="52"/>
      <c r="BG212" s="52"/>
      <c r="BH212" s="52"/>
      <c r="BI212" s="52"/>
      <c r="BJ212" s="52"/>
      <c r="BK212" s="52">
        <f>BL212+BM212+BN212+BO212+BP212+BQ212+BR212+BS212+BT212+BU212</f>
        <v>94660000</v>
      </c>
      <c r="BL212" s="52">
        <v>94660000</v>
      </c>
      <c r="BM212" s="52"/>
      <c r="BN212" s="52"/>
      <c r="BO212" s="52"/>
      <c r="BP212" s="52"/>
      <c r="BQ212" s="52"/>
      <c r="BR212" s="52"/>
      <c r="BS212" s="52"/>
      <c r="BT212" s="52"/>
      <c r="BU212" s="53"/>
      <c r="BV212" s="54">
        <f>AD212+AO212+AZ212+BK212</f>
        <v>154425000</v>
      </c>
      <c r="BW212" s="55"/>
    </row>
    <row r="213" spans="1:75" ht="25.5" customHeight="1" x14ac:dyDescent="0.25">
      <c r="A213" s="23"/>
      <c r="B213" s="217"/>
      <c r="C213" s="34"/>
      <c r="D213" s="34"/>
      <c r="E213" s="37"/>
      <c r="F213" s="34"/>
      <c r="G213" s="34"/>
      <c r="H213" s="37"/>
      <c r="I213" s="34"/>
      <c r="J213" s="34"/>
      <c r="K213" s="34"/>
      <c r="L213" s="34"/>
      <c r="M213" s="111">
        <v>10</v>
      </c>
      <c r="N213" s="58">
        <v>1709</v>
      </c>
      <c r="O213" s="59" t="s">
        <v>34</v>
      </c>
      <c r="P213" s="58"/>
      <c r="Q213" s="60"/>
      <c r="R213" s="60"/>
      <c r="S213" s="60"/>
      <c r="T213" s="60"/>
      <c r="U213" s="60"/>
      <c r="V213" s="60"/>
      <c r="W213" s="43"/>
      <c r="X213" s="43"/>
      <c r="Y213" s="44"/>
      <c r="Z213" s="44"/>
      <c r="AA213" s="44"/>
      <c r="AB213" s="44"/>
      <c r="AC213" s="41"/>
      <c r="AD213" s="45">
        <f>SUM(AD214:AD218)</f>
        <v>127000000</v>
      </c>
      <c r="AE213" s="45">
        <f t="shared" ref="AE213:BV213" si="86">SUM(AE214:AE218)</f>
        <v>127000000</v>
      </c>
      <c r="AF213" s="45">
        <f t="shared" si="86"/>
        <v>0</v>
      </c>
      <c r="AG213" s="45">
        <f t="shared" si="86"/>
        <v>0</v>
      </c>
      <c r="AH213" s="45">
        <f t="shared" si="86"/>
        <v>0</v>
      </c>
      <c r="AI213" s="45">
        <f t="shared" si="86"/>
        <v>0</v>
      </c>
      <c r="AJ213" s="45">
        <f t="shared" si="86"/>
        <v>0</v>
      </c>
      <c r="AK213" s="45">
        <f t="shared" si="86"/>
        <v>0</v>
      </c>
      <c r="AL213" s="45">
        <f t="shared" si="86"/>
        <v>0</v>
      </c>
      <c r="AM213" s="45">
        <f t="shared" si="86"/>
        <v>0</v>
      </c>
      <c r="AN213" s="45">
        <f t="shared" si="86"/>
        <v>0</v>
      </c>
      <c r="AO213" s="45">
        <f t="shared" si="86"/>
        <v>108941250</v>
      </c>
      <c r="AP213" s="45">
        <f t="shared" si="86"/>
        <v>108941250</v>
      </c>
      <c r="AQ213" s="45">
        <f t="shared" si="86"/>
        <v>0</v>
      </c>
      <c r="AR213" s="45">
        <f t="shared" si="86"/>
        <v>0</v>
      </c>
      <c r="AS213" s="45">
        <f t="shared" si="86"/>
        <v>0</v>
      </c>
      <c r="AT213" s="45">
        <f t="shared" si="86"/>
        <v>0</v>
      </c>
      <c r="AU213" s="45">
        <f t="shared" si="86"/>
        <v>0</v>
      </c>
      <c r="AV213" s="45">
        <f t="shared" si="86"/>
        <v>0</v>
      </c>
      <c r="AW213" s="45">
        <f t="shared" si="86"/>
        <v>0</v>
      </c>
      <c r="AX213" s="45">
        <f t="shared" si="86"/>
        <v>0</v>
      </c>
      <c r="AY213" s="45">
        <f t="shared" si="86"/>
        <v>0</v>
      </c>
      <c r="AZ213" s="45">
        <f t="shared" si="86"/>
        <v>296015472</v>
      </c>
      <c r="BA213" s="45">
        <f t="shared" si="86"/>
        <v>296015472</v>
      </c>
      <c r="BB213" s="45">
        <f t="shared" si="86"/>
        <v>0</v>
      </c>
      <c r="BC213" s="45">
        <f t="shared" si="86"/>
        <v>0</v>
      </c>
      <c r="BD213" s="45">
        <f t="shared" si="86"/>
        <v>0</v>
      </c>
      <c r="BE213" s="45">
        <f t="shared" si="86"/>
        <v>0</v>
      </c>
      <c r="BF213" s="45">
        <f t="shared" si="86"/>
        <v>0</v>
      </c>
      <c r="BG213" s="45">
        <f t="shared" si="86"/>
        <v>0</v>
      </c>
      <c r="BH213" s="45">
        <f t="shared" si="86"/>
        <v>0</v>
      </c>
      <c r="BI213" s="45">
        <f t="shared" si="86"/>
        <v>0</v>
      </c>
      <c r="BJ213" s="45">
        <f t="shared" si="86"/>
        <v>0</v>
      </c>
      <c r="BK213" s="45">
        <f t="shared" si="86"/>
        <v>371967640</v>
      </c>
      <c r="BL213" s="45">
        <f t="shared" si="86"/>
        <v>371967640</v>
      </c>
      <c r="BM213" s="45">
        <f t="shared" si="86"/>
        <v>0</v>
      </c>
      <c r="BN213" s="45">
        <f t="shared" si="86"/>
        <v>0</v>
      </c>
      <c r="BO213" s="45">
        <f t="shared" si="86"/>
        <v>0</v>
      </c>
      <c r="BP213" s="45">
        <f t="shared" si="86"/>
        <v>0</v>
      </c>
      <c r="BQ213" s="45">
        <f t="shared" si="86"/>
        <v>0</v>
      </c>
      <c r="BR213" s="45">
        <f t="shared" si="86"/>
        <v>0</v>
      </c>
      <c r="BS213" s="45">
        <f t="shared" si="86"/>
        <v>0</v>
      </c>
      <c r="BT213" s="45">
        <f t="shared" si="86"/>
        <v>0</v>
      </c>
      <c r="BU213" s="46">
        <f t="shared" si="86"/>
        <v>0</v>
      </c>
      <c r="BV213" s="45">
        <f t="shared" si="86"/>
        <v>903924362</v>
      </c>
      <c r="BW213" s="47"/>
    </row>
    <row r="214" spans="1:75" s="190" customFormat="1" ht="97.5" customHeight="1" x14ac:dyDescent="0.2">
      <c r="A214" s="206">
        <v>2</v>
      </c>
      <c r="B214" s="216" t="s">
        <v>33</v>
      </c>
      <c r="C214" s="17" t="s">
        <v>343</v>
      </c>
      <c r="D214" s="17" t="s">
        <v>35</v>
      </c>
      <c r="E214" s="122">
        <v>0.16500000000000001</v>
      </c>
      <c r="F214" s="6">
        <v>2018</v>
      </c>
      <c r="G214" s="17" t="s">
        <v>344</v>
      </c>
      <c r="H214" s="90">
        <v>0.18099999999999999</v>
      </c>
      <c r="I214" s="123">
        <v>17</v>
      </c>
      <c r="J214" s="124" t="s">
        <v>345</v>
      </c>
      <c r="K214" s="14">
        <v>13</v>
      </c>
      <c r="L214" s="125" t="s">
        <v>346</v>
      </c>
      <c r="M214" s="208">
        <v>10</v>
      </c>
      <c r="N214" s="209">
        <v>1709</v>
      </c>
      <c r="O214" s="207" t="s">
        <v>34</v>
      </c>
      <c r="P214" s="6" t="s">
        <v>436</v>
      </c>
      <c r="Q214" s="14" t="s">
        <v>437</v>
      </c>
      <c r="R214" s="14" t="s">
        <v>437</v>
      </c>
      <c r="S214" s="17" t="s">
        <v>130</v>
      </c>
      <c r="T214" s="6" t="s">
        <v>438</v>
      </c>
      <c r="U214" s="14" t="s">
        <v>439</v>
      </c>
      <c r="V214" s="14">
        <v>170901900</v>
      </c>
      <c r="W214" s="48" t="s">
        <v>130</v>
      </c>
      <c r="X214" s="6" t="s">
        <v>9</v>
      </c>
      <c r="Y214" s="6">
        <v>15</v>
      </c>
      <c r="Z214" s="6">
        <v>2</v>
      </c>
      <c r="AA214" s="6">
        <v>4</v>
      </c>
      <c r="AB214" s="6">
        <v>5</v>
      </c>
      <c r="AC214" s="6">
        <v>4</v>
      </c>
      <c r="AD214" s="50">
        <f>AE214+AF214+AG214+AH214+AI214+AJ214+AK214+AL214+AM214+AN214</f>
        <v>75000000</v>
      </c>
      <c r="AE214" s="52">
        <f>50000000+25000000</f>
        <v>75000000</v>
      </c>
      <c r="AF214" s="52"/>
      <c r="AG214" s="52"/>
      <c r="AH214" s="52"/>
      <c r="AI214" s="52"/>
      <c r="AJ214" s="52"/>
      <c r="AK214" s="52"/>
      <c r="AL214" s="52"/>
      <c r="AM214" s="52"/>
      <c r="AN214" s="52"/>
      <c r="AO214" s="52">
        <f>AP214+AQ214+AR214+AS214+AT214+AU214+AV214+AW214+AX214+AY214</f>
        <v>43370000</v>
      </c>
      <c r="AP214" s="52">
        <v>43370000</v>
      </c>
      <c r="AQ214" s="52"/>
      <c r="AR214" s="52"/>
      <c r="AS214" s="52"/>
      <c r="AT214" s="52"/>
      <c r="AU214" s="52"/>
      <c r="AV214" s="52"/>
      <c r="AW214" s="52"/>
      <c r="AX214" s="52"/>
      <c r="AY214" s="52"/>
      <c r="AZ214" s="52">
        <f>BA214+BB214+BC214+BD214+BE214+BF214+BG214+BH214+BI214+BJ214</f>
        <v>112760472</v>
      </c>
      <c r="BA214" s="52">
        <v>112760472</v>
      </c>
      <c r="BB214" s="52"/>
      <c r="BC214" s="52"/>
      <c r="BD214" s="52"/>
      <c r="BE214" s="52"/>
      <c r="BF214" s="52"/>
      <c r="BG214" s="52"/>
      <c r="BH214" s="52"/>
      <c r="BI214" s="52"/>
      <c r="BJ214" s="52"/>
      <c r="BK214" s="52">
        <f>BL214+BM214+BN214+BO214+BP214+BQ214+BR214+BS214+BT214+BU214</f>
        <v>139400000</v>
      </c>
      <c r="BL214" s="52">
        <v>139400000</v>
      </c>
      <c r="BM214" s="52"/>
      <c r="BN214" s="52"/>
      <c r="BO214" s="52"/>
      <c r="BP214" s="52"/>
      <c r="BQ214" s="52"/>
      <c r="BR214" s="52"/>
      <c r="BS214" s="52"/>
      <c r="BT214" s="52"/>
      <c r="BU214" s="53"/>
      <c r="BV214" s="54">
        <f>AD214+AO214+AZ214+BK214</f>
        <v>370530472</v>
      </c>
      <c r="BW214" s="55"/>
    </row>
    <row r="215" spans="1:75" s="190" customFormat="1" ht="97.5" customHeight="1" x14ac:dyDescent="0.2">
      <c r="A215" s="206">
        <v>2</v>
      </c>
      <c r="B215" s="216" t="s">
        <v>33</v>
      </c>
      <c r="C215" s="17" t="s">
        <v>343</v>
      </c>
      <c r="D215" s="17" t="s">
        <v>35</v>
      </c>
      <c r="E215" s="122">
        <v>0.16500000000000001</v>
      </c>
      <c r="F215" s="6">
        <v>2018</v>
      </c>
      <c r="G215" s="17" t="s">
        <v>344</v>
      </c>
      <c r="H215" s="90">
        <v>0.18099999999999999</v>
      </c>
      <c r="I215" s="123">
        <v>17</v>
      </c>
      <c r="J215" s="124" t="s">
        <v>345</v>
      </c>
      <c r="K215" s="14">
        <v>13</v>
      </c>
      <c r="L215" s="125" t="s">
        <v>346</v>
      </c>
      <c r="M215" s="208">
        <v>10</v>
      </c>
      <c r="N215" s="209">
        <v>1709</v>
      </c>
      <c r="O215" s="207" t="s">
        <v>34</v>
      </c>
      <c r="P215" s="6" t="s">
        <v>440</v>
      </c>
      <c r="Q215" s="14" t="s">
        <v>441</v>
      </c>
      <c r="R215" s="14" t="s">
        <v>441</v>
      </c>
      <c r="S215" s="17" t="s">
        <v>131</v>
      </c>
      <c r="T215" s="6" t="s">
        <v>442</v>
      </c>
      <c r="U215" s="14" t="s">
        <v>443</v>
      </c>
      <c r="V215" s="14" t="s">
        <v>443</v>
      </c>
      <c r="W215" s="48" t="s">
        <v>131</v>
      </c>
      <c r="X215" s="6" t="s">
        <v>9</v>
      </c>
      <c r="Y215" s="6">
        <v>10</v>
      </c>
      <c r="Z215" s="6">
        <v>1</v>
      </c>
      <c r="AA215" s="6">
        <v>3</v>
      </c>
      <c r="AB215" s="6">
        <v>3</v>
      </c>
      <c r="AC215" s="6">
        <v>3</v>
      </c>
      <c r="AD215" s="50">
        <f>AE215+AF215+AG215+AH215+AI215+AJ215+AK215+AL215+AM215+AN215</f>
        <v>50000000</v>
      </c>
      <c r="AE215" s="52">
        <v>50000000</v>
      </c>
      <c r="AF215" s="52"/>
      <c r="AG215" s="52"/>
      <c r="AH215" s="52"/>
      <c r="AI215" s="52"/>
      <c r="AJ215" s="52"/>
      <c r="AK215" s="52"/>
      <c r="AL215" s="52"/>
      <c r="AM215" s="52"/>
      <c r="AN215" s="52"/>
      <c r="AO215" s="52">
        <f>AP215+AQ215+AR215+AS215+AT215+AU215+AV215+AW215+AX215+AY215</f>
        <v>43370000</v>
      </c>
      <c r="AP215" s="52">
        <v>43370000</v>
      </c>
      <c r="AQ215" s="52"/>
      <c r="AR215" s="52"/>
      <c r="AS215" s="52"/>
      <c r="AT215" s="52"/>
      <c r="AU215" s="52"/>
      <c r="AV215" s="52"/>
      <c r="AW215" s="52"/>
      <c r="AX215" s="52"/>
      <c r="AY215" s="52"/>
      <c r="AZ215" s="52">
        <f>BA215+BB215+BC215+BD215+BE215+BF215+BG215+BH215+BI215+BJ215</f>
        <v>65000000</v>
      </c>
      <c r="BA215" s="52">
        <v>65000000</v>
      </c>
      <c r="BB215" s="52"/>
      <c r="BC215" s="52"/>
      <c r="BD215" s="52"/>
      <c r="BE215" s="52"/>
      <c r="BF215" s="52"/>
      <c r="BG215" s="52"/>
      <c r="BH215" s="52"/>
      <c r="BI215" s="52"/>
      <c r="BJ215" s="52"/>
      <c r="BK215" s="52">
        <f>BL215+BM215+BN215+BO215+BP215+BQ215+BR215+BS215+BT215+BU215</f>
        <v>89400000</v>
      </c>
      <c r="BL215" s="52">
        <v>89400000</v>
      </c>
      <c r="BM215" s="52"/>
      <c r="BN215" s="52"/>
      <c r="BO215" s="52"/>
      <c r="BP215" s="52"/>
      <c r="BQ215" s="52"/>
      <c r="BR215" s="52"/>
      <c r="BS215" s="52"/>
      <c r="BT215" s="52"/>
      <c r="BU215" s="53"/>
      <c r="BV215" s="54">
        <f>AD215+AO215+AZ215+BK215</f>
        <v>247770000</v>
      </c>
      <c r="BW215" s="55"/>
    </row>
    <row r="216" spans="1:75" s="190" customFormat="1" ht="97.5" customHeight="1" x14ac:dyDescent="0.2">
      <c r="A216" s="206">
        <v>2</v>
      </c>
      <c r="B216" s="216" t="s">
        <v>33</v>
      </c>
      <c r="C216" s="56" t="s">
        <v>396</v>
      </c>
      <c r="D216" s="56" t="s">
        <v>35</v>
      </c>
      <c r="E216" s="81">
        <v>16.5</v>
      </c>
      <c r="F216" s="14">
        <v>2018</v>
      </c>
      <c r="G216" s="56" t="s">
        <v>344</v>
      </c>
      <c r="H216" s="81">
        <v>18.100000000000001</v>
      </c>
      <c r="I216" s="123">
        <v>17</v>
      </c>
      <c r="J216" s="124" t="s">
        <v>345</v>
      </c>
      <c r="K216" s="14">
        <v>13</v>
      </c>
      <c r="L216" s="125" t="s">
        <v>346</v>
      </c>
      <c r="M216" s="208">
        <v>10</v>
      </c>
      <c r="N216" s="209">
        <v>1709</v>
      </c>
      <c r="O216" s="207" t="s">
        <v>34</v>
      </c>
      <c r="P216" s="6" t="s">
        <v>451</v>
      </c>
      <c r="Q216" s="14">
        <v>1709065</v>
      </c>
      <c r="R216" s="14">
        <v>1709065</v>
      </c>
      <c r="S216" s="56" t="s">
        <v>36</v>
      </c>
      <c r="T216" s="6" t="s">
        <v>452</v>
      </c>
      <c r="U216" s="14">
        <v>170906500</v>
      </c>
      <c r="V216" s="14">
        <v>170906500</v>
      </c>
      <c r="W216" s="57" t="s">
        <v>36</v>
      </c>
      <c r="X216" s="14" t="s">
        <v>8</v>
      </c>
      <c r="Y216" s="6">
        <v>1</v>
      </c>
      <c r="Z216" s="6">
        <v>0</v>
      </c>
      <c r="AA216" s="6">
        <v>0</v>
      </c>
      <c r="AB216" s="6">
        <v>1</v>
      </c>
      <c r="AC216" s="6">
        <v>1</v>
      </c>
      <c r="AD216" s="50">
        <f>AE216+AF216+AG216+AH216+AI216+AJ216+AK216+AL216+AM216+AN216</f>
        <v>0</v>
      </c>
      <c r="AE216" s="52">
        <f>1000000-1000000</f>
        <v>0</v>
      </c>
      <c r="AF216" s="52"/>
      <c r="AG216" s="52"/>
      <c r="AH216" s="52"/>
      <c r="AI216" s="52"/>
      <c r="AJ216" s="52"/>
      <c r="AK216" s="52"/>
      <c r="AL216" s="52"/>
      <c r="AM216" s="52"/>
      <c r="AN216" s="52"/>
      <c r="AO216" s="52">
        <f>AP216+AQ216+AR216+AS216+AT216+AU216+AV216+AW216+AX216+AY216</f>
        <v>0</v>
      </c>
      <c r="AP216" s="52"/>
      <c r="AQ216" s="52"/>
      <c r="AR216" s="52"/>
      <c r="AS216" s="52"/>
      <c r="AT216" s="52"/>
      <c r="AU216" s="52"/>
      <c r="AV216" s="52"/>
      <c r="AW216" s="52"/>
      <c r="AX216" s="52"/>
      <c r="AY216" s="52"/>
      <c r="AZ216" s="52">
        <f>BA216+BB216+BC216+BD216+BE216+BF216+BG216+BH216+BI216+BJ216</f>
        <v>28953000</v>
      </c>
      <c r="BA216" s="52">
        <v>28953000</v>
      </c>
      <c r="BB216" s="52"/>
      <c r="BC216" s="52"/>
      <c r="BD216" s="52"/>
      <c r="BE216" s="52"/>
      <c r="BF216" s="52"/>
      <c r="BG216" s="52"/>
      <c r="BH216" s="52"/>
      <c r="BI216" s="52"/>
      <c r="BJ216" s="52"/>
      <c r="BK216" s="52">
        <f>BL216+BM216+BN216+BO216+BP216+BQ216+BR216+BS216+BT216+BU216</f>
        <v>34162830</v>
      </c>
      <c r="BL216" s="52">
        <v>34162830</v>
      </c>
      <c r="BM216" s="52"/>
      <c r="BN216" s="52"/>
      <c r="BO216" s="52"/>
      <c r="BP216" s="52"/>
      <c r="BQ216" s="52"/>
      <c r="BR216" s="52"/>
      <c r="BS216" s="52"/>
      <c r="BT216" s="52"/>
      <c r="BU216" s="53"/>
      <c r="BV216" s="54">
        <f>AD216+AO216+AZ216+BK216</f>
        <v>63115830</v>
      </c>
      <c r="BW216" s="55"/>
    </row>
    <row r="217" spans="1:75" s="190" customFormat="1" ht="97.5" customHeight="1" x14ac:dyDescent="0.2">
      <c r="A217" s="206">
        <v>2</v>
      </c>
      <c r="B217" s="216" t="s">
        <v>33</v>
      </c>
      <c r="C217" s="56" t="s">
        <v>396</v>
      </c>
      <c r="D217" s="56" t="s">
        <v>35</v>
      </c>
      <c r="E217" s="81">
        <v>16.5</v>
      </c>
      <c r="F217" s="14">
        <v>2018</v>
      </c>
      <c r="G217" s="56" t="s">
        <v>344</v>
      </c>
      <c r="H217" s="81">
        <v>18.100000000000001</v>
      </c>
      <c r="I217" s="123">
        <v>17</v>
      </c>
      <c r="J217" s="124" t="s">
        <v>345</v>
      </c>
      <c r="K217" s="14">
        <v>13</v>
      </c>
      <c r="L217" s="125" t="s">
        <v>346</v>
      </c>
      <c r="M217" s="208">
        <v>10</v>
      </c>
      <c r="N217" s="209">
        <v>1709</v>
      </c>
      <c r="O217" s="207" t="s">
        <v>34</v>
      </c>
      <c r="P217" s="6" t="s">
        <v>449</v>
      </c>
      <c r="Q217" s="14">
        <v>1709078</v>
      </c>
      <c r="R217" s="14">
        <v>1709080</v>
      </c>
      <c r="S217" s="56" t="s">
        <v>37</v>
      </c>
      <c r="T217" s="6" t="s">
        <v>450</v>
      </c>
      <c r="U217" s="14">
        <v>170907800</v>
      </c>
      <c r="V217" s="14">
        <v>170907800</v>
      </c>
      <c r="W217" s="57" t="s">
        <v>37</v>
      </c>
      <c r="X217" s="14" t="s">
        <v>8</v>
      </c>
      <c r="Y217" s="6">
        <v>1</v>
      </c>
      <c r="Z217" s="6">
        <v>1</v>
      </c>
      <c r="AA217" s="6">
        <v>0</v>
      </c>
      <c r="AB217" s="6">
        <v>1</v>
      </c>
      <c r="AC217" s="6">
        <v>1</v>
      </c>
      <c r="AD217" s="50">
        <f>AE217+AF217+AG217+AH217+AI217+AJ217+AK217+AL217+AM217+AN217</f>
        <v>2000000</v>
      </c>
      <c r="AE217" s="52">
        <f>1000000+1000000</f>
        <v>2000000</v>
      </c>
      <c r="AF217" s="52"/>
      <c r="AG217" s="52"/>
      <c r="AH217" s="52"/>
      <c r="AI217" s="52"/>
      <c r="AJ217" s="52"/>
      <c r="AK217" s="52"/>
      <c r="AL217" s="52"/>
      <c r="AM217" s="52"/>
      <c r="AN217" s="52"/>
      <c r="AO217" s="52">
        <f>AP217+AQ217+AR217+AS217+AT217+AU217+AV217+AW217+AX217+AY217</f>
        <v>0</v>
      </c>
      <c r="AP217" s="52"/>
      <c r="AQ217" s="52"/>
      <c r="AR217" s="52"/>
      <c r="AS217" s="52"/>
      <c r="AT217" s="52"/>
      <c r="AU217" s="52"/>
      <c r="AV217" s="52"/>
      <c r="AW217" s="52"/>
      <c r="AX217" s="52"/>
      <c r="AY217" s="52"/>
      <c r="AZ217" s="52">
        <f>BA217+BB217+BC217+BD217+BE217+BF217+BG217+BH217+BI217+BJ217</f>
        <v>19302000</v>
      </c>
      <c r="BA217" s="52">
        <v>19302000</v>
      </c>
      <c r="BB217" s="52"/>
      <c r="BC217" s="52"/>
      <c r="BD217" s="52"/>
      <c r="BE217" s="52"/>
      <c r="BF217" s="52"/>
      <c r="BG217" s="52"/>
      <c r="BH217" s="52"/>
      <c r="BI217" s="52"/>
      <c r="BJ217" s="52"/>
      <c r="BK217" s="52">
        <f>BL217+BM217+BN217+BO217+BP217+BQ217+BR217+BS217+BT217+BU217</f>
        <v>29101670</v>
      </c>
      <c r="BL217" s="52">
        <v>29101670</v>
      </c>
      <c r="BM217" s="52"/>
      <c r="BN217" s="52"/>
      <c r="BO217" s="52"/>
      <c r="BP217" s="52"/>
      <c r="BQ217" s="52"/>
      <c r="BR217" s="52"/>
      <c r="BS217" s="52"/>
      <c r="BT217" s="52"/>
      <c r="BU217" s="53"/>
      <c r="BV217" s="54">
        <f>AD217+AO217+AZ217+BK217</f>
        <v>50403670</v>
      </c>
      <c r="BW217" s="55"/>
    </row>
    <row r="218" spans="1:75" s="190" customFormat="1" ht="97.5" customHeight="1" x14ac:dyDescent="0.2">
      <c r="A218" s="206">
        <v>2</v>
      </c>
      <c r="B218" s="216" t="s">
        <v>33</v>
      </c>
      <c r="C218" s="17" t="s">
        <v>343</v>
      </c>
      <c r="D218" s="17" t="s">
        <v>35</v>
      </c>
      <c r="E218" s="122">
        <v>0.16500000000000001</v>
      </c>
      <c r="F218" s="6">
        <v>2018</v>
      </c>
      <c r="G218" s="17" t="s">
        <v>344</v>
      </c>
      <c r="H218" s="90">
        <v>0.18099999999999999</v>
      </c>
      <c r="I218" s="123">
        <v>17</v>
      </c>
      <c r="J218" s="124" t="s">
        <v>345</v>
      </c>
      <c r="K218" s="14">
        <v>13</v>
      </c>
      <c r="L218" s="125" t="s">
        <v>346</v>
      </c>
      <c r="M218" s="208">
        <v>10</v>
      </c>
      <c r="N218" s="209">
        <v>1709</v>
      </c>
      <c r="O218" s="207" t="s">
        <v>34</v>
      </c>
      <c r="P218" s="6" t="s">
        <v>444</v>
      </c>
      <c r="Q218" s="14" t="s">
        <v>445</v>
      </c>
      <c r="R218" s="14" t="s">
        <v>445</v>
      </c>
      <c r="S218" s="56" t="s">
        <v>132</v>
      </c>
      <c r="T218" s="6" t="s">
        <v>446</v>
      </c>
      <c r="U218" s="14" t="s">
        <v>447</v>
      </c>
      <c r="V218" s="14" t="s">
        <v>447</v>
      </c>
      <c r="W218" s="48" t="s">
        <v>448</v>
      </c>
      <c r="X218" s="6" t="s">
        <v>9</v>
      </c>
      <c r="Y218" s="6">
        <v>5</v>
      </c>
      <c r="Z218" s="6">
        <v>0</v>
      </c>
      <c r="AA218" s="6">
        <v>2</v>
      </c>
      <c r="AB218" s="6">
        <v>2</v>
      </c>
      <c r="AC218" s="6">
        <v>1</v>
      </c>
      <c r="AD218" s="50">
        <f>AE218+AF218+AG218+AH218+AI218+AJ218+AK218+AL218+AM218+AN218</f>
        <v>0</v>
      </c>
      <c r="AE218" s="52">
        <v>0</v>
      </c>
      <c r="AF218" s="52"/>
      <c r="AG218" s="52"/>
      <c r="AH218" s="52"/>
      <c r="AI218" s="52"/>
      <c r="AJ218" s="52"/>
      <c r="AK218" s="52"/>
      <c r="AL218" s="52"/>
      <c r="AM218" s="52"/>
      <c r="AN218" s="52"/>
      <c r="AO218" s="52">
        <f>AP218+AQ218+AR218+AS218+AT218+AU218+AV218+AW218+AX218+AY218</f>
        <v>22201250</v>
      </c>
      <c r="AP218" s="52">
        <v>22201250</v>
      </c>
      <c r="AQ218" s="52"/>
      <c r="AR218" s="52"/>
      <c r="AS218" s="52"/>
      <c r="AT218" s="52"/>
      <c r="AU218" s="52"/>
      <c r="AV218" s="52"/>
      <c r="AW218" s="52"/>
      <c r="AX218" s="52"/>
      <c r="AY218" s="52"/>
      <c r="AZ218" s="52">
        <f>BA218+BB218+BC218+BD218+BE218+BF218+BG218+BH218+BI218+BJ218</f>
        <v>70000000</v>
      </c>
      <c r="BA218" s="52">
        <v>70000000</v>
      </c>
      <c r="BB218" s="52"/>
      <c r="BC218" s="52"/>
      <c r="BD218" s="52"/>
      <c r="BE218" s="52"/>
      <c r="BF218" s="52"/>
      <c r="BG218" s="52"/>
      <c r="BH218" s="52"/>
      <c r="BI218" s="52"/>
      <c r="BJ218" s="52"/>
      <c r="BK218" s="52">
        <f>BL218+BM218+BN218+BO218+BP218+BQ218+BR218+BS218+BT218+BU218</f>
        <v>79903140</v>
      </c>
      <c r="BL218" s="52">
        <v>79903140</v>
      </c>
      <c r="BM218" s="52"/>
      <c r="BN218" s="52"/>
      <c r="BO218" s="52"/>
      <c r="BP218" s="52"/>
      <c r="BQ218" s="52"/>
      <c r="BR218" s="52"/>
      <c r="BS218" s="52"/>
      <c r="BT218" s="52"/>
      <c r="BU218" s="53"/>
      <c r="BV218" s="54">
        <f>AD218+AO218+AZ218+BK218</f>
        <v>172104390</v>
      </c>
      <c r="BW218" s="55"/>
    </row>
    <row r="219" spans="1:75" ht="29.25" customHeight="1" x14ac:dyDescent="0.25">
      <c r="A219" s="23"/>
      <c r="B219" s="217"/>
      <c r="C219" s="34"/>
      <c r="D219" s="34"/>
      <c r="E219" s="37"/>
      <c r="F219" s="34"/>
      <c r="G219" s="34"/>
      <c r="H219" s="37"/>
      <c r="I219" s="34"/>
      <c r="J219" s="34"/>
      <c r="K219" s="34"/>
      <c r="L219" s="34"/>
      <c r="M219" s="58">
        <v>14</v>
      </c>
      <c r="N219" s="58">
        <v>2102</v>
      </c>
      <c r="O219" s="59" t="s">
        <v>661</v>
      </c>
      <c r="P219" s="58"/>
      <c r="Q219" s="60"/>
      <c r="R219" s="60"/>
      <c r="S219" s="60"/>
      <c r="T219" s="60"/>
      <c r="U219" s="60"/>
      <c r="V219" s="60"/>
      <c r="W219" s="43"/>
      <c r="X219" s="43"/>
      <c r="Y219" s="44"/>
      <c r="Z219" s="44"/>
      <c r="AA219" s="44"/>
      <c r="AB219" s="44"/>
      <c r="AC219" s="41"/>
      <c r="AD219" s="45">
        <f t="shared" ref="AD219:BV219" si="87">AD220</f>
        <v>2500000000</v>
      </c>
      <c r="AE219" s="45">
        <f t="shared" si="87"/>
        <v>0</v>
      </c>
      <c r="AF219" s="45">
        <f t="shared" si="87"/>
        <v>0</v>
      </c>
      <c r="AG219" s="45">
        <f t="shared" si="87"/>
        <v>0</v>
      </c>
      <c r="AH219" s="45">
        <f t="shared" si="87"/>
        <v>0</v>
      </c>
      <c r="AI219" s="45">
        <f t="shared" si="87"/>
        <v>0</v>
      </c>
      <c r="AJ219" s="45">
        <f t="shared" si="87"/>
        <v>0</v>
      </c>
      <c r="AK219" s="45">
        <f t="shared" si="87"/>
        <v>2500000000</v>
      </c>
      <c r="AL219" s="45">
        <f t="shared" si="87"/>
        <v>0</v>
      </c>
      <c r="AM219" s="45">
        <f t="shared" si="87"/>
        <v>0</v>
      </c>
      <c r="AN219" s="45">
        <f t="shared" si="87"/>
        <v>0</v>
      </c>
      <c r="AO219" s="45">
        <f t="shared" si="87"/>
        <v>0</v>
      </c>
      <c r="AP219" s="45">
        <f t="shared" si="87"/>
        <v>0</v>
      </c>
      <c r="AQ219" s="45">
        <f t="shared" si="87"/>
        <v>0</v>
      </c>
      <c r="AR219" s="45">
        <f t="shared" si="87"/>
        <v>0</v>
      </c>
      <c r="AS219" s="45">
        <f t="shared" si="87"/>
        <v>0</v>
      </c>
      <c r="AT219" s="45">
        <f t="shared" si="87"/>
        <v>0</v>
      </c>
      <c r="AU219" s="45">
        <f t="shared" si="87"/>
        <v>0</v>
      </c>
      <c r="AV219" s="45">
        <f t="shared" si="87"/>
        <v>0</v>
      </c>
      <c r="AW219" s="45">
        <f t="shared" si="87"/>
        <v>0</v>
      </c>
      <c r="AX219" s="45">
        <f t="shared" si="87"/>
        <v>0</v>
      </c>
      <c r="AY219" s="45">
        <f t="shared" si="87"/>
        <v>0</v>
      </c>
      <c r="AZ219" s="45">
        <f t="shared" si="87"/>
        <v>0</v>
      </c>
      <c r="BA219" s="45">
        <f t="shared" si="87"/>
        <v>0</v>
      </c>
      <c r="BB219" s="45">
        <f t="shared" si="87"/>
        <v>0</v>
      </c>
      <c r="BC219" s="45">
        <f t="shared" si="87"/>
        <v>0</v>
      </c>
      <c r="BD219" s="45">
        <f t="shared" si="87"/>
        <v>0</v>
      </c>
      <c r="BE219" s="45">
        <f t="shared" si="87"/>
        <v>0</v>
      </c>
      <c r="BF219" s="45">
        <f t="shared" si="87"/>
        <v>0</v>
      </c>
      <c r="BG219" s="45">
        <f t="shared" si="87"/>
        <v>0</v>
      </c>
      <c r="BH219" s="45">
        <f t="shared" si="87"/>
        <v>0</v>
      </c>
      <c r="BI219" s="45">
        <f t="shared" si="87"/>
        <v>0</v>
      </c>
      <c r="BJ219" s="45">
        <f t="shared" si="87"/>
        <v>0</v>
      </c>
      <c r="BK219" s="45">
        <f t="shared" si="87"/>
        <v>0</v>
      </c>
      <c r="BL219" s="45">
        <f t="shared" si="87"/>
        <v>0</v>
      </c>
      <c r="BM219" s="45">
        <f t="shared" si="87"/>
        <v>0</v>
      </c>
      <c r="BN219" s="45">
        <f t="shared" si="87"/>
        <v>0</v>
      </c>
      <c r="BO219" s="45">
        <f t="shared" si="87"/>
        <v>0</v>
      </c>
      <c r="BP219" s="45">
        <f t="shared" si="87"/>
        <v>0</v>
      </c>
      <c r="BQ219" s="45">
        <f t="shared" si="87"/>
        <v>0</v>
      </c>
      <c r="BR219" s="45">
        <f t="shared" si="87"/>
        <v>0</v>
      </c>
      <c r="BS219" s="45">
        <f t="shared" si="87"/>
        <v>0</v>
      </c>
      <c r="BT219" s="45">
        <f t="shared" si="87"/>
        <v>0</v>
      </c>
      <c r="BU219" s="46">
        <f t="shared" si="87"/>
        <v>0</v>
      </c>
      <c r="BV219" s="45">
        <f t="shared" si="87"/>
        <v>2500000000</v>
      </c>
      <c r="BW219" s="47"/>
    </row>
    <row r="220" spans="1:75" s="190" customFormat="1" ht="141.75" customHeight="1" x14ac:dyDescent="0.2">
      <c r="A220" s="206">
        <v>2</v>
      </c>
      <c r="B220" s="216" t="s">
        <v>33</v>
      </c>
      <c r="C220" s="56" t="s">
        <v>396</v>
      </c>
      <c r="D220" s="17" t="s">
        <v>658</v>
      </c>
      <c r="E220" s="73">
        <v>98.41</v>
      </c>
      <c r="F220" s="83">
        <v>2019</v>
      </c>
      <c r="G220" s="17" t="s">
        <v>659</v>
      </c>
      <c r="H220" s="73">
        <v>100</v>
      </c>
      <c r="I220" s="6">
        <v>21</v>
      </c>
      <c r="J220" s="6" t="s">
        <v>660</v>
      </c>
      <c r="K220" s="15">
        <v>7</v>
      </c>
      <c r="L220" s="6" t="s">
        <v>1104</v>
      </c>
      <c r="M220" s="206">
        <v>14</v>
      </c>
      <c r="N220" s="210">
        <v>2102</v>
      </c>
      <c r="O220" s="207" t="s">
        <v>661</v>
      </c>
      <c r="P220" s="78" t="s">
        <v>662</v>
      </c>
      <c r="Q220" s="14">
        <v>2102045</v>
      </c>
      <c r="R220" s="14">
        <v>2102045</v>
      </c>
      <c r="S220" s="17" t="s">
        <v>663</v>
      </c>
      <c r="T220" s="79" t="s">
        <v>664</v>
      </c>
      <c r="U220" s="14" t="s">
        <v>665</v>
      </c>
      <c r="V220" s="14" t="s">
        <v>665</v>
      </c>
      <c r="W220" s="48" t="s">
        <v>666</v>
      </c>
      <c r="X220" s="6" t="s">
        <v>9</v>
      </c>
      <c r="Y220" s="6">
        <v>155</v>
      </c>
      <c r="Z220" s="6">
        <v>70</v>
      </c>
      <c r="AA220" s="6">
        <v>85</v>
      </c>
      <c r="AB220" s="6"/>
      <c r="AC220" s="6"/>
      <c r="AD220" s="50">
        <f>AE220+AF220+AG220+AH220+AI220+AJ220+AK220+AL220+AM220+AN220</f>
        <v>2500000000</v>
      </c>
      <c r="AE220" s="52"/>
      <c r="AF220" s="52"/>
      <c r="AG220" s="52"/>
      <c r="AH220" s="52"/>
      <c r="AI220" s="52"/>
      <c r="AJ220" s="52"/>
      <c r="AK220" s="52">
        <v>2500000000</v>
      </c>
      <c r="AL220" s="52"/>
      <c r="AM220" s="52"/>
      <c r="AN220" s="52"/>
      <c r="AO220" s="52">
        <f>AP220+AQ220+AR220+AS220+AT220+AU220+AV220+AW220+AX220+AY220</f>
        <v>0</v>
      </c>
      <c r="AP220" s="52"/>
      <c r="AQ220" s="52"/>
      <c r="AR220" s="52"/>
      <c r="AS220" s="52"/>
      <c r="AT220" s="52"/>
      <c r="AU220" s="52"/>
      <c r="AV220" s="52"/>
      <c r="AW220" s="52"/>
      <c r="AX220" s="52"/>
      <c r="AY220" s="52"/>
      <c r="AZ220" s="52">
        <f>BA220+BB220+BC220+BD220+BE220+BF220+BG220+BH220+BI220+BJ220</f>
        <v>0</v>
      </c>
      <c r="BA220" s="52"/>
      <c r="BB220" s="52"/>
      <c r="BC220" s="52"/>
      <c r="BD220" s="52"/>
      <c r="BE220" s="52"/>
      <c r="BF220" s="52"/>
      <c r="BG220" s="52"/>
      <c r="BH220" s="52"/>
      <c r="BI220" s="52"/>
      <c r="BJ220" s="52"/>
      <c r="BK220" s="52">
        <f>BL220+BM220+BN220+BO220+BP220+BQ220+BR220+BS220+BT220+BU220</f>
        <v>0</v>
      </c>
      <c r="BL220" s="52"/>
      <c r="BM220" s="52"/>
      <c r="BN220" s="52"/>
      <c r="BO220" s="52"/>
      <c r="BP220" s="52"/>
      <c r="BQ220" s="52"/>
      <c r="BR220" s="52"/>
      <c r="BS220" s="52"/>
      <c r="BT220" s="52"/>
      <c r="BU220" s="53"/>
      <c r="BV220" s="54">
        <f>AD220+AO220+AZ220+BK220</f>
        <v>2500000000</v>
      </c>
      <c r="BW220" s="55"/>
    </row>
    <row r="221" spans="1:75" ht="30.75" customHeight="1" x14ac:dyDescent="0.25">
      <c r="A221" s="23"/>
      <c r="B221" s="217"/>
      <c r="C221" s="34"/>
      <c r="D221" s="34"/>
      <c r="E221" s="37"/>
      <c r="F221" s="34"/>
      <c r="G221" s="34"/>
      <c r="H221" s="37"/>
      <c r="I221" s="34"/>
      <c r="J221" s="34"/>
      <c r="K221" s="34"/>
      <c r="L221" s="34"/>
      <c r="M221" s="58">
        <v>27</v>
      </c>
      <c r="N221" s="58">
        <v>3502</v>
      </c>
      <c r="O221" s="59" t="s">
        <v>38</v>
      </c>
      <c r="P221" s="58"/>
      <c r="Q221" s="60"/>
      <c r="R221" s="60"/>
      <c r="S221" s="60"/>
      <c r="T221" s="60"/>
      <c r="U221" s="60"/>
      <c r="V221" s="60"/>
      <c r="W221" s="43"/>
      <c r="X221" s="43"/>
      <c r="Y221" s="44"/>
      <c r="Z221" s="44"/>
      <c r="AA221" s="44"/>
      <c r="AB221" s="44"/>
      <c r="AC221" s="41"/>
      <c r="AD221" s="45">
        <f>SUM(AD222:AD230)</f>
        <v>4727986841.8500004</v>
      </c>
      <c r="AE221" s="45">
        <f t="shared" ref="AE221:AJ221" si="88">SUM(AE222:AE230)</f>
        <v>682004937</v>
      </c>
      <c r="AF221" s="45">
        <f t="shared" si="88"/>
        <v>545981904.85000002</v>
      </c>
      <c r="AG221" s="45">
        <f t="shared" si="88"/>
        <v>0</v>
      </c>
      <c r="AH221" s="45">
        <f t="shared" si="88"/>
        <v>0</v>
      </c>
      <c r="AI221" s="45">
        <f t="shared" si="88"/>
        <v>0</v>
      </c>
      <c r="AJ221" s="45">
        <f t="shared" si="88"/>
        <v>0</v>
      </c>
      <c r="AK221" s="45">
        <f t="shared" ref="AK221:AW221" si="89">SUM(AK222:AK230)</f>
        <v>3500000000</v>
      </c>
      <c r="AL221" s="45">
        <f t="shared" si="89"/>
        <v>0</v>
      </c>
      <c r="AM221" s="45">
        <f t="shared" si="89"/>
        <v>0</v>
      </c>
      <c r="AN221" s="45">
        <f t="shared" si="89"/>
        <v>0</v>
      </c>
      <c r="AO221" s="45">
        <f t="shared" si="89"/>
        <v>1046631014</v>
      </c>
      <c r="AP221" s="45">
        <f t="shared" si="89"/>
        <v>500380647</v>
      </c>
      <c r="AQ221" s="45">
        <f t="shared" si="89"/>
        <v>546250367</v>
      </c>
      <c r="AR221" s="45">
        <f t="shared" si="89"/>
        <v>0</v>
      </c>
      <c r="AS221" s="45">
        <f t="shared" si="89"/>
        <v>0</v>
      </c>
      <c r="AT221" s="45">
        <f t="shared" si="89"/>
        <v>0</v>
      </c>
      <c r="AU221" s="45">
        <f t="shared" si="89"/>
        <v>0</v>
      </c>
      <c r="AV221" s="45">
        <f t="shared" si="89"/>
        <v>0</v>
      </c>
      <c r="AW221" s="45">
        <f t="shared" si="89"/>
        <v>0</v>
      </c>
      <c r="AX221" s="45">
        <f t="shared" ref="AX221:BV221" si="90">SUM(AX222:AX230)</f>
        <v>0</v>
      </c>
      <c r="AY221" s="45">
        <f t="shared" si="90"/>
        <v>0</v>
      </c>
      <c r="AZ221" s="45">
        <f t="shared" si="90"/>
        <v>4157313681</v>
      </c>
      <c r="BA221" s="45">
        <f t="shared" si="90"/>
        <v>1009108568</v>
      </c>
      <c r="BB221" s="45">
        <f t="shared" si="90"/>
        <v>648205113</v>
      </c>
      <c r="BC221" s="45">
        <f t="shared" si="90"/>
        <v>0</v>
      </c>
      <c r="BD221" s="45">
        <f t="shared" si="90"/>
        <v>0</v>
      </c>
      <c r="BE221" s="45">
        <f t="shared" si="90"/>
        <v>0</v>
      </c>
      <c r="BF221" s="45">
        <f t="shared" si="90"/>
        <v>0</v>
      </c>
      <c r="BG221" s="45">
        <f t="shared" si="90"/>
        <v>2500000000</v>
      </c>
      <c r="BH221" s="45">
        <f t="shared" si="90"/>
        <v>0</v>
      </c>
      <c r="BI221" s="45">
        <f t="shared" si="90"/>
        <v>0</v>
      </c>
      <c r="BJ221" s="45">
        <f t="shared" si="90"/>
        <v>0</v>
      </c>
      <c r="BK221" s="45">
        <f t="shared" si="90"/>
        <v>4597973798</v>
      </c>
      <c r="BL221" s="45">
        <f t="shared" si="90"/>
        <v>1363361280</v>
      </c>
      <c r="BM221" s="45">
        <f t="shared" si="90"/>
        <v>734612518</v>
      </c>
      <c r="BN221" s="45">
        <f t="shared" si="90"/>
        <v>0</v>
      </c>
      <c r="BO221" s="45">
        <f t="shared" si="90"/>
        <v>0</v>
      </c>
      <c r="BP221" s="45">
        <f t="shared" si="90"/>
        <v>0</v>
      </c>
      <c r="BQ221" s="45">
        <f t="shared" si="90"/>
        <v>0</v>
      </c>
      <c r="BR221" s="45">
        <f t="shared" si="90"/>
        <v>2500000000</v>
      </c>
      <c r="BS221" s="45">
        <f t="shared" si="90"/>
        <v>0</v>
      </c>
      <c r="BT221" s="45">
        <f t="shared" si="90"/>
        <v>0</v>
      </c>
      <c r="BU221" s="46">
        <f t="shared" si="90"/>
        <v>0</v>
      </c>
      <c r="BV221" s="45">
        <f t="shared" si="90"/>
        <v>14529905334.85</v>
      </c>
      <c r="BW221" s="47"/>
    </row>
    <row r="222" spans="1:75" s="190" customFormat="1" ht="110.25" customHeight="1" x14ac:dyDescent="0.2">
      <c r="A222" s="206">
        <v>2</v>
      </c>
      <c r="B222" s="216" t="s">
        <v>33</v>
      </c>
      <c r="C222" s="17" t="s">
        <v>343</v>
      </c>
      <c r="D222" s="17" t="s">
        <v>1700</v>
      </c>
      <c r="E222" s="16" t="s">
        <v>1020</v>
      </c>
      <c r="F222" s="6" t="s">
        <v>1021</v>
      </c>
      <c r="G222" s="17" t="s">
        <v>1022</v>
      </c>
      <c r="H222" s="16" t="s">
        <v>1697</v>
      </c>
      <c r="I222" s="6">
        <v>35</v>
      </c>
      <c r="J222" s="101" t="s">
        <v>1013</v>
      </c>
      <c r="K222" s="15">
        <v>13</v>
      </c>
      <c r="L222" s="101" t="s">
        <v>346</v>
      </c>
      <c r="M222" s="206">
        <v>27</v>
      </c>
      <c r="N222" s="209">
        <v>3502</v>
      </c>
      <c r="O222" s="207" t="s">
        <v>38</v>
      </c>
      <c r="P222" s="6" t="s">
        <v>1023</v>
      </c>
      <c r="Q222" s="14" t="s">
        <v>1024</v>
      </c>
      <c r="R222" s="14" t="s">
        <v>1024</v>
      </c>
      <c r="S222" s="17" t="s">
        <v>103</v>
      </c>
      <c r="T222" s="6" t="s">
        <v>1025</v>
      </c>
      <c r="U222" s="14" t="s">
        <v>1026</v>
      </c>
      <c r="V222" s="14" t="s">
        <v>1026</v>
      </c>
      <c r="W222" s="48" t="s">
        <v>1027</v>
      </c>
      <c r="X222" s="6" t="s">
        <v>9</v>
      </c>
      <c r="Y222" s="6">
        <v>4</v>
      </c>
      <c r="Z222" s="6">
        <v>1</v>
      </c>
      <c r="AA222" s="6">
        <v>1</v>
      </c>
      <c r="AB222" s="6">
        <v>1</v>
      </c>
      <c r="AC222" s="6">
        <v>1</v>
      </c>
      <c r="AD222" s="50">
        <f t="shared" ref="AD222:AD230" si="91">AE222+AF222+AG222+AH222+AI222+AJ222+AK222+AL222+AM222+AN222</f>
        <v>32500000</v>
      </c>
      <c r="AE222" s="52">
        <v>32500000</v>
      </c>
      <c r="AF222" s="52"/>
      <c r="AG222" s="52"/>
      <c r="AH222" s="52"/>
      <c r="AI222" s="52"/>
      <c r="AJ222" s="52"/>
      <c r="AK222" s="52"/>
      <c r="AL222" s="52"/>
      <c r="AM222" s="52"/>
      <c r="AN222" s="52"/>
      <c r="AO222" s="52">
        <f t="shared" ref="AO222:AO230" si="92">AP222+AQ222+AR222+AS222+AT222+AU222+AV222+AW222+AX222+AY222</f>
        <v>26619447</v>
      </c>
      <c r="AP222" s="52">
        <v>26619447</v>
      </c>
      <c r="AQ222" s="52"/>
      <c r="AR222" s="52"/>
      <c r="AS222" s="52"/>
      <c r="AT222" s="52"/>
      <c r="AU222" s="52"/>
      <c r="AV222" s="52"/>
      <c r="AW222" s="52"/>
      <c r="AX222" s="52"/>
      <c r="AY222" s="52"/>
      <c r="AZ222" s="52">
        <f t="shared" ref="AZ222:AZ247" si="93">BA222+BB222+BC222+BD222+BE222+BF222+BG222+BH222+BI222+BJ222</f>
        <v>40000000</v>
      </c>
      <c r="BA222" s="52">
        <v>40000000</v>
      </c>
      <c r="BB222" s="52"/>
      <c r="BC222" s="52"/>
      <c r="BD222" s="52"/>
      <c r="BE222" s="52"/>
      <c r="BF222" s="52"/>
      <c r="BG222" s="52"/>
      <c r="BH222" s="52"/>
      <c r="BI222" s="52"/>
      <c r="BJ222" s="52"/>
      <c r="BK222" s="52">
        <f t="shared" ref="BK222:BK230" si="94">BL222+BM222+BN222+BO222+BP222+BQ222+BR222+BS222+BT222+BU222</f>
        <v>40000000</v>
      </c>
      <c r="BL222" s="52">
        <v>40000000</v>
      </c>
      <c r="BM222" s="52"/>
      <c r="BN222" s="52"/>
      <c r="BO222" s="52"/>
      <c r="BP222" s="52"/>
      <c r="BQ222" s="52"/>
      <c r="BR222" s="52"/>
      <c r="BS222" s="52"/>
      <c r="BT222" s="52"/>
      <c r="BU222" s="53"/>
      <c r="BV222" s="54">
        <f t="shared" ref="BV222:BV230" si="95">AD222+AO222+AZ222+BK222</f>
        <v>139119447</v>
      </c>
      <c r="BW222" s="55"/>
    </row>
    <row r="223" spans="1:75" s="190" customFormat="1" ht="110.25" customHeight="1" x14ac:dyDescent="0.2">
      <c r="A223" s="206">
        <v>2</v>
      </c>
      <c r="B223" s="216" t="s">
        <v>33</v>
      </c>
      <c r="C223" s="17" t="s">
        <v>343</v>
      </c>
      <c r="D223" s="17" t="s">
        <v>1019</v>
      </c>
      <c r="E223" s="16" t="s">
        <v>1020</v>
      </c>
      <c r="F223" s="6" t="s">
        <v>1021</v>
      </c>
      <c r="G223" s="17" t="s">
        <v>1022</v>
      </c>
      <c r="H223" s="16" t="s">
        <v>1697</v>
      </c>
      <c r="I223" s="6">
        <v>35</v>
      </c>
      <c r="J223" s="101" t="s">
        <v>1013</v>
      </c>
      <c r="K223" s="15">
        <v>13</v>
      </c>
      <c r="L223" s="101" t="s">
        <v>346</v>
      </c>
      <c r="M223" s="206">
        <v>27</v>
      </c>
      <c r="N223" s="209">
        <v>3502</v>
      </c>
      <c r="O223" s="207" t="s">
        <v>38</v>
      </c>
      <c r="P223" s="6" t="s">
        <v>1028</v>
      </c>
      <c r="Q223" s="14" t="s">
        <v>1029</v>
      </c>
      <c r="R223" s="14" t="s">
        <v>1029</v>
      </c>
      <c r="S223" s="17" t="s">
        <v>134</v>
      </c>
      <c r="T223" s="6" t="s">
        <v>1030</v>
      </c>
      <c r="U223" s="14" t="s">
        <v>1031</v>
      </c>
      <c r="V223" s="14" t="s">
        <v>1031</v>
      </c>
      <c r="W223" s="48" t="s">
        <v>1032</v>
      </c>
      <c r="X223" s="6" t="s">
        <v>8</v>
      </c>
      <c r="Y223" s="6">
        <f>5+7</f>
        <v>12</v>
      </c>
      <c r="Z223" s="6">
        <f>5+7</f>
        <v>12</v>
      </c>
      <c r="AA223" s="6">
        <f>5+7</f>
        <v>12</v>
      </c>
      <c r="AB223" s="6">
        <f>5+7</f>
        <v>12</v>
      </c>
      <c r="AC223" s="6">
        <f>5+7</f>
        <v>12</v>
      </c>
      <c r="AD223" s="50">
        <f t="shared" si="91"/>
        <v>60361200</v>
      </c>
      <c r="AE223" s="52">
        <f>42500000+17861200</f>
        <v>60361200</v>
      </c>
      <c r="AF223" s="52"/>
      <c r="AG223" s="52"/>
      <c r="AH223" s="52"/>
      <c r="AI223" s="52"/>
      <c r="AJ223" s="52"/>
      <c r="AK223" s="52"/>
      <c r="AL223" s="52"/>
      <c r="AM223" s="52"/>
      <c r="AN223" s="52"/>
      <c r="AO223" s="52">
        <f t="shared" si="92"/>
        <v>54430600</v>
      </c>
      <c r="AP223" s="52">
        <f>37000000+17430600</f>
        <v>54430600</v>
      </c>
      <c r="AQ223" s="52"/>
      <c r="AR223" s="52"/>
      <c r="AS223" s="52"/>
      <c r="AT223" s="52"/>
      <c r="AU223" s="52"/>
      <c r="AV223" s="52"/>
      <c r="AW223" s="52"/>
      <c r="AX223" s="52"/>
      <c r="AY223" s="52"/>
      <c r="AZ223" s="52">
        <f t="shared" si="93"/>
        <v>2597510000</v>
      </c>
      <c r="BA223" s="52">
        <f>50000000+47510000</f>
        <v>97510000</v>
      </c>
      <c r="BB223" s="52"/>
      <c r="BC223" s="52"/>
      <c r="BD223" s="52"/>
      <c r="BE223" s="52"/>
      <c r="BF223" s="52"/>
      <c r="BG223" s="52">
        <v>2500000000</v>
      </c>
      <c r="BH223" s="52"/>
      <c r="BI223" s="52"/>
      <c r="BJ223" s="52"/>
      <c r="BK223" s="52">
        <f t="shared" si="94"/>
        <v>2599726800</v>
      </c>
      <c r="BL223" s="52">
        <f>51396800+48330000</f>
        <v>99726800</v>
      </c>
      <c r="BM223" s="52"/>
      <c r="BN223" s="52"/>
      <c r="BO223" s="52"/>
      <c r="BP223" s="52"/>
      <c r="BQ223" s="52"/>
      <c r="BR223" s="52">
        <v>2500000000</v>
      </c>
      <c r="BS223" s="52"/>
      <c r="BT223" s="52"/>
      <c r="BU223" s="53"/>
      <c r="BV223" s="54">
        <f t="shared" si="95"/>
        <v>5312028600</v>
      </c>
      <c r="BW223" s="77"/>
    </row>
    <row r="224" spans="1:75" s="190" customFormat="1" ht="115.5" customHeight="1" x14ac:dyDescent="0.2">
      <c r="A224" s="206">
        <v>2</v>
      </c>
      <c r="B224" s="216" t="s">
        <v>33</v>
      </c>
      <c r="C224" s="17" t="s">
        <v>343</v>
      </c>
      <c r="D224" s="17" t="s">
        <v>1701</v>
      </c>
      <c r="E224" s="16" t="s">
        <v>1009</v>
      </c>
      <c r="F224" s="6" t="s">
        <v>1010</v>
      </c>
      <c r="G224" s="17" t="s">
        <v>1011</v>
      </c>
      <c r="H224" s="16" t="s">
        <v>1012</v>
      </c>
      <c r="I224" s="6">
        <v>35</v>
      </c>
      <c r="J224" s="101" t="s">
        <v>1013</v>
      </c>
      <c r="K224" s="15">
        <v>13</v>
      </c>
      <c r="L224" s="101" t="s">
        <v>346</v>
      </c>
      <c r="M224" s="206">
        <v>27</v>
      </c>
      <c r="N224" s="209">
        <v>3502</v>
      </c>
      <c r="O224" s="207" t="s">
        <v>38</v>
      </c>
      <c r="P224" s="6" t="s">
        <v>1014</v>
      </c>
      <c r="Q224" s="14" t="s">
        <v>1015</v>
      </c>
      <c r="R224" s="14" t="s">
        <v>1015</v>
      </c>
      <c r="S224" s="17" t="s">
        <v>133</v>
      </c>
      <c r="T224" s="6" t="s">
        <v>1016</v>
      </c>
      <c r="U224" s="14" t="s">
        <v>1017</v>
      </c>
      <c r="V224" s="14" t="s">
        <v>1017</v>
      </c>
      <c r="W224" s="48" t="s">
        <v>1018</v>
      </c>
      <c r="X224" s="6" t="s">
        <v>8</v>
      </c>
      <c r="Y224" s="6">
        <v>6</v>
      </c>
      <c r="Z224" s="6">
        <v>6</v>
      </c>
      <c r="AA224" s="6">
        <v>6</v>
      </c>
      <c r="AB224" s="6">
        <v>6</v>
      </c>
      <c r="AC224" s="6">
        <v>6</v>
      </c>
      <c r="AD224" s="50">
        <f t="shared" si="91"/>
        <v>22138800</v>
      </c>
      <c r="AE224" s="52">
        <v>22138800</v>
      </c>
      <c r="AF224" s="52"/>
      <c r="AG224" s="52"/>
      <c r="AH224" s="52"/>
      <c r="AI224" s="52"/>
      <c r="AJ224" s="52"/>
      <c r="AK224" s="52"/>
      <c r="AL224" s="52"/>
      <c r="AM224" s="52"/>
      <c r="AN224" s="52"/>
      <c r="AO224" s="52">
        <f t="shared" si="92"/>
        <v>17430600</v>
      </c>
      <c r="AP224" s="52">
        <v>17430600</v>
      </c>
      <c r="AQ224" s="52"/>
      <c r="AR224" s="52"/>
      <c r="AS224" s="52"/>
      <c r="AT224" s="52"/>
      <c r="AU224" s="52"/>
      <c r="AV224" s="52"/>
      <c r="AW224" s="52"/>
      <c r="AX224" s="52"/>
      <c r="AY224" s="52"/>
      <c r="AZ224" s="52">
        <f t="shared" si="93"/>
        <v>49000000</v>
      </c>
      <c r="BA224" s="52">
        <v>49000000</v>
      </c>
      <c r="BB224" s="52"/>
      <c r="BC224" s="52"/>
      <c r="BD224" s="52"/>
      <c r="BE224" s="52"/>
      <c r="BF224" s="52"/>
      <c r="BG224" s="52"/>
      <c r="BH224" s="52"/>
      <c r="BI224" s="52"/>
      <c r="BJ224" s="52"/>
      <c r="BK224" s="52">
        <f t="shared" si="94"/>
        <v>49000000</v>
      </c>
      <c r="BL224" s="52">
        <v>49000000</v>
      </c>
      <c r="BM224" s="52"/>
      <c r="BN224" s="52"/>
      <c r="BO224" s="52"/>
      <c r="BP224" s="52"/>
      <c r="BQ224" s="52"/>
      <c r="BR224" s="52"/>
      <c r="BS224" s="52"/>
      <c r="BT224" s="52"/>
      <c r="BU224" s="53"/>
      <c r="BV224" s="54">
        <f t="shared" si="95"/>
        <v>137569400</v>
      </c>
      <c r="BW224" s="55"/>
    </row>
    <row r="225" spans="1:75" s="190" customFormat="1" ht="110.25" customHeight="1" x14ac:dyDescent="0.2">
      <c r="A225" s="206">
        <v>2</v>
      </c>
      <c r="B225" s="216" t="s">
        <v>33</v>
      </c>
      <c r="C225" s="17" t="s">
        <v>343</v>
      </c>
      <c r="D225" s="17" t="s">
        <v>1019</v>
      </c>
      <c r="E225" s="16" t="s">
        <v>1020</v>
      </c>
      <c r="F225" s="6" t="s">
        <v>1021</v>
      </c>
      <c r="G225" s="17" t="s">
        <v>1022</v>
      </c>
      <c r="H225" s="16" t="s">
        <v>1697</v>
      </c>
      <c r="I225" s="6">
        <v>35</v>
      </c>
      <c r="J225" s="101" t="s">
        <v>1013</v>
      </c>
      <c r="K225" s="15">
        <v>13</v>
      </c>
      <c r="L225" s="101" t="s">
        <v>346</v>
      </c>
      <c r="M225" s="206">
        <v>27</v>
      </c>
      <c r="N225" s="209">
        <v>3502</v>
      </c>
      <c r="O225" s="207" t="s">
        <v>38</v>
      </c>
      <c r="P225" s="6" t="s">
        <v>1033</v>
      </c>
      <c r="Q225" s="14" t="s">
        <v>1034</v>
      </c>
      <c r="R225" s="14">
        <v>3502022</v>
      </c>
      <c r="S225" s="17" t="s">
        <v>104</v>
      </c>
      <c r="T225" s="6" t="s">
        <v>1035</v>
      </c>
      <c r="U225" s="14" t="s">
        <v>1036</v>
      </c>
      <c r="V225" s="14" t="s">
        <v>1036</v>
      </c>
      <c r="W225" s="48" t="s">
        <v>1037</v>
      </c>
      <c r="X225" s="6" t="s">
        <v>8</v>
      </c>
      <c r="Y225" s="6">
        <v>14</v>
      </c>
      <c r="Z225" s="6">
        <v>14</v>
      </c>
      <c r="AA225" s="6">
        <v>14</v>
      </c>
      <c r="AB225" s="6">
        <v>14</v>
      </c>
      <c r="AC225" s="6">
        <v>14</v>
      </c>
      <c r="AD225" s="50">
        <f t="shared" si="91"/>
        <v>189600000</v>
      </c>
      <c r="AE225" s="52">
        <v>189600000</v>
      </c>
      <c r="AF225" s="52"/>
      <c r="AG225" s="52"/>
      <c r="AH225" s="52"/>
      <c r="AI225" s="52"/>
      <c r="AJ225" s="52"/>
      <c r="AK225" s="52"/>
      <c r="AL225" s="52"/>
      <c r="AM225" s="52"/>
      <c r="AN225" s="52"/>
      <c r="AO225" s="52">
        <f t="shared" si="92"/>
        <v>90000000</v>
      </c>
      <c r="AP225" s="52">
        <v>90000000</v>
      </c>
      <c r="AQ225" s="52"/>
      <c r="AR225" s="52"/>
      <c r="AS225" s="52"/>
      <c r="AT225" s="52"/>
      <c r="AU225" s="52"/>
      <c r="AV225" s="52"/>
      <c r="AW225" s="52"/>
      <c r="AX225" s="52"/>
      <c r="AY225" s="52"/>
      <c r="AZ225" s="52">
        <f t="shared" si="93"/>
        <v>345598568</v>
      </c>
      <c r="BA225" s="52">
        <f>120000000+225598568</f>
        <v>345598568</v>
      </c>
      <c r="BB225" s="52"/>
      <c r="BC225" s="52">
        <f>BB22873</f>
        <v>0</v>
      </c>
      <c r="BD225" s="52"/>
      <c r="BE225" s="52"/>
      <c r="BF225" s="52"/>
      <c r="BG225" s="52"/>
      <c r="BH225" s="52"/>
      <c r="BI225" s="52"/>
      <c r="BJ225" s="52"/>
      <c r="BK225" s="52">
        <f t="shared" si="94"/>
        <v>419634480</v>
      </c>
      <c r="BL225" s="52">
        <f>115000000+54634480+250000000</f>
        <v>419634480</v>
      </c>
      <c r="BM225" s="52"/>
      <c r="BN225" s="52"/>
      <c r="BO225" s="52"/>
      <c r="BP225" s="52"/>
      <c r="BQ225" s="52"/>
      <c r="BR225" s="52"/>
      <c r="BS225" s="52"/>
      <c r="BT225" s="52"/>
      <c r="BU225" s="53"/>
      <c r="BV225" s="54">
        <f t="shared" si="95"/>
        <v>1044833048</v>
      </c>
      <c r="BW225" s="55"/>
    </row>
    <row r="226" spans="1:75" s="190" customFormat="1" ht="110.25" customHeight="1" x14ac:dyDescent="0.2">
      <c r="A226" s="206">
        <v>2</v>
      </c>
      <c r="B226" s="216" t="s">
        <v>33</v>
      </c>
      <c r="C226" s="17" t="s">
        <v>343</v>
      </c>
      <c r="D226" s="17" t="s">
        <v>39</v>
      </c>
      <c r="E226" s="16" t="s">
        <v>1038</v>
      </c>
      <c r="F226" s="6" t="s">
        <v>1021</v>
      </c>
      <c r="G226" s="17" t="s">
        <v>1039</v>
      </c>
      <c r="H226" s="16" t="s">
        <v>1704</v>
      </c>
      <c r="I226" s="6">
        <v>35</v>
      </c>
      <c r="J226" s="101" t="s">
        <v>1013</v>
      </c>
      <c r="K226" s="15">
        <v>13</v>
      </c>
      <c r="L226" s="101" t="s">
        <v>346</v>
      </c>
      <c r="M226" s="206">
        <v>27</v>
      </c>
      <c r="N226" s="209">
        <v>3502</v>
      </c>
      <c r="O226" s="207" t="s">
        <v>38</v>
      </c>
      <c r="P226" s="6" t="s">
        <v>1040</v>
      </c>
      <c r="Q226" s="14" t="s">
        <v>1041</v>
      </c>
      <c r="R226" s="14" t="s">
        <v>1041</v>
      </c>
      <c r="S226" s="17" t="s">
        <v>106</v>
      </c>
      <c r="T226" s="6" t="s">
        <v>1042</v>
      </c>
      <c r="U226" s="14" t="s">
        <v>1043</v>
      </c>
      <c r="V226" s="14">
        <v>350203900</v>
      </c>
      <c r="W226" s="48" t="s">
        <v>333</v>
      </c>
      <c r="X226" s="6" t="s">
        <v>8</v>
      </c>
      <c r="Y226" s="6">
        <v>12</v>
      </c>
      <c r="Z226" s="6">
        <v>12</v>
      </c>
      <c r="AA226" s="6">
        <v>12</v>
      </c>
      <c r="AB226" s="6">
        <v>12</v>
      </c>
      <c r="AC226" s="6">
        <v>12</v>
      </c>
      <c r="AD226" s="50">
        <f t="shared" si="91"/>
        <v>183639999</v>
      </c>
      <c r="AE226" s="52">
        <v>183639999</v>
      </c>
      <c r="AF226" s="52"/>
      <c r="AG226" s="52"/>
      <c r="AH226" s="52"/>
      <c r="AI226" s="52"/>
      <c r="AJ226" s="52"/>
      <c r="AK226" s="52"/>
      <c r="AL226" s="52"/>
      <c r="AM226" s="52"/>
      <c r="AN226" s="52"/>
      <c r="AO226" s="52">
        <f t="shared" si="92"/>
        <v>80000000</v>
      </c>
      <c r="AP226" s="52">
        <v>80000000</v>
      </c>
      <c r="AQ226" s="52"/>
      <c r="AR226" s="52"/>
      <c r="AS226" s="52"/>
      <c r="AT226" s="52"/>
      <c r="AU226" s="52"/>
      <c r="AV226" s="52"/>
      <c r="AW226" s="52"/>
      <c r="AX226" s="52"/>
      <c r="AY226" s="52"/>
      <c r="AZ226" s="52">
        <f t="shared" si="93"/>
        <v>127000000</v>
      </c>
      <c r="BA226" s="52">
        <v>127000000</v>
      </c>
      <c r="BB226" s="52"/>
      <c r="BC226" s="52"/>
      <c r="BD226" s="52"/>
      <c r="BE226" s="52"/>
      <c r="BF226" s="52"/>
      <c r="BG226" s="52"/>
      <c r="BH226" s="52"/>
      <c r="BI226" s="52"/>
      <c r="BJ226" s="52"/>
      <c r="BK226" s="52">
        <f t="shared" si="94"/>
        <v>155000000</v>
      </c>
      <c r="BL226" s="52">
        <v>155000000</v>
      </c>
      <c r="BM226" s="52"/>
      <c r="BN226" s="52"/>
      <c r="BO226" s="52"/>
      <c r="BP226" s="52"/>
      <c r="BQ226" s="52"/>
      <c r="BR226" s="52"/>
      <c r="BS226" s="52"/>
      <c r="BT226" s="52"/>
      <c r="BU226" s="53"/>
      <c r="BV226" s="54">
        <f t="shared" si="95"/>
        <v>545639999</v>
      </c>
      <c r="BW226" s="55"/>
    </row>
    <row r="227" spans="1:75" s="190" customFormat="1" ht="110.25" customHeight="1" x14ac:dyDescent="0.2">
      <c r="A227" s="206">
        <v>2</v>
      </c>
      <c r="B227" s="216" t="s">
        <v>33</v>
      </c>
      <c r="C227" s="17" t="s">
        <v>343</v>
      </c>
      <c r="D227" s="17" t="s">
        <v>39</v>
      </c>
      <c r="E227" s="16" t="s">
        <v>1038</v>
      </c>
      <c r="F227" s="6" t="s">
        <v>1021</v>
      </c>
      <c r="G227" s="17" t="s">
        <v>1039</v>
      </c>
      <c r="H227" s="16" t="s">
        <v>1704</v>
      </c>
      <c r="I227" s="6">
        <v>35</v>
      </c>
      <c r="J227" s="101" t="s">
        <v>1013</v>
      </c>
      <c r="K227" s="15">
        <v>13</v>
      </c>
      <c r="L227" s="101" t="s">
        <v>346</v>
      </c>
      <c r="M227" s="206">
        <v>27</v>
      </c>
      <c r="N227" s="209">
        <v>3502</v>
      </c>
      <c r="O227" s="207" t="s">
        <v>38</v>
      </c>
      <c r="P227" s="6" t="s">
        <v>1040</v>
      </c>
      <c r="Q227" s="14" t="s">
        <v>1041</v>
      </c>
      <c r="R227" s="14" t="s">
        <v>1041</v>
      </c>
      <c r="S227" s="17" t="s">
        <v>106</v>
      </c>
      <c r="T227" s="6" t="s">
        <v>1044</v>
      </c>
      <c r="U227" s="14" t="s">
        <v>1045</v>
      </c>
      <c r="V227" s="14" t="s">
        <v>1045</v>
      </c>
      <c r="W227" s="48" t="s">
        <v>1046</v>
      </c>
      <c r="X227" s="6" t="s">
        <v>9</v>
      </c>
      <c r="Y227" s="6">
        <v>6</v>
      </c>
      <c r="Z227" s="6">
        <v>1</v>
      </c>
      <c r="AA227" s="6">
        <v>1</v>
      </c>
      <c r="AB227" s="6">
        <v>2</v>
      </c>
      <c r="AC227" s="6">
        <v>2</v>
      </c>
      <c r="AD227" s="50">
        <f t="shared" si="91"/>
        <v>2136245001</v>
      </c>
      <c r="AE227" s="52">
        <f>286245001-50000000-100000000</f>
        <v>136245001</v>
      </c>
      <c r="AF227" s="52"/>
      <c r="AG227" s="52"/>
      <c r="AH227" s="52"/>
      <c r="AI227" s="52"/>
      <c r="AJ227" s="52"/>
      <c r="AK227" s="52">
        <v>2000000000</v>
      </c>
      <c r="AL227" s="52"/>
      <c r="AM227" s="52"/>
      <c r="AN227" s="52"/>
      <c r="AO227" s="52">
        <f t="shared" si="92"/>
        <v>100000000</v>
      </c>
      <c r="AP227" s="52">
        <v>100000000</v>
      </c>
      <c r="AQ227" s="52"/>
      <c r="AR227" s="52"/>
      <c r="AS227" s="52"/>
      <c r="AT227" s="52"/>
      <c r="AU227" s="52"/>
      <c r="AV227" s="52"/>
      <c r="AW227" s="52"/>
      <c r="AX227" s="52"/>
      <c r="AY227" s="52"/>
      <c r="AZ227" s="52">
        <f t="shared" si="93"/>
        <v>350000000</v>
      </c>
      <c r="BA227" s="52">
        <f>250000000+100000000</f>
        <v>350000000</v>
      </c>
      <c r="BB227" s="52"/>
      <c r="BC227" s="52"/>
      <c r="BD227" s="52"/>
      <c r="BE227" s="52"/>
      <c r="BF227" s="52"/>
      <c r="BG227" s="52"/>
      <c r="BH227" s="52"/>
      <c r="BI227" s="52"/>
      <c r="BJ227" s="52"/>
      <c r="BK227" s="52">
        <f t="shared" si="94"/>
        <v>600000000</v>
      </c>
      <c r="BL227" s="52">
        <f>400000000+200000000</f>
        <v>600000000</v>
      </c>
      <c r="BM227" s="52"/>
      <c r="BN227" s="52"/>
      <c r="BO227" s="52"/>
      <c r="BP227" s="52"/>
      <c r="BQ227" s="52"/>
      <c r="BR227" s="52"/>
      <c r="BS227" s="52"/>
      <c r="BT227" s="52"/>
      <c r="BU227" s="53"/>
      <c r="BV227" s="54">
        <f t="shared" si="95"/>
        <v>3186245001</v>
      </c>
      <c r="BW227" s="55"/>
    </row>
    <row r="228" spans="1:75" s="190" customFormat="1" ht="110.25" customHeight="1" x14ac:dyDescent="0.2">
      <c r="A228" s="206">
        <v>2</v>
      </c>
      <c r="B228" s="216" t="s">
        <v>33</v>
      </c>
      <c r="C228" s="17" t="s">
        <v>343</v>
      </c>
      <c r="D228" s="17" t="s">
        <v>39</v>
      </c>
      <c r="E228" s="16" t="s">
        <v>1038</v>
      </c>
      <c r="F228" s="6" t="s">
        <v>1021</v>
      </c>
      <c r="G228" s="17" t="s">
        <v>1039</v>
      </c>
      <c r="H228" s="16" t="s">
        <v>1704</v>
      </c>
      <c r="I228" s="6">
        <v>35</v>
      </c>
      <c r="J228" s="101" t="s">
        <v>1013</v>
      </c>
      <c r="K228" s="15">
        <v>13</v>
      </c>
      <c r="L228" s="101" t="s">
        <v>346</v>
      </c>
      <c r="M228" s="206">
        <v>27</v>
      </c>
      <c r="N228" s="209">
        <v>3502</v>
      </c>
      <c r="O228" s="207" t="s">
        <v>38</v>
      </c>
      <c r="P228" s="6" t="s">
        <v>1047</v>
      </c>
      <c r="Q228" s="14" t="s">
        <v>1048</v>
      </c>
      <c r="R228" s="14" t="s">
        <v>1048</v>
      </c>
      <c r="S228" s="17" t="s">
        <v>107</v>
      </c>
      <c r="T228" s="6" t="s">
        <v>1049</v>
      </c>
      <c r="U228" s="14">
        <v>350204600</v>
      </c>
      <c r="V228" s="14">
        <v>350204600</v>
      </c>
      <c r="W228" s="48" t="s">
        <v>1050</v>
      </c>
      <c r="X228" s="6" t="s">
        <v>9</v>
      </c>
      <c r="Y228" s="6">
        <v>4</v>
      </c>
      <c r="Z228" s="6">
        <v>1</v>
      </c>
      <c r="AA228" s="6">
        <v>1</v>
      </c>
      <c r="AB228" s="6">
        <v>1</v>
      </c>
      <c r="AC228" s="6">
        <v>1</v>
      </c>
      <c r="AD228" s="50">
        <f t="shared" si="91"/>
        <v>545981904.85000002</v>
      </c>
      <c r="AE228" s="52"/>
      <c r="AF228" s="52">
        <v>545981904.85000002</v>
      </c>
      <c r="AG228" s="52"/>
      <c r="AH228" s="52"/>
      <c r="AI228" s="52"/>
      <c r="AJ228" s="52"/>
      <c r="AK228" s="52"/>
      <c r="AL228" s="52"/>
      <c r="AM228" s="52"/>
      <c r="AN228" s="52"/>
      <c r="AO228" s="52">
        <f t="shared" si="92"/>
        <v>546250367</v>
      </c>
      <c r="AP228" s="52"/>
      <c r="AQ228" s="52">
        <f>516250367+30000000</f>
        <v>546250367</v>
      </c>
      <c r="AR228" s="52"/>
      <c r="AS228" s="52"/>
      <c r="AT228" s="52"/>
      <c r="AU228" s="52"/>
      <c r="AV228" s="52"/>
      <c r="AW228" s="52"/>
      <c r="AX228" s="52"/>
      <c r="AY228" s="52"/>
      <c r="AZ228" s="52">
        <f t="shared" si="93"/>
        <v>648205113</v>
      </c>
      <c r="BA228" s="52"/>
      <c r="BB228" s="52">
        <f>598205113+50000000</f>
        <v>648205113</v>
      </c>
      <c r="BC228" s="52"/>
      <c r="BD228" s="52"/>
      <c r="BE228" s="52"/>
      <c r="BF228" s="52"/>
      <c r="BG228" s="52"/>
      <c r="BH228" s="52"/>
      <c r="BI228" s="52"/>
      <c r="BJ228" s="52"/>
      <c r="BK228" s="52">
        <f t="shared" si="94"/>
        <v>734612518</v>
      </c>
      <c r="BL228" s="52"/>
      <c r="BM228" s="52">
        <f>684612518+50000000</f>
        <v>734612518</v>
      </c>
      <c r="BN228" s="52"/>
      <c r="BO228" s="52"/>
      <c r="BP228" s="52"/>
      <c r="BQ228" s="52"/>
      <c r="BR228" s="52"/>
      <c r="BS228" s="52"/>
      <c r="BT228" s="52"/>
      <c r="BU228" s="53"/>
      <c r="BV228" s="54">
        <f t="shared" si="95"/>
        <v>2475049902.8499999</v>
      </c>
      <c r="BW228" s="55"/>
    </row>
    <row r="229" spans="1:75" s="190" customFormat="1" ht="110.25" customHeight="1" x14ac:dyDescent="0.2">
      <c r="A229" s="206">
        <v>2</v>
      </c>
      <c r="B229" s="216" t="s">
        <v>33</v>
      </c>
      <c r="C229" s="17" t="s">
        <v>343</v>
      </c>
      <c r="D229" s="17" t="s">
        <v>1019</v>
      </c>
      <c r="E229" s="16" t="s">
        <v>1020</v>
      </c>
      <c r="F229" s="6" t="s">
        <v>1021</v>
      </c>
      <c r="G229" s="17" t="s">
        <v>1022</v>
      </c>
      <c r="H229" s="16" t="s">
        <v>1697</v>
      </c>
      <c r="I229" s="6">
        <v>35</v>
      </c>
      <c r="J229" s="101" t="s">
        <v>1013</v>
      </c>
      <c r="K229" s="15">
        <v>13</v>
      </c>
      <c r="L229" s="101" t="s">
        <v>346</v>
      </c>
      <c r="M229" s="206">
        <v>27</v>
      </c>
      <c r="N229" s="209">
        <v>3502</v>
      </c>
      <c r="O229" s="207" t="s">
        <v>38</v>
      </c>
      <c r="P229" s="6" t="s">
        <v>1051</v>
      </c>
      <c r="Q229" s="14" t="s">
        <v>1052</v>
      </c>
      <c r="R229" s="14" t="s">
        <v>1052</v>
      </c>
      <c r="S229" s="17" t="s">
        <v>105</v>
      </c>
      <c r="T229" s="6" t="s">
        <v>1053</v>
      </c>
      <c r="U229" s="14" t="s">
        <v>1054</v>
      </c>
      <c r="V229" s="14" t="s">
        <v>1054</v>
      </c>
      <c r="W229" s="48" t="s">
        <v>851</v>
      </c>
      <c r="X229" s="6" t="s">
        <v>9</v>
      </c>
      <c r="Y229" s="6">
        <v>2</v>
      </c>
      <c r="Z229" s="6">
        <f>Y229*30%</f>
        <v>0.6</v>
      </c>
      <c r="AA229" s="78">
        <v>1.4</v>
      </c>
      <c r="AB229" s="6"/>
      <c r="AC229" s="6"/>
      <c r="AD229" s="50">
        <f t="shared" si="91"/>
        <v>56519937</v>
      </c>
      <c r="AE229" s="52">
        <f>20000000+36519937</f>
        <v>56519937</v>
      </c>
      <c r="AF229" s="52"/>
      <c r="AG229" s="52"/>
      <c r="AH229" s="52"/>
      <c r="AI229" s="52"/>
      <c r="AJ229" s="52"/>
      <c r="AK229" s="52"/>
      <c r="AL229" s="52"/>
      <c r="AM229" s="52"/>
      <c r="AN229" s="52"/>
      <c r="AO229" s="52">
        <f t="shared" si="92"/>
        <v>130000000</v>
      </c>
      <c r="AP229" s="52">
        <v>130000000</v>
      </c>
      <c r="AQ229" s="52"/>
      <c r="AR229" s="52"/>
      <c r="AS229" s="52"/>
      <c r="AT229" s="52"/>
      <c r="AU229" s="52"/>
      <c r="AV229" s="52"/>
      <c r="AW229" s="52"/>
      <c r="AX229" s="52"/>
      <c r="AY229" s="52"/>
      <c r="AZ229" s="52">
        <f t="shared" si="93"/>
        <v>0</v>
      </c>
      <c r="BA229" s="52"/>
      <c r="BB229" s="52"/>
      <c r="BC229" s="52"/>
      <c r="BD229" s="52"/>
      <c r="BE229" s="52"/>
      <c r="BF229" s="52"/>
      <c r="BG229" s="52"/>
      <c r="BH229" s="52"/>
      <c r="BI229" s="52"/>
      <c r="BJ229" s="52"/>
      <c r="BK229" s="52">
        <f t="shared" si="94"/>
        <v>0</v>
      </c>
      <c r="BL229" s="52"/>
      <c r="BM229" s="52"/>
      <c r="BN229" s="52"/>
      <c r="BO229" s="52"/>
      <c r="BP229" s="52"/>
      <c r="BQ229" s="52"/>
      <c r="BR229" s="52"/>
      <c r="BS229" s="52"/>
      <c r="BT229" s="52"/>
      <c r="BU229" s="53"/>
      <c r="BV229" s="54">
        <f t="shared" si="95"/>
        <v>186519937</v>
      </c>
      <c r="BW229" s="77"/>
    </row>
    <row r="230" spans="1:75" s="190" customFormat="1" ht="110.25" customHeight="1" x14ac:dyDescent="0.2">
      <c r="A230" s="206">
        <v>2</v>
      </c>
      <c r="B230" s="216" t="s">
        <v>33</v>
      </c>
      <c r="C230" s="56" t="s">
        <v>396</v>
      </c>
      <c r="D230" s="17" t="s">
        <v>1619</v>
      </c>
      <c r="E230" s="16" t="s">
        <v>1038</v>
      </c>
      <c r="F230" s="6" t="s">
        <v>1021</v>
      </c>
      <c r="G230" s="17" t="s">
        <v>1039</v>
      </c>
      <c r="H230" s="16" t="s">
        <v>1704</v>
      </c>
      <c r="I230" s="83">
        <v>35</v>
      </c>
      <c r="J230" s="6" t="s">
        <v>1013</v>
      </c>
      <c r="K230" s="15">
        <v>13</v>
      </c>
      <c r="L230" s="6" t="s">
        <v>346</v>
      </c>
      <c r="M230" s="206">
        <v>27</v>
      </c>
      <c r="N230" s="209">
        <v>3502</v>
      </c>
      <c r="O230" s="207" t="s">
        <v>38</v>
      </c>
      <c r="P230" s="6" t="s">
        <v>1055</v>
      </c>
      <c r="Q230" s="14">
        <v>3502084</v>
      </c>
      <c r="R230" s="14">
        <v>3502084</v>
      </c>
      <c r="S230" s="56" t="s">
        <v>40</v>
      </c>
      <c r="T230" s="6" t="s">
        <v>1056</v>
      </c>
      <c r="U230" s="14">
        <v>350208400</v>
      </c>
      <c r="V230" s="14">
        <v>350208400</v>
      </c>
      <c r="W230" s="57" t="s">
        <v>40</v>
      </c>
      <c r="X230" s="14" t="s">
        <v>9</v>
      </c>
      <c r="Y230" s="6">
        <v>1</v>
      </c>
      <c r="Z230" s="6">
        <v>0.5</v>
      </c>
      <c r="AA230" s="6">
        <v>0.5</v>
      </c>
      <c r="AB230" s="17"/>
      <c r="AC230" s="17"/>
      <c r="AD230" s="50">
        <f t="shared" si="91"/>
        <v>1501000000</v>
      </c>
      <c r="AE230" s="52">
        <v>1000000</v>
      </c>
      <c r="AF230" s="52"/>
      <c r="AG230" s="52"/>
      <c r="AH230" s="52"/>
      <c r="AI230" s="52"/>
      <c r="AJ230" s="52"/>
      <c r="AK230" s="52">
        <v>1500000000</v>
      </c>
      <c r="AL230" s="52"/>
      <c r="AM230" s="52"/>
      <c r="AN230" s="52"/>
      <c r="AO230" s="52">
        <f t="shared" si="92"/>
        <v>1900000</v>
      </c>
      <c r="AP230" s="52">
        <v>1900000</v>
      </c>
      <c r="AQ230" s="52"/>
      <c r="AR230" s="52"/>
      <c r="AS230" s="52"/>
      <c r="AT230" s="52"/>
      <c r="AU230" s="52"/>
      <c r="AV230" s="52"/>
      <c r="AW230" s="52"/>
      <c r="AX230" s="52"/>
      <c r="AY230" s="52"/>
      <c r="AZ230" s="52">
        <f t="shared" si="93"/>
        <v>0</v>
      </c>
      <c r="BA230" s="52"/>
      <c r="BB230" s="52"/>
      <c r="BC230" s="52"/>
      <c r="BD230" s="52"/>
      <c r="BE230" s="52"/>
      <c r="BF230" s="52"/>
      <c r="BG230" s="52"/>
      <c r="BH230" s="52"/>
      <c r="BI230" s="52"/>
      <c r="BJ230" s="52"/>
      <c r="BK230" s="52">
        <f t="shared" si="94"/>
        <v>0</v>
      </c>
      <c r="BL230" s="52"/>
      <c r="BM230" s="52"/>
      <c r="BN230" s="52"/>
      <c r="BO230" s="52"/>
      <c r="BP230" s="52"/>
      <c r="BQ230" s="52"/>
      <c r="BR230" s="52"/>
      <c r="BS230" s="52"/>
      <c r="BT230" s="52"/>
      <c r="BU230" s="53"/>
      <c r="BV230" s="54">
        <f t="shared" si="95"/>
        <v>1502900000</v>
      </c>
      <c r="BW230" s="55"/>
    </row>
    <row r="231" spans="1:75" ht="36" customHeight="1" x14ac:dyDescent="0.25">
      <c r="A231" s="23"/>
      <c r="B231" s="217"/>
      <c r="C231" s="34"/>
      <c r="D231" s="34"/>
      <c r="E231" s="37"/>
      <c r="F231" s="34"/>
      <c r="G231" s="34"/>
      <c r="H231" s="37"/>
      <c r="I231" s="34"/>
      <c r="J231" s="34"/>
      <c r="K231" s="34"/>
      <c r="L231" s="34"/>
      <c r="M231" s="58">
        <v>28</v>
      </c>
      <c r="N231" s="58">
        <v>3602</v>
      </c>
      <c r="O231" s="59" t="s">
        <v>108</v>
      </c>
      <c r="P231" s="58"/>
      <c r="Q231" s="60"/>
      <c r="R231" s="60"/>
      <c r="S231" s="60"/>
      <c r="T231" s="60"/>
      <c r="U231" s="60"/>
      <c r="V231" s="60"/>
      <c r="W231" s="43"/>
      <c r="X231" s="43"/>
      <c r="Y231" s="44"/>
      <c r="Z231" s="44"/>
      <c r="AA231" s="44"/>
      <c r="AB231" s="44"/>
      <c r="AC231" s="41"/>
      <c r="AD231" s="45">
        <f>SUM(AD232:AD235)</f>
        <v>385685000</v>
      </c>
      <c r="AE231" s="45">
        <f t="shared" ref="AE231:BV231" si="96">SUM(AE232:AE235)</f>
        <v>385685000</v>
      </c>
      <c r="AF231" s="45">
        <f t="shared" si="96"/>
        <v>0</v>
      </c>
      <c r="AG231" s="45">
        <f t="shared" si="96"/>
        <v>0</v>
      </c>
      <c r="AH231" s="45">
        <f t="shared" si="96"/>
        <v>0</v>
      </c>
      <c r="AI231" s="45">
        <f t="shared" si="96"/>
        <v>0</v>
      </c>
      <c r="AJ231" s="45">
        <f t="shared" si="96"/>
        <v>0</v>
      </c>
      <c r="AK231" s="45">
        <f t="shared" si="96"/>
        <v>0</v>
      </c>
      <c r="AL231" s="45">
        <f t="shared" si="96"/>
        <v>0</v>
      </c>
      <c r="AM231" s="45">
        <f t="shared" si="96"/>
        <v>0</v>
      </c>
      <c r="AN231" s="45">
        <f t="shared" si="96"/>
        <v>0</v>
      </c>
      <c r="AO231" s="45">
        <f t="shared" si="96"/>
        <v>237500000</v>
      </c>
      <c r="AP231" s="45">
        <f t="shared" si="96"/>
        <v>237500000</v>
      </c>
      <c r="AQ231" s="45">
        <f t="shared" si="96"/>
        <v>0</v>
      </c>
      <c r="AR231" s="45">
        <f t="shared" si="96"/>
        <v>0</v>
      </c>
      <c r="AS231" s="45">
        <f t="shared" si="96"/>
        <v>0</v>
      </c>
      <c r="AT231" s="45">
        <f t="shared" si="96"/>
        <v>0</v>
      </c>
      <c r="AU231" s="45">
        <f t="shared" si="96"/>
        <v>0</v>
      </c>
      <c r="AV231" s="45">
        <f t="shared" si="96"/>
        <v>0</v>
      </c>
      <c r="AW231" s="45">
        <f t="shared" si="96"/>
        <v>0</v>
      </c>
      <c r="AX231" s="45">
        <f t="shared" si="96"/>
        <v>0</v>
      </c>
      <c r="AY231" s="45">
        <f t="shared" si="96"/>
        <v>0</v>
      </c>
      <c r="AZ231" s="45">
        <f t="shared" si="96"/>
        <v>289530000</v>
      </c>
      <c r="BA231" s="45">
        <f t="shared" si="96"/>
        <v>289530000</v>
      </c>
      <c r="BB231" s="45">
        <f t="shared" si="96"/>
        <v>0</v>
      </c>
      <c r="BC231" s="45">
        <f t="shared" si="96"/>
        <v>0</v>
      </c>
      <c r="BD231" s="45">
        <f t="shared" si="96"/>
        <v>0</v>
      </c>
      <c r="BE231" s="45">
        <f t="shared" si="96"/>
        <v>0</v>
      </c>
      <c r="BF231" s="45">
        <f t="shared" si="96"/>
        <v>0</v>
      </c>
      <c r="BG231" s="45">
        <f t="shared" si="96"/>
        <v>0</v>
      </c>
      <c r="BH231" s="45">
        <f t="shared" si="96"/>
        <v>0</v>
      </c>
      <c r="BI231" s="45">
        <f t="shared" si="96"/>
        <v>0</v>
      </c>
      <c r="BJ231" s="45">
        <f t="shared" si="96"/>
        <v>0</v>
      </c>
      <c r="BK231" s="45">
        <f t="shared" si="96"/>
        <v>687805825</v>
      </c>
      <c r="BL231" s="45">
        <f t="shared" si="96"/>
        <v>687805825</v>
      </c>
      <c r="BM231" s="45">
        <f t="shared" si="96"/>
        <v>0</v>
      </c>
      <c r="BN231" s="45">
        <f t="shared" si="96"/>
        <v>0</v>
      </c>
      <c r="BO231" s="45">
        <f t="shared" si="96"/>
        <v>0</v>
      </c>
      <c r="BP231" s="45">
        <f t="shared" si="96"/>
        <v>0</v>
      </c>
      <c r="BQ231" s="45">
        <f t="shared" si="96"/>
        <v>0</v>
      </c>
      <c r="BR231" s="45">
        <f t="shared" si="96"/>
        <v>0</v>
      </c>
      <c r="BS231" s="45">
        <f t="shared" si="96"/>
        <v>0</v>
      </c>
      <c r="BT231" s="45">
        <f t="shared" si="96"/>
        <v>0</v>
      </c>
      <c r="BU231" s="46">
        <f t="shared" si="96"/>
        <v>0</v>
      </c>
      <c r="BV231" s="45">
        <f t="shared" si="96"/>
        <v>1600520825</v>
      </c>
      <c r="BW231" s="47"/>
    </row>
    <row r="232" spans="1:75" s="190" customFormat="1" ht="110.25" customHeight="1" x14ac:dyDescent="0.2">
      <c r="A232" s="206">
        <v>2</v>
      </c>
      <c r="B232" s="216" t="s">
        <v>33</v>
      </c>
      <c r="C232" s="17" t="s">
        <v>343</v>
      </c>
      <c r="D232" s="17" t="s">
        <v>1057</v>
      </c>
      <c r="E232" s="16" t="s">
        <v>1020</v>
      </c>
      <c r="F232" s="6" t="s">
        <v>1021</v>
      </c>
      <c r="G232" s="17" t="s">
        <v>1058</v>
      </c>
      <c r="H232" s="16" t="s">
        <v>1698</v>
      </c>
      <c r="I232" s="6">
        <v>36</v>
      </c>
      <c r="J232" s="6" t="s">
        <v>1059</v>
      </c>
      <c r="K232" s="15">
        <v>13</v>
      </c>
      <c r="L232" s="6" t="s">
        <v>346</v>
      </c>
      <c r="M232" s="206">
        <v>28</v>
      </c>
      <c r="N232" s="209">
        <v>3602</v>
      </c>
      <c r="O232" s="207" t="s">
        <v>108</v>
      </c>
      <c r="P232" s="6" t="s">
        <v>1060</v>
      </c>
      <c r="Q232" s="14" t="s">
        <v>1061</v>
      </c>
      <c r="R232" s="14" t="s">
        <v>1061</v>
      </c>
      <c r="S232" s="17" t="s">
        <v>109</v>
      </c>
      <c r="T232" s="6" t="s">
        <v>1062</v>
      </c>
      <c r="U232" s="14" t="s">
        <v>1063</v>
      </c>
      <c r="V232" s="14" t="s">
        <v>1063</v>
      </c>
      <c r="W232" s="48" t="s">
        <v>1064</v>
      </c>
      <c r="X232" s="6" t="s">
        <v>9</v>
      </c>
      <c r="Y232" s="6">
        <v>14</v>
      </c>
      <c r="Z232" s="6">
        <v>3</v>
      </c>
      <c r="AA232" s="6">
        <v>3</v>
      </c>
      <c r="AB232" s="6">
        <v>4</v>
      </c>
      <c r="AC232" s="6">
        <v>4</v>
      </c>
      <c r="AD232" s="50">
        <f>AE232+AF232+AG232+AH232+AI232+AJ232+AK232+AL232+AM232+AN232</f>
        <v>273285000</v>
      </c>
      <c r="AE232" s="52">
        <f>173285000+100000000</f>
        <v>273285000</v>
      </c>
      <c r="AF232" s="52"/>
      <c r="AG232" s="52"/>
      <c r="AH232" s="52"/>
      <c r="AI232" s="52"/>
      <c r="AJ232" s="52"/>
      <c r="AK232" s="52"/>
      <c r="AL232" s="52"/>
      <c r="AM232" s="52"/>
      <c r="AN232" s="52"/>
      <c r="AO232" s="52">
        <f>AP232+AQ232+AR232+AS232+AT232+AU232+AV232+AW232+AX232+AY232</f>
        <v>120000000</v>
      </c>
      <c r="AP232" s="52">
        <v>120000000</v>
      </c>
      <c r="AQ232" s="52"/>
      <c r="AR232" s="52"/>
      <c r="AS232" s="52"/>
      <c r="AT232" s="52"/>
      <c r="AU232" s="52"/>
      <c r="AV232" s="52"/>
      <c r="AW232" s="52"/>
      <c r="AX232" s="52"/>
      <c r="AY232" s="52"/>
      <c r="AZ232" s="52">
        <f t="shared" si="93"/>
        <v>150000000</v>
      </c>
      <c r="BA232" s="52">
        <v>150000000</v>
      </c>
      <c r="BB232" s="52"/>
      <c r="BC232" s="52"/>
      <c r="BD232" s="52"/>
      <c r="BE232" s="52"/>
      <c r="BF232" s="52"/>
      <c r="BG232" s="52"/>
      <c r="BH232" s="52"/>
      <c r="BI232" s="52"/>
      <c r="BJ232" s="52"/>
      <c r="BK232" s="52">
        <f>BL232+BM232+BN232+BO232+BP232+BQ232+BR232+BS232+BT232+BU232</f>
        <v>437805825</v>
      </c>
      <c r="BL232" s="52">
        <v>437805825</v>
      </c>
      <c r="BM232" s="52"/>
      <c r="BN232" s="52"/>
      <c r="BO232" s="52"/>
      <c r="BP232" s="52"/>
      <c r="BQ232" s="52"/>
      <c r="BR232" s="52"/>
      <c r="BS232" s="52"/>
      <c r="BT232" s="52"/>
      <c r="BU232" s="53"/>
      <c r="BV232" s="54">
        <f>AD232+AO232+AZ232+BK232</f>
        <v>981090825</v>
      </c>
      <c r="BW232" s="55"/>
    </row>
    <row r="233" spans="1:75" s="190" customFormat="1" ht="112.5" customHeight="1" x14ac:dyDescent="0.2">
      <c r="A233" s="206">
        <v>2</v>
      </c>
      <c r="B233" s="216" t="s">
        <v>33</v>
      </c>
      <c r="C233" s="17" t="s">
        <v>343</v>
      </c>
      <c r="D233" s="17" t="s">
        <v>1057</v>
      </c>
      <c r="E233" s="16" t="s">
        <v>1020</v>
      </c>
      <c r="F233" s="6" t="s">
        <v>1021</v>
      </c>
      <c r="G233" s="17" t="s">
        <v>1058</v>
      </c>
      <c r="H233" s="16" t="s">
        <v>1698</v>
      </c>
      <c r="I233" s="6">
        <v>36</v>
      </c>
      <c r="J233" s="6" t="s">
        <v>1059</v>
      </c>
      <c r="K233" s="15">
        <v>13</v>
      </c>
      <c r="L233" s="6" t="s">
        <v>346</v>
      </c>
      <c r="M233" s="206">
        <v>28</v>
      </c>
      <c r="N233" s="209">
        <v>3602</v>
      </c>
      <c r="O233" s="207" t="s">
        <v>108</v>
      </c>
      <c r="P233" s="6" t="s">
        <v>1065</v>
      </c>
      <c r="Q233" s="14" t="s">
        <v>1066</v>
      </c>
      <c r="R233" s="14" t="s">
        <v>1066</v>
      </c>
      <c r="S233" s="17" t="s">
        <v>1067</v>
      </c>
      <c r="T233" s="6" t="s">
        <v>1068</v>
      </c>
      <c r="U233" s="14" t="s">
        <v>1069</v>
      </c>
      <c r="V233" s="14" t="s">
        <v>1069</v>
      </c>
      <c r="W233" s="48" t="s">
        <v>1070</v>
      </c>
      <c r="X233" s="6" t="s">
        <v>9</v>
      </c>
      <c r="Y233" s="6">
        <v>42</v>
      </c>
      <c r="Z233" s="6">
        <v>5</v>
      </c>
      <c r="AA233" s="6">
        <v>12</v>
      </c>
      <c r="AB233" s="6">
        <v>12</v>
      </c>
      <c r="AC233" s="6">
        <v>13</v>
      </c>
      <c r="AD233" s="50">
        <f>AE233+AF233+AG233+AH233+AI233+AJ233+AK233+AL233+AM233+AN233</f>
        <v>20000000</v>
      </c>
      <c r="AE233" s="52">
        <v>20000000</v>
      </c>
      <c r="AF233" s="52"/>
      <c r="AG233" s="52"/>
      <c r="AH233" s="52"/>
      <c r="AI233" s="52"/>
      <c r="AJ233" s="52"/>
      <c r="AK233" s="52"/>
      <c r="AL233" s="52"/>
      <c r="AM233" s="52"/>
      <c r="AN233" s="52"/>
      <c r="AO233" s="52">
        <f>AP233+AQ233+AR233+AS233+AT233+AU233+AV233+AW233+AX233+AY233</f>
        <v>22500000</v>
      </c>
      <c r="AP233" s="52">
        <v>22500000</v>
      </c>
      <c r="AQ233" s="52"/>
      <c r="AR233" s="52"/>
      <c r="AS233" s="52"/>
      <c r="AT233" s="52"/>
      <c r="AU233" s="52"/>
      <c r="AV233" s="52"/>
      <c r="AW233" s="52"/>
      <c r="AX233" s="52"/>
      <c r="AY233" s="52"/>
      <c r="AZ233" s="52">
        <f t="shared" si="93"/>
        <v>24530000</v>
      </c>
      <c r="BA233" s="52">
        <v>24530000</v>
      </c>
      <c r="BB233" s="52"/>
      <c r="BC233" s="52"/>
      <c r="BD233" s="52"/>
      <c r="BE233" s="52"/>
      <c r="BF233" s="52"/>
      <c r="BG233" s="52"/>
      <c r="BH233" s="52"/>
      <c r="BI233" s="52"/>
      <c r="BJ233" s="52"/>
      <c r="BK233" s="52">
        <f>BL233+BM233+BN233+BO233+BP233+BQ233+BR233+BS233+BT233+BU233</f>
        <v>30000000</v>
      </c>
      <c r="BL233" s="52">
        <v>30000000</v>
      </c>
      <c r="BM233" s="52"/>
      <c r="BN233" s="52"/>
      <c r="BO233" s="52"/>
      <c r="BP233" s="52"/>
      <c r="BQ233" s="52"/>
      <c r="BR233" s="52"/>
      <c r="BS233" s="52"/>
      <c r="BT233" s="52"/>
      <c r="BU233" s="53"/>
      <c r="BV233" s="54">
        <f>AD233+AO233+AZ233+BK233</f>
        <v>97030000</v>
      </c>
      <c r="BW233" s="55"/>
    </row>
    <row r="234" spans="1:75" s="190" customFormat="1" ht="111" customHeight="1" x14ac:dyDescent="0.2">
      <c r="A234" s="206">
        <v>2</v>
      </c>
      <c r="B234" s="216" t="s">
        <v>33</v>
      </c>
      <c r="C234" s="17" t="s">
        <v>343</v>
      </c>
      <c r="D234" s="17" t="s">
        <v>1057</v>
      </c>
      <c r="E234" s="16" t="s">
        <v>1020</v>
      </c>
      <c r="F234" s="6" t="s">
        <v>1021</v>
      </c>
      <c r="G234" s="17" t="s">
        <v>1058</v>
      </c>
      <c r="H234" s="16" t="s">
        <v>1698</v>
      </c>
      <c r="I234" s="6">
        <v>36</v>
      </c>
      <c r="J234" s="6" t="s">
        <v>1059</v>
      </c>
      <c r="K234" s="15">
        <v>13</v>
      </c>
      <c r="L234" s="6" t="s">
        <v>346</v>
      </c>
      <c r="M234" s="206">
        <v>28</v>
      </c>
      <c r="N234" s="209">
        <v>3602</v>
      </c>
      <c r="O234" s="207" t="s">
        <v>108</v>
      </c>
      <c r="P234" s="6" t="s">
        <v>1071</v>
      </c>
      <c r="Q234" s="14">
        <v>3602030</v>
      </c>
      <c r="R234" s="14">
        <v>3602030</v>
      </c>
      <c r="S234" s="17" t="s">
        <v>110</v>
      </c>
      <c r="T234" s="6" t="s">
        <v>1072</v>
      </c>
      <c r="U234" s="14" t="s">
        <v>1073</v>
      </c>
      <c r="V234" s="14" t="s">
        <v>1073</v>
      </c>
      <c r="W234" s="48" t="s">
        <v>1074</v>
      </c>
      <c r="X234" s="6" t="s">
        <v>9</v>
      </c>
      <c r="Y234" s="6">
        <v>12</v>
      </c>
      <c r="Z234" s="6">
        <v>1</v>
      </c>
      <c r="AA234" s="6">
        <v>3</v>
      </c>
      <c r="AB234" s="6">
        <v>4</v>
      </c>
      <c r="AC234" s="6">
        <v>4</v>
      </c>
      <c r="AD234" s="50">
        <f>AE234+AF234+AG234+AH234+AI234+AJ234+AK234+AL234+AM234+AN234</f>
        <v>18000000</v>
      </c>
      <c r="AE234" s="52">
        <v>18000000</v>
      </c>
      <c r="AF234" s="52"/>
      <c r="AG234" s="52"/>
      <c r="AH234" s="52"/>
      <c r="AI234" s="52"/>
      <c r="AJ234" s="52"/>
      <c r="AK234" s="52"/>
      <c r="AL234" s="52"/>
      <c r="AM234" s="52"/>
      <c r="AN234" s="52"/>
      <c r="AO234" s="52">
        <f>AP234+AQ234+AR234+AS234+AT234+AU234+AV234+AW234+AX234+AY234</f>
        <v>35000000</v>
      </c>
      <c r="AP234" s="52">
        <v>35000000</v>
      </c>
      <c r="AQ234" s="52"/>
      <c r="AR234" s="52"/>
      <c r="AS234" s="52"/>
      <c r="AT234" s="52"/>
      <c r="AU234" s="52"/>
      <c r="AV234" s="52"/>
      <c r="AW234" s="52"/>
      <c r="AX234" s="52"/>
      <c r="AY234" s="52"/>
      <c r="AZ234" s="52">
        <f t="shared" si="93"/>
        <v>35000000</v>
      </c>
      <c r="BA234" s="52">
        <v>35000000</v>
      </c>
      <c r="BB234" s="52"/>
      <c r="BC234" s="52"/>
      <c r="BD234" s="52"/>
      <c r="BE234" s="52"/>
      <c r="BF234" s="52"/>
      <c r="BG234" s="52"/>
      <c r="BH234" s="52"/>
      <c r="BI234" s="52"/>
      <c r="BJ234" s="52"/>
      <c r="BK234" s="52">
        <f>BL234+BM234+BN234+BO234+BP234+BQ234+BR234+BS234+BT234+BU234</f>
        <v>40000000</v>
      </c>
      <c r="BL234" s="52">
        <v>40000000</v>
      </c>
      <c r="BM234" s="52"/>
      <c r="BN234" s="52"/>
      <c r="BO234" s="52"/>
      <c r="BP234" s="52"/>
      <c r="BQ234" s="52"/>
      <c r="BR234" s="52"/>
      <c r="BS234" s="52"/>
      <c r="BT234" s="52"/>
      <c r="BU234" s="53"/>
      <c r="BV234" s="54">
        <f>AD234+AO234+AZ234+BK234</f>
        <v>128000000</v>
      </c>
      <c r="BW234" s="55"/>
    </row>
    <row r="235" spans="1:75" s="190" customFormat="1" ht="110.25" customHeight="1" x14ac:dyDescent="0.2">
      <c r="A235" s="206">
        <v>2</v>
      </c>
      <c r="B235" s="216" t="s">
        <v>33</v>
      </c>
      <c r="C235" s="17" t="s">
        <v>343</v>
      </c>
      <c r="D235" s="17" t="s">
        <v>1057</v>
      </c>
      <c r="E235" s="16" t="s">
        <v>1020</v>
      </c>
      <c r="F235" s="6" t="s">
        <v>1021</v>
      </c>
      <c r="G235" s="17" t="s">
        <v>1075</v>
      </c>
      <c r="H235" s="16" t="s">
        <v>1698</v>
      </c>
      <c r="I235" s="6">
        <v>36</v>
      </c>
      <c r="J235" s="6" t="s">
        <v>1059</v>
      </c>
      <c r="K235" s="15">
        <v>13</v>
      </c>
      <c r="L235" s="6" t="s">
        <v>346</v>
      </c>
      <c r="M235" s="206">
        <v>28</v>
      </c>
      <c r="N235" s="209">
        <v>3602</v>
      </c>
      <c r="O235" s="207" t="s">
        <v>108</v>
      </c>
      <c r="P235" s="6" t="s">
        <v>1076</v>
      </c>
      <c r="Q235" s="14" t="s">
        <v>1077</v>
      </c>
      <c r="R235" s="14" t="s">
        <v>1077</v>
      </c>
      <c r="S235" s="17" t="s">
        <v>1078</v>
      </c>
      <c r="T235" s="6" t="s">
        <v>1079</v>
      </c>
      <c r="U235" s="14" t="s">
        <v>1080</v>
      </c>
      <c r="V235" s="14" t="s">
        <v>1080</v>
      </c>
      <c r="W235" s="48" t="s">
        <v>1081</v>
      </c>
      <c r="X235" s="6" t="s">
        <v>8</v>
      </c>
      <c r="Y235" s="6">
        <v>14</v>
      </c>
      <c r="Z235" s="6">
        <v>14</v>
      </c>
      <c r="AA235" s="6">
        <v>14</v>
      </c>
      <c r="AB235" s="6">
        <v>14</v>
      </c>
      <c r="AC235" s="6">
        <v>14</v>
      </c>
      <c r="AD235" s="50">
        <f>AE235+AF235+AG235+AH235+AI235+AJ235+AK235+AL235+AM235+AN235</f>
        <v>74400000</v>
      </c>
      <c r="AE235" s="52">
        <v>74400000</v>
      </c>
      <c r="AF235" s="52"/>
      <c r="AG235" s="52"/>
      <c r="AH235" s="52"/>
      <c r="AI235" s="52"/>
      <c r="AJ235" s="52"/>
      <c r="AK235" s="52"/>
      <c r="AL235" s="52"/>
      <c r="AM235" s="52"/>
      <c r="AN235" s="52"/>
      <c r="AO235" s="52">
        <f>AP235+AQ235+AR235+AS235+AT235+AU235+AV235+AW235+AX235+AY235</f>
        <v>60000000</v>
      </c>
      <c r="AP235" s="52">
        <v>60000000</v>
      </c>
      <c r="AQ235" s="52"/>
      <c r="AR235" s="52"/>
      <c r="AS235" s="52"/>
      <c r="AT235" s="52"/>
      <c r="AU235" s="52"/>
      <c r="AV235" s="52"/>
      <c r="AW235" s="52"/>
      <c r="AX235" s="52"/>
      <c r="AY235" s="52"/>
      <c r="AZ235" s="52">
        <f t="shared" si="93"/>
        <v>80000000</v>
      </c>
      <c r="BA235" s="52">
        <v>80000000</v>
      </c>
      <c r="BB235" s="52"/>
      <c r="BC235" s="52"/>
      <c r="BD235" s="52"/>
      <c r="BE235" s="52"/>
      <c r="BF235" s="52"/>
      <c r="BG235" s="52"/>
      <c r="BH235" s="52"/>
      <c r="BI235" s="52"/>
      <c r="BJ235" s="52"/>
      <c r="BK235" s="52">
        <f>BL235+BM235+BN235+BO235+BP235+BQ235+BR235+BS235+BT235+BU235</f>
        <v>180000000</v>
      </c>
      <c r="BL235" s="52">
        <v>180000000</v>
      </c>
      <c r="BM235" s="52"/>
      <c r="BN235" s="52"/>
      <c r="BO235" s="52"/>
      <c r="BP235" s="52"/>
      <c r="BQ235" s="52"/>
      <c r="BR235" s="52"/>
      <c r="BS235" s="52"/>
      <c r="BT235" s="52"/>
      <c r="BU235" s="53"/>
      <c r="BV235" s="54">
        <f>AD235+AO235+AZ235+BK235</f>
        <v>394400000</v>
      </c>
      <c r="BW235" s="55"/>
    </row>
    <row r="236" spans="1:75" ht="26.25" customHeight="1" x14ac:dyDescent="0.25">
      <c r="A236" s="23"/>
      <c r="B236" s="217"/>
      <c r="C236" s="34"/>
      <c r="D236" s="34"/>
      <c r="E236" s="37"/>
      <c r="F236" s="34"/>
      <c r="G236" s="34"/>
      <c r="H236" s="37"/>
      <c r="I236" s="34"/>
      <c r="J236" s="34"/>
      <c r="K236" s="34"/>
      <c r="L236" s="34"/>
      <c r="M236" s="58">
        <v>29</v>
      </c>
      <c r="N236" s="58">
        <v>3604</v>
      </c>
      <c r="O236" s="59" t="s">
        <v>216</v>
      </c>
      <c r="P236" s="58"/>
      <c r="Q236" s="60"/>
      <c r="R236" s="60"/>
      <c r="S236" s="60"/>
      <c r="T236" s="60"/>
      <c r="U236" s="60"/>
      <c r="V236" s="60"/>
      <c r="W236" s="43"/>
      <c r="X236" s="43"/>
      <c r="Y236" s="44"/>
      <c r="Z236" s="44"/>
      <c r="AA236" s="44"/>
      <c r="AB236" s="44"/>
      <c r="AC236" s="41"/>
      <c r="AD236" s="45">
        <f>AD237</f>
        <v>25000000</v>
      </c>
      <c r="AE236" s="45">
        <f t="shared" ref="AE236:BV236" si="97">AE237</f>
        <v>25000000</v>
      </c>
      <c r="AF236" s="45">
        <f t="shared" si="97"/>
        <v>0</v>
      </c>
      <c r="AG236" s="45">
        <f t="shared" si="97"/>
        <v>0</v>
      </c>
      <c r="AH236" s="45">
        <f t="shared" si="97"/>
        <v>0</v>
      </c>
      <c r="AI236" s="45">
        <f t="shared" si="97"/>
        <v>0</v>
      </c>
      <c r="AJ236" s="45">
        <f t="shared" si="97"/>
        <v>0</v>
      </c>
      <c r="AK236" s="45">
        <f t="shared" si="97"/>
        <v>0</v>
      </c>
      <c r="AL236" s="45">
        <f t="shared" si="97"/>
        <v>0</v>
      </c>
      <c r="AM236" s="45">
        <f t="shared" si="97"/>
        <v>0</v>
      </c>
      <c r="AN236" s="45">
        <f t="shared" si="97"/>
        <v>0</v>
      </c>
      <c r="AO236" s="45">
        <f t="shared" si="97"/>
        <v>14250000</v>
      </c>
      <c r="AP236" s="45">
        <f t="shared" si="97"/>
        <v>14250000</v>
      </c>
      <c r="AQ236" s="45">
        <f t="shared" si="97"/>
        <v>0</v>
      </c>
      <c r="AR236" s="45">
        <f t="shared" si="97"/>
        <v>0</v>
      </c>
      <c r="AS236" s="45">
        <f t="shared" si="97"/>
        <v>0</v>
      </c>
      <c r="AT236" s="45">
        <f t="shared" si="97"/>
        <v>0</v>
      </c>
      <c r="AU236" s="45">
        <f t="shared" si="97"/>
        <v>0</v>
      </c>
      <c r="AV236" s="45">
        <f t="shared" si="97"/>
        <v>0</v>
      </c>
      <c r="AW236" s="45">
        <f t="shared" si="97"/>
        <v>0</v>
      </c>
      <c r="AX236" s="45">
        <f t="shared" si="97"/>
        <v>0</v>
      </c>
      <c r="AY236" s="45">
        <f t="shared" si="97"/>
        <v>0</v>
      </c>
      <c r="AZ236" s="45">
        <f t="shared" si="97"/>
        <v>31848300</v>
      </c>
      <c r="BA236" s="45">
        <f t="shared" si="97"/>
        <v>31848300</v>
      </c>
      <c r="BB236" s="45">
        <f t="shared" si="97"/>
        <v>0</v>
      </c>
      <c r="BC236" s="45">
        <f t="shared" si="97"/>
        <v>0</v>
      </c>
      <c r="BD236" s="45">
        <f t="shared" si="97"/>
        <v>0</v>
      </c>
      <c r="BE236" s="45">
        <f t="shared" si="97"/>
        <v>0</v>
      </c>
      <c r="BF236" s="45">
        <f t="shared" si="97"/>
        <v>0</v>
      </c>
      <c r="BG236" s="45">
        <f t="shared" si="97"/>
        <v>0</v>
      </c>
      <c r="BH236" s="45">
        <f t="shared" si="97"/>
        <v>0</v>
      </c>
      <c r="BI236" s="45">
        <f t="shared" si="97"/>
        <v>0</v>
      </c>
      <c r="BJ236" s="45">
        <f t="shared" si="97"/>
        <v>0</v>
      </c>
      <c r="BK236" s="45">
        <f t="shared" si="97"/>
        <v>68131000</v>
      </c>
      <c r="BL236" s="45">
        <f t="shared" si="97"/>
        <v>68131000</v>
      </c>
      <c r="BM236" s="45">
        <f t="shared" si="97"/>
        <v>0</v>
      </c>
      <c r="BN236" s="45">
        <f t="shared" si="97"/>
        <v>0</v>
      </c>
      <c r="BO236" s="45">
        <f t="shared" si="97"/>
        <v>0</v>
      </c>
      <c r="BP236" s="45">
        <f t="shared" si="97"/>
        <v>0</v>
      </c>
      <c r="BQ236" s="45">
        <f t="shared" si="97"/>
        <v>0</v>
      </c>
      <c r="BR236" s="45">
        <f t="shared" si="97"/>
        <v>0</v>
      </c>
      <c r="BS236" s="45">
        <f t="shared" si="97"/>
        <v>0</v>
      </c>
      <c r="BT236" s="45">
        <f t="shared" si="97"/>
        <v>0</v>
      </c>
      <c r="BU236" s="46">
        <f t="shared" si="97"/>
        <v>0</v>
      </c>
      <c r="BV236" s="45">
        <f t="shared" si="97"/>
        <v>139229300</v>
      </c>
      <c r="BW236" s="47"/>
    </row>
    <row r="237" spans="1:75" s="190" customFormat="1" ht="126" customHeight="1" x14ac:dyDescent="0.2">
      <c r="A237" s="206">
        <v>2</v>
      </c>
      <c r="B237" s="216" t="s">
        <v>33</v>
      </c>
      <c r="C237" s="17" t="s">
        <v>396</v>
      </c>
      <c r="D237" s="114" t="s">
        <v>217</v>
      </c>
      <c r="E237" s="81" t="s">
        <v>1082</v>
      </c>
      <c r="F237" s="6">
        <v>2018</v>
      </c>
      <c r="G237" s="17" t="s">
        <v>1083</v>
      </c>
      <c r="H237" s="81">
        <v>0.4</v>
      </c>
      <c r="I237" s="6">
        <v>36</v>
      </c>
      <c r="J237" s="6" t="s">
        <v>1059</v>
      </c>
      <c r="K237" s="15">
        <v>14</v>
      </c>
      <c r="L237" s="6" t="s">
        <v>1084</v>
      </c>
      <c r="M237" s="206">
        <v>29</v>
      </c>
      <c r="N237" s="206">
        <v>3604</v>
      </c>
      <c r="O237" s="213" t="s">
        <v>216</v>
      </c>
      <c r="P237" s="6" t="s">
        <v>1085</v>
      </c>
      <c r="Q237" s="83">
        <v>3604006</v>
      </c>
      <c r="R237" s="83">
        <v>3604006</v>
      </c>
      <c r="S237" s="17" t="s">
        <v>218</v>
      </c>
      <c r="T237" s="6" t="s">
        <v>1086</v>
      </c>
      <c r="U237" s="14" t="s">
        <v>1087</v>
      </c>
      <c r="V237" s="14" t="s">
        <v>1087</v>
      </c>
      <c r="W237" s="85" t="s">
        <v>543</v>
      </c>
      <c r="X237" s="83" t="s">
        <v>9</v>
      </c>
      <c r="Y237" s="83">
        <v>800</v>
      </c>
      <c r="Z237" s="83">
        <v>50</v>
      </c>
      <c r="AA237" s="83">
        <v>200</v>
      </c>
      <c r="AB237" s="83">
        <v>250</v>
      </c>
      <c r="AC237" s="83">
        <v>300</v>
      </c>
      <c r="AD237" s="50">
        <f>AE237+AF237+AG237+AH237+AI237+AJ237+AK237+AL237+AM237+AN237</f>
        <v>25000000</v>
      </c>
      <c r="AE237" s="52">
        <v>25000000</v>
      </c>
      <c r="AF237" s="52"/>
      <c r="AG237" s="52"/>
      <c r="AH237" s="52"/>
      <c r="AI237" s="52"/>
      <c r="AJ237" s="52"/>
      <c r="AK237" s="52"/>
      <c r="AL237" s="52"/>
      <c r="AM237" s="52"/>
      <c r="AN237" s="52"/>
      <c r="AO237" s="52">
        <f>AP237+AQ237+AR237+AS237+AT237+AU237+AV237+AW237+AX237+AY237</f>
        <v>14250000</v>
      </c>
      <c r="AP237" s="52">
        <v>14250000</v>
      </c>
      <c r="AQ237" s="52"/>
      <c r="AR237" s="52"/>
      <c r="AS237" s="52"/>
      <c r="AT237" s="52"/>
      <c r="AU237" s="52"/>
      <c r="AV237" s="52"/>
      <c r="AW237" s="52"/>
      <c r="AX237" s="52"/>
      <c r="AY237" s="52"/>
      <c r="AZ237" s="52">
        <f t="shared" si="93"/>
        <v>31848300</v>
      </c>
      <c r="BA237" s="52">
        <v>31848300</v>
      </c>
      <c r="BB237" s="52"/>
      <c r="BC237" s="52"/>
      <c r="BD237" s="52"/>
      <c r="BE237" s="52"/>
      <c r="BF237" s="52"/>
      <c r="BG237" s="52"/>
      <c r="BH237" s="52"/>
      <c r="BI237" s="52"/>
      <c r="BJ237" s="52"/>
      <c r="BK237" s="52">
        <f t="shared" ref="BK237:BK247" si="98">BL237+BM237+BN237+BO237+BP237+BQ237+BR237+BS237+BT237+BU237</f>
        <v>68131000</v>
      </c>
      <c r="BL237" s="52">
        <v>68131000</v>
      </c>
      <c r="BM237" s="52"/>
      <c r="BN237" s="52"/>
      <c r="BO237" s="52"/>
      <c r="BP237" s="52"/>
      <c r="BQ237" s="52"/>
      <c r="BR237" s="52"/>
      <c r="BS237" s="52"/>
      <c r="BT237" s="52"/>
      <c r="BU237" s="53"/>
      <c r="BV237" s="54">
        <f>AD237+AO237+AZ237+BK237</f>
        <v>139229300</v>
      </c>
      <c r="BW237" s="77"/>
    </row>
    <row r="238" spans="1:75" ht="27.75" customHeight="1" x14ac:dyDescent="0.25">
      <c r="A238" s="23"/>
      <c r="B238" s="217"/>
      <c r="C238" s="34"/>
      <c r="D238" s="34"/>
      <c r="E238" s="37"/>
      <c r="F238" s="34"/>
      <c r="G238" s="34"/>
      <c r="H238" s="37"/>
      <c r="I238" s="34"/>
      <c r="J238" s="34"/>
      <c r="K238" s="34"/>
      <c r="L238" s="34"/>
      <c r="M238" s="58">
        <v>30</v>
      </c>
      <c r="N238" s="58">
        <v>3902</v>
      </c>
      <c r="O238" s="59" t="s">
        <v>1547</v>
      </c>
      <c r="P238" s="58"/>
      <c r="Q238" s="60"/>
      <c r="R238" s="60"/>
      <c r="S238" s="60"/>
      <c r="T238" s="60"/>
      <c r="U238" s="60"/>
      <c r="V238" s="60"/>
      <c r="W238" s="43"/>
      <c r="X238" s="43"/>
      <c r="Y238" s="44"/>
      <c r="Z238" s="44"/>
      <c r="AA238" s="44"/>
      <c r="AB238" s="44"/>
      <c r="AC238" s="41"/>
      <c r="AD238" s="45">
        <f>SUM(AD239:AD240)</f>
        <v>1999837777</v>
      </c>
      <c r="AE238" s="45">
        <f t="shared" ref="AE238:BV238" si="99">SUM(AE239:AE240)</f>
        <v>0</v>
      </c>
      <c r="AF238" s="45">
        <f t="shared" si="99"/>
        <v>0</v>
      </c>
      <c r="AG238" s="45">
        <f t="shared" si="99"/>
        <v>0</v>
      </c>
      <c r="AH238" s="45">
        <f t="shared" si="99"/>
        <v>0</v>
      </c>
      <c r="AI238" s="45">
        <f t="shared" si="99"/>
        <v>0</v>
      </c>
      <c r="AJ238" s="45">
        <f t="shared" si="99"/>
        <v>0</v>
      </c>
      <c r="AK238" s="45">
        <f t="shared" si="99"/>
        <v>1999837777</v>
      </c>
      <c r="AL238" s="45">
        <f t="shared" si="99"/>
        <v>0</v>
      </c>
      <c r="AM238" s="45">
        <f t="shared" si="99"/>
        <v>0</v>
      </c>
      <c r="AN238" s="45">
        <f t="shared" si="99"/>
        <v>0</v>
      </c>
      <c r="AO238" s="45">
        <f t="shared" si="99"/>
        <v>0</v>
      </c>
      <c r="AP238" s="45">
        <f t="shared" si="99"/>
        <v>0</v>
      </c>
      <c r="AQ238" s="45">
        <f t="shared" si="99"/>
        <v>0</v>
      </c>
      <c r="AR238" s="45">
        <f t="shared" si="99"/>
        <v>0</v>
      </c>
      <c r="AS238" s="45">
        <f t="shared" si="99"/>
        <v>0</v>
      </c>
      <c r="AT238" s="45">
        <f t="shared" si="99"/>
        <v>0</v>
      </c>
      <c r="AU238" s="45">
        <f t="shared" si="99"/>
        <v>0</v>
      </c>
      <c r="AV238" s="45">
        <f t="shared" si="99"/>
        <v>0</v>
      </c>
      <c r="AW238" s="45">
        <f t="shared" si="99"/>
        <v>0</v>
      </c>
      <c r="AX238" s="45">
        <f t="shared" si="99"/>
        <v>0</v>
      </c>
      <c r="AY238" s="45">
        <f t="shared" si="99"/>
        <v>0</v>
      </c>
      <c r="AZ238" s="45">
        <f t="shared" si="99"/>
        <v>0</v>
      </c>
      <c r="BA238" s="45">
        <f t="shared" si="99"/>
        <v>0</v>
      </c>
      <c r="BB238" s="45">
        <f t="shared" si="99"/>
        <v>0</v>
      </c>
      <c r="BC238" s="45">
        <f t="shared" si="99"/>
        <v>0</v>
      </c>
      <c r="BD238" s="45">
        <f t="shared" si="99"/>
        <v>0</v>
      </c>
      <c r="BE238" s="45">
        <f t="shared" si="99"/>
        <v>0</v>
      </c>
      <c r="BF238" s="45">
        <f t="shared" si="99"/>
        <v>0</v>
      </c>
      <c r="BG238" s="45">
        <f t="shared" si="99"/>
        <v>0</v>
      </c>
      <c r="BH238" s="45">
        <f t="shared" si="99"/>
        <v>0</v>
      </c>
      <c r="BI238" s="45">
        <f t="shared" si="99"/>
        <v>0</v>
      </c>
      <c r="BJ238" s="45">
        <f t="shared" si="99"/>
        <v>0</v>
      </c>
      <c r="BK238" s="45">
        <f t="shared" si="99"/>
        <v>0</v>
      </c>
      <c r="BL238" s="45">
        <f t="shared" si="99"/>
        <v>0</v>
      </c>
      <c r="BM238" s="45">
        <f t="shared" si="99"/>
        <v>0</v>
      </c>
      <c r="BN238" s="45">
        <f t="shared" si="99"/>
        <v>0</v>
      </c>
      <c r="BO238" s="45">
        <f t="shared" si="99"/>
        <v>0</v>
      </c>
      <c r="BP238" s="45">
        <f t="shared" si="99"/>
        <v>0</v>
      </c>
      <c r="BQ238" s="45">
        <f t="shared" si="99"/>
        <v>0</v>
      </c>
      <c r="BR238" s="45">
        <f t="shared" si="99"/>
        <v>0</v>
      </c>
      <c r="BS238" s="45">
        <f t="shared" si="99"/>
        <v>0</v>
      </c>
      <c r="BT238" s="45">
        <f t="shared" si="99"/>
        <v>0</v>
      </c>
      <c r="BU238" s="46">
        <f t="shared" si="99"/>
        <v>0</v>
      </c>
      <c r="BV238" s="45">
        <f t="shared" si="99"/>
        <v>1999837777</v>
      </c>
      <c r="BW238" s="47"/>
    </row>
    <row r="239" spans="1:75" s="190" customFormat="1" ht="114.75" customHeight="1" x14ac:dyDescent="0.2">
      <c r="A239" s="206">
        <v>2</v>
      </c>
      <c r="B239" s="216" t="s">
        <v>33</v>
      </c>
      <c r="C239" s="17" t="s">
        <v>1431</v>
      </c>
      <c r="D239" s="17" t="s">
        <v>285</v>
      </c>
      <c r="E239" s="130">
        <v>0.26800000000000002</v>
      </c>
      <c r="F239" s="6">
        <v>2018</v>
      </c>
      <c r="G239" s="17" t="s">
        <v>1432</v>
      </c>
      <c r="H239" s="88">
        <v>0.36749999999999999</v>
      </c>
      <c r="I239" s="6">
        <v>39</v>
      </c>
      <c r="J239" s="6" t="s">
        <v>1088</v>
      </c>
      <c r="K239" s="15">
        <v>13</v>
      </c>
      <c r="L239" s="6" t="s">
        <v>346</v>
      </c>
      <c r="M239" s="206">
        <v>30</v>
      </c>
      <c r="N239" s="210">
        <v>3902</v>
      </c>
      <c r="O239" s="207" t="s">
        <v>1547</v>
      </c>
      <c r="P239" s="131" t="s">
        <v>1548</v>
      </c>
      <c r="Q239" s="14">
        <v>3902017</v>
      </c>
      <c r="R239" s="14">
        <v>3902017</v>
      </c>
      <c r="S239" s="105" t="s">
        <v>1549</v>
      </c>
      <c r="T239" s="83" t="s">
        <v>1550</v>
      </c>
      <c r="U239" s="83">
        <v>390201700</v>
      </c>
      <c r="V239" s="83">
        <v>390201700</v>
      </c>
      <c r="W239" s="106" t="s">
        <v>1549</v>
      </c>
      <c r="X239" s="6" t="s">
        <v>9</v>
      </c>
      <c r="Y239" s="6">
        <v>1</v>
      </c>
      <c r="Z239" s="6">
        <v>1</v>
      </c>
      <c r="AA239" s="6" t="s">
        <v>1570</v>
      </c>
      <c r="AB239" s="17"/>
      <c r="AC239" s="17"/>
      <c r="AD239" s="50">
        <f>AE239+AF239+AG239+AH239+AI239+AJ239+AK239+AL239+AM239+AN239</f>
        <v>800924000</v>
      </c>
      <c r="AE239" s="107"/>
      <c r="AF239" s="108"/>
      <c r="AG239" s="108"/>
      <c r="AH239" s="108"/>
      <c r="AI239" s="108"/>
      <c r="AJ239" s="108"/>
      <c r="AK239" s="107">
        <v>800924000</v>
      </c>
      <c r="AL239" s="108"/>
      <c r="AM239" s="108"/>
      <c r="AN239" s="108"/>
      <c r="AO239" s="52">
        <f>AP239+AQ239+AR239+AS239+AT239+AU239+AV239+AW239+AX239+AY239</f>
        <v>0</v>
      </c>
      <c r="AP239" s="109"/>
      <c r="AQ239" s="109"/>
      <c r="AR239" s="109"/>
      <c r="AS239" s="109"/>
      <c r="AT239" s="109"/>
      <c r="AU239" s="109"/>
      <c r="AV239" s="109"/>
      <c r="AW239" s="109"/>
      <c r="AX239" s="109"/>
      <c r="AY239" s="109"/>
      <c r="AZ239" s="52">
        <f t="shared" si="93"/>
        <v>0</v>
      </c>
      <c r="BA239" s="109"/>
      <c r="BB239" s="109"/>
      <c r="BC239" s="109"/>
      <c r="BD239" s="109"/>
      <c r="BE239" s="109"/>
      <c r="BF239" s="109"/>
      <c r="BG239" s="109"/>
      <c r="BH239" s="109"/>
      <c r="BI239" s="109"/>
      <c r="BJ239" s="109"/>
      <c r="BK239" s="52">
        <f t="shared" si="98"/>
        <v>0</v>
      </c>
      <c r="BL239" s="109"/>
      <c r="BM239" s="109"/>
      <c r="BN239" s="109"/>
      <c r="BO239" s="109"/>
      <c r="BP239" s="109"/>
      <c r="BQ239" s="109"/>
      <c r="BR239" s="109"/>
      <c r="BS239" s="109"/>
      <c r="BT239" s="109"/>
      <c r="BU239" s="110"/>
      <c r="BV239" s="54">
        <f>AD239+AO239+AZ239+BK239</f>
        <v>800924000</v>
      </c>
      <c r="BW239" s="77"/>
    </row>
    <row r="240" spans="1:75" s="190" customFormat="1" ht="109.5" customHeight="1" x14ac:dyDescent="0.2">
      <c r="A240" s="206">
        <v>2</v>
      </c>
      <c r="B240" s="216" t="s">
        <v>33</v>
      </c>
      <c r="C240" s="17" t="s">
        <v>1431</v>
      </c>
      <c r="D240" s="17" t="s">
        <v>285</v>
      </c>
      <c r="E240" s="130">
        <v>0.26800000000000002</v>
      </c>
      <c r="F240" s="6">
        <v>2018</v>
      </c>
      <c r="G240" s="17" t="s">
        <v>1432</v>
      </c>
      <c r="H240" s="88">
        <v>0.36749999999999999</v>
      </c>
      <c r="I240" s="6">
        <v>39</v>
      </c>
      <c r="J240" s="6" t="s">
        <v>1088</v>
      </c>
      <c r="K240" s="15">
        <v>13</v>
      </c>
      <c r="L240" s="6" t="s">
        <v>346</v>
      </c>
      <c r="M240" s="206">
        <v>30</v>
      </c>
      <c r="N240" s="210">
        <v>3902</v>
      </c>
      <c r="O240" s="207" t="s">
        <v>1547</v>
      </c>
      <c r="P240" s="83" t="s">
        <v>1551</v>
      </c>
      <c r="Q240" s="14">
        <v>3902018</v>
      </c>
      <c r="R240" s="14">
        <v>3902018</v>
      </c>
      <c r="S240" s="105" t="s">
        <v>1552</v>
      </c>
      <c r="T240" s="83" t="s">
        <v>1553</v>
      </c>
      <c r="U240" s="83">
        <v>390201800</v>
      </c>
      <c r="V240" s="83">
        <v>390201800</v>
      </c>
      <c r="W240" s="106" t="s">
        <v>1552</v>
      </c>
      <c r="X240" s="6" t="s">
        <v>9</v>
      </c>
      <c r="Y240" s="6">
        <v>1</v>
      </c>
      <c r="Z240" s="6">
        <v>1</v>
      </c>
      <c r="AA240" s="17"/>
      <c r="AB240" s="17"/>
      <c r="AC240" s="17"/>
      <c r="AD240" s="50">
        <f>AE240+AF240+AG240+AH240+AI240+AJ240+AK240+AL240+AM240+AN240</f>
        <v>1198913777</v>
      </c>
      <c r="AE240" s="107"/>
      <c r="AF240" s="108"/>
      <c r="AG240" s="108"/>
      <c r="AH240" s="108"/>
      <c r="AI240" s="108"/>
      <c r="AJ240" s="108"/>
      <c r="AK240" s="107">
        <v>1198913777</v>
      </c>
      <c r="AL240" s="108"/>
      <c r="AM240" s="108"/>
      <c r="AN240" s="108"/>
      <c r="AO240" s="52">
        <f>AP240+AQ240+AR240+AS240+AT240+AU240+AV240+AW240+AX240+AY240</f>
        <v>0</v>
      </c>
      <c r="AP240" s="109"/>
      <c r="AQ240" s="109"/>
      <c r="AR240" s="109"/>
      <c r="AS240" s="109"/>
      <c r="AT240" s="109"/>
      <c r="AU240" s="109"/>
      <c r="AV240" s="109"/>
      <c r="AW240" s="109"/>
      <c r="AX240" s="109"/>
      <c r="AY240" s="109"/>
      <c r="AZ240" s="52">
        <f t="shared" si="93"/>
        <v>0</v>
      </c>
      <c r="BA240" s="109"/>
      <c r="BB240" s="109"/>
      <c r="BC240" s="109"/>
      <c r="BD240" s="109"/>
      <c r="BE240" s="109"/>
      <c r="BF240" s="109"/>
      <c r="BG240" s="109"/>
      <c r="BH240" s="109"/>
      <c r="BI240" s="109"/>
      <c r="BJ240" s="109"/>
      <c r="BK240" s="52">
        <f t="shared" si="98"/>
        <v>0</v>
      </c>
      <c r="BL240" s="109"/>
      <c r="BM240" s="109"/>
      <c r="BN240" s="109"/>
      <c r="BO240" s="109"/>
      <c r="BP240" s="109"/>
      <c r="BQ240" s="109"/>
      <c r="BR240" s="109"/>
      <c r="BS240" s="109"/>
      <c r="BT240" s="109"/>
      <c r="BU240" s="110"/>
      <c r="BV240" s="54">
        <f>AD240+AO240+AZ240+BK240</f>
        <v>1198913777</v>
      </c>
      <c r="BW240" s="77"/>
    </row>
    <row r="241" spans="1:80" ht="32.25" customHeight="1" x14ac:dyDescent="0.25">
      <c r="A241" s="23"/>
      <c r="B241" s="217"/>
      <c r="C241" s="34"/>
      <c r="D241" s="34"/>
      <c r="E241" s="37"/>
      <c r="F241" s="34"/>
      <c r="G241" s="34"/>
      <c r="H241" s="37"/>
      <c r="I241" s="34"/>
      <c r="J241" s="34"/>
      <c r="K241" s="34"/>
      <c r="L241" s="34"/>
      <c r="M241" s="58">
        <v>31</v>
      </c>
      <c r="N241" s="58" t="s">
        <v>283</v>
      </c>
      <c r="O241" s="59" t="s">
        <v>284</v>
      </c>
      <c r="P241" s="58"/>
      <c r="Q241" s="60"/>
      <c r="R241" s="60"/>
      <c r="S241" s="60"/>
      <c r="T241" s="60"/>
      <c r="U241" s="60"/>
      <c r="V241" s="60"/>
      <c r="W241" s="43"/>
      <c r="X241" s="43"/>
      <c r="Y241" s="44"/>
      <c r="Z241" s="44"/>
      <c r="AA241" s="44"/>
      <c r="AB241" s="44"/>
      <c r="AC241" s="41"/>
      <c r="AD241" s="45">
        <f>SUM(AD242:AD244)</f>
        <v>63000000</v>
      </c>
      <c r="AE241" s="45">
        <f t="shared" ref="AE241:BV241" si="100">SUM(AE242:AE244)</f>
        <v>63000000</v>
      </c>
      <c r="AF241" s="45">
        <f t="shared" si="100"/>
        <v>0</v>
      </c>
      <c r="AG241" s="45">
        <f t="shared" si="100"/>
        <v>0</v>
      </c>
      <c r="AH241" s="45">
        <f t="shared" si="100"/>
        <v>0</v>
      </c>
      <c r="AI241" s="45">
        <f t="shared" si="100"/>
        <v>0</v>
      </c>
      <c r="AJ241" s="45">
        <f t="shared" si="100"/>
        <v>0</v>
      </c>
      <c r="AK241" s="45">
        <f t="shared" si="100"/>
        <v>0</v>
      </c>
      <c r="AL241" s="45">
        <f t="shared" si="100"/>
        <v>0</v>
      </c>
      <c r="AM241" s="45">
        <f t="shared" si="100"/>
        <v>0</v>
      </c>
      <c r="AN241" s="45">
        <f t="shared" si="100"/>
        <v>0</v>
      </c>
      <c r="AO241" s="45">
        <f t="shared" si="100"/>
        <v>943768237</v>
      </c>
      <c r="AP241" s="45">
        <f t="shared" si="100"/>
        <v>27268237</v>
      </c>
      <c r="AQ241" s="45">
        <f t="shared" si="100"/>
        <v>0</v>
      </c>
      <c r="AR241" s="45">
        <f t="shared" si="100"/>
        <v>0</v>
      </c>
      <c r="AS241" s="45">
        <f t="shared" si="100"/>
        <v>0</v>
      </c>
      <c r="AT241" s="45">
        <f t="shared" si="100"/>
        <v>0</v>
      </c>
      <c r="AU241" s="45">
        <f t="shared" si="100"/>
        <v>0</v>
      </c>
      <c r="AV241" s="45">
        <f t="shared" si="100"/>
        <v>916500000</v>
      </c>
      <c r="AW241" s="45">
        <f t="shared" si="100"/>
        <v>0</v>
      </c>
      <c r="AX241" s="45">
        <f t="shared" si="100"/>
        <v>0</v>
      </c>
      <c r="AY241" s="45">
        <f t="shared" si="100"/>
        <v>0</v>
      </c>
      <c r="AZ241" s="45">
        <f t="shared" si="100"/>
        <v>956308563</v>
      </c>
      <c r="BA241" s="45">
        <f t="shared" si="100"/>
        <v>39808563</v>
      </c>
      <c r="BB241" s="45">
        <f t="shared" si="100"/>
        <v>0</v>
      </c>
      <c r="BC241" s="45">
        <f t="shared" si="100"/>
        <v>0</v>
      </c>
      <c r="BD241" s="45">
        <f t="shared" si="100"/>
        <v>0</v>
      </c>
      <c r="BE241" s="45">
        <f t="shared" si="100"/>
        <v>0</v>
      </c>
      <c r="BF241" s="45">
        <f t="shared" si="100"/>
        <v>0</v>
      </c>
      <c r="BG241" s="45">
        <f t="shared" si="100"/>
        <v>916500000</v>
      </c>
      <c r="BH241" s="45">
        <f t="shared" si="100"/>
        <v>0</v>
      </c>
      <c r="BI241" s="45">
        <f t="shared" si="100"/>
        <v>0</v>
      </c>
      <c r="BJ241" s="45">
        <f t="shared" si="100"/>
        <v>0</v>
      </c>
      <c r="BK241" s="45">
        <f t="shared" si="100"/>
        <v>1573795218</v>
      </c>
      <c r="BL241" s="45">
        <f t="shared" si="100"/>
        <v>46295218</v>
      </c>
      <c r="BM241" s="45">
        <f t="shared" si="100"/>
        <v>0</v>
      </c>
      <c r="BN241" s="45">
        <f t="shared" si="100"/>
        <v>0</v>
      </c>
      <c r="BO241" s="45">
        <f t="shared" si="100"/>
        <v>0</v>
      </c>
      <c r="BP241" s="45">
        <f t="shared" si="100"/>
        <v>0</v>
      </c>
      <c r="BQ241" s="45">
        <f t="shared" si="100"/>
        <v>0</v>
      </c>
      <c r="BR241" s="45">
        <f t="shared" si="100"/>
        <v>1527500000</v>
      </c>
      <c r="BS241" s="45">
        <f t="shared" si="100"/>
        <v>0</v>
      </c>
      <c r="BT241" s="45">
        <f t="shared" si="100"/>
        <v>0</v>
      </c>
      <c r="BU241" s="46">
        <f t="shared" si="100"/>
        <v>0</v>
      </c>
      <c r="BV241" s="45">
        <f t="shared" si="100"/>
        <v>3536872018</v>
      </c>
      <c r="BW241" s="47"/>
    </row>
    <row r="242" spans="1:80" s="190" customFormat="1" ht="119.25" customHeight="1" x14ac:dyDescent="0.2">
      <c r="A242" s="206">
        <v>2</v>
      </c>
      <c r="B242" s="216" t="s">
        <v>33</v>
      </c>
      <c r="C242" s="17" t="s">
        <v>1431</v>
      </c>
      <c r="D242" s="17" t="s">
        <v>285</v>
      </c>
      <c r="E242" s="130">
        <v>0.26800000000000002</v>
      </c>
      <c r="F242" s="6">
        <v>2018</v>
      </c>
      <c r="G242" s="17" t="s">
        <v>1432</v>
      </c>
      <c r="H242" s="88">
        <v>0.36749999999999999</v>
      </c>
      <c r="I242" s="6">
        <v>39</v>
      </c>
      <c r="J242" s="6" t="s">
        <v>1088</v>
      </c>
      <c r="K242" s="15">
        <v>13</v>
      </c>
      <c r="L242" s="6" t="s">
        <v>346</v>
      </c>
      <c r="M242" s="206">
        <v>31</v>
      </c>
      <c r="N242" s="209" t="s">
        <v>283</v>
      </c>
      <c r="O242" s="207" t="s">
        <v>284</v>
      </c>
      <c r="P242" s="6" t="s">
        <v>1433</v>
      </c>
      <c r="Q242" s="14" t="s">
        <v>1434</v>
      </c>
      <c r="R242" s="14" t="s">
        <v>1434</v>
      </c>
      <c r="S242" s="17" t="s">
        <v>1678</v>
      </c>
      <c r="T242" s="6" t="s">
        <v>1435</v>
      </c>
      <c r="U242" s="14" t="s">
        <v>1436</v>
      </c>
      <c r="V242" s="14" t="s">
        <v>1436</v>
      </c>
      <c r="W242" s="48" t="s">
        <v>1437</v>
      </c>
      <c r="X242" s="6" t="s">
        <v>8</v>
      </c>
      <c r="Y242" s="6">
        <v>1</v>
      </c>
      <c r="Z242" s="6">
        <v>1</v>
      </c>
      <c r="AA242" s="6">
        <v>1</v>
      </c>
      <c r="AB242" s="6">
        <v>1</v>
      </c>
      <c r="AC242" s="6">
        <v>1</v>
      </c>
      <c r="AD242" s="50">
        <f>AE242+AF242+AG242+AH242+AI242+AJ242+AK242+AL242+AM242+AN242</f>
        <v>63000000</v>
      </c>
      <c r="AE242" s="52">
        <v>63000000</v>
      </c>
      <c r="AF242" s="52"/>
      <c r="AG242" s="52"/>
      <c r="AH242" s="52"/>
      <c r="AI242" s="52"/>
      <c r="AJ242" s="52"/>
      <c r="AK242" s="52"/>
      <c r="AL242" s="52"/>
      <c r="AM242" s="52"/>
      <c r="AN242" s="52"/>
      <c r="AO242" s="52">
        <f>AP242+AQ242+AR242+AS242+AT242+AU242+AV242+AW242+AX242+AY242</f>
        <v>385382083</v>
      </c>
      <c r="AP242" s="52">
        <v>10382083</v>
      </c>
      <c r="AQ242" s="52"/>
      <c r="AR242" s="52"/>
      <c r="AS242" s="52"/>
      <c r="AT242" s="52"/>
      <c r="AU242" s="52"/>
      <c r="AV242" s="52">
        <v>375000000</v>
      </c>
      <c r="AW242" s="52"/>
      <c r="AX242" s="52"/>
      <c r="AY242" s="52"/>
      <c r="AZ242" s="52">
        <f t="shared" si="93"/>
        <v>400612426</v>
      </c>
      <c r="BA242" s="52">
        <v>25612426</v>
      </c>
      <c r="BB242" s="52"/>
      <c r="BC242" s="52"/>
      <c r="BD242" s="52"/>
      <c r="BE242" s="52"/>
      <c r="BF242" s="52"/>
      <c r="BG242" s="52">
        <v>375000000</v>
      </c>
      <c r="BH242" s="52"/>
      <c r="BI242" s="52"/>
      <c r="BJ242" s="52"/>
      <c r="BK242" s="52">
        <f t="shared" si="98"/>
        <v>652016560</v>
      </c>
      <c r="BL242" s="52">
        <v>27016560</v>
      </c>
      <c r="BM242" s="52"/>
      <c r="BN242" s="52"/>
      <c r="BO242" s="52"/>
      <c r="BP242" s="52"/>
      <c r="BQ242" s="52"/>
      <c r="BR242" s="52">
        <v>625000000</v>
      </c>
      <c r="BS242" s="52"/>
      <c r="BT242" s="52"/>
      <c r="BU242" s="53"/>
      <c r="BV242" s="54">
        <f>AD242+AO242+AZ242+BK242</f>
        <v>1501011069</v>
      </c>
      <c r="BW242" s="55"/>
    </row>
    <row r="243" spans="1:80" s="190" customFormat="1" ht="122.25" customHeight="1" x14ac:dyDescent="0.2">
      <c r="A243" s="206">
        <v>2</v>
      </c>
      <c r="B243" s="216" t="s">
        <v>33</v>
      </c>
      <c r="C243" s="17" t="s">
        <v>1438</v>
      </c>
      <c r="D243" s="17" t="s">
        <v>285</v>
      </c>
      <c r="E243" s="130">
        <v>0.26800000000000002</v>
      </c>
      <c r="F243" s="6">
        <v>2018</v>
      </c>
      <c r="G243" s="17" t="s">
        <v>1432</v>
      </c>
      <c r="H243" s="88">
        <v>0.36749999999999999</v>
      </c>
      <c r="I243" s="6">
        <v>39</v>
      </c>
      <c r="J243" s="6" t="s">
        <v>1088</v>
      </c>
      <c r="K243" s="15">
        <v>13</v>
      </c>
      <c r="L243" s="6" t="s">
        <v>346</v>
      </c>
      <c r="M243" s="206">
        <v>31</v>
      </c>
      <c r="N243" s="209" t="s">
        <v>283</v>
      </c>
      <c r="O243" s="207" t="s">
        <v>284</v>
      </c>
      <c r="P243" s="6" t="s">
        <v>1433</v>
      </c>
      <c r="Q243" s="14" t="s">
        <v>1434</v>
      </c>
      <c r="R243" s="14" t="s">
        <v>1434</v>
      </c>
      <c r="S243" s="17" t="s">
        <v>286</v>
      </c>
      <c r="T243" s="6" t="s">
        <v>1439</v>
      </c>
      <c r="U243" s="14" t="s">
        <v>1440</v>
      </c>
      <c r="V243" s="14" t="s">
        <v>1440</v>
      </c>
      <c r="W243" s="48" t="s">
        <v>1441</v>
      </c>
      <c r="X243" s="6" t="s">
        <v>9</v>
      </c>
      <c r="Y243" s="6">
        <v>200</v>
      </c>
      <c r="Z243" s="6">
        <v>0</v>
      </c>
      <c r="AA243" s="6">
        <v>50</v>
      </c>
      <c r="AB243" s="6">
        <v>70</v>
      </c>
      <c r="AC243" s="6">
        <v>80</v>
      </c>
      <c r="AD243" s="50"/>
      <c r="AE243" s="52"/>
      <c r="AF243" s="52"/>
      <c r="AG243" s="52"/>
      <c r="AH243" s="52"/>
      <c r="AI243" s="52"/>
      <c r="AJ243" s="52"/>
      <c r="AK243" s="52"/>
      <c r="AL243" s="52"/>
      <c r="AM243" s="52"/>
      <c r="AN243" s="52"/>
      <c r="AO243" s="52">
        <f>AP243+AQ243+AR243+AS243+AT243+AU243+AV243+AW243+AX243+AY243</f>
        <v>164443311</v>
      </c>
      <c r="AP243" s="52">
        <v>14443311</v>
      </c>
      <c r="AQ243" s="52"/>
      <c r="AR243" s="52"/>
      <c r="AS243" s="52"/>
      <c r="AT243" s="52"/>
      <c r="AU243" s="52"/>
      <c r="AV243" s="107">
        <v>150000000</v>
      </c>
      <c r="AW243" s="52"/>
      <c r="AX243" s="52"/>
      <c r="AY243" s="52"/>
      <c r="AZ243" s="52">
        <f t="shared" si="93"/>
        <v>160188013</v>
      </c>
      <c r="BA243" s="52">
        <v>10188013</v>
      </c>
      <c r="BB243" s="52"/>
      <c r="BC243" s="52"/>
      <c r="BD243" s="52"/>
      <c r="BE243" s="52"/>
      <c r="BF243" s="52"/>
      <c r="BG243" s="52">
        <v>150000000</v>
      </c>
      <c r="BH243" s="52"/>
      <c r="BI243" s="52"/>
      <c r="BJ243" s="52"/>
      <c r="BK243" s="52">
        <f t="shared" si="98"/>
        <v>262921820</v>
      </c>
      <c r="BL243" s="52">
        <v>12921820</v>
      </c>
      <c r="BM243" s="52"/>
      <c r="BN243" s="52"/>
      <c r="BO243" s="52"/>
      <c r="BP243" s="52"/>
      <c r="BQ243" s="52"/>
      <c r="BR243" s="52">
        <v>250000000</v>
      </c>
      <c r="BS243" s="52"/>
      <c r="BT243" s="52"/>
      <c r="BU243" s="53"/>
      <c r="BV243" s="54">
        <f>AD243+AO243+AZ243+BK243</f>
        <v>587553144</v>
      </c>
      <c r="BW243" s="55"/>
    </row>
    <row r="244" spans="1:80" s="190" customFormat="1" ht="112.5" customHeight="1" x14ac:dyDescent="0.2">
      <c r="A244" s="206">
        <v>2</v>
      </c>
      <c r="B244" s="216" t="s">
        <v>33</v>
      </c>
      <c r="C244" s="17" t="s">
        <v>1442</v>
      </c>
      <c r="D244" s="17" t="s">
        <v>285</v>
      </c>
      <c r="E244" s="130">
        <v>0.26800000000000002</v>
      </c>
      <c r="F244" s="6">
        <v>2018</v>
      </c>
      <c r="G244" s="17" t="s">
        <v>1432</v>
      </c>
      <c r="H244" s="88">
        <v>0.36749999999999999</v>
      </c>
      <c r="I244" s="6">
        <v>39</v>
      </c>
      <c r="J244" s="6" t="s">
        <v>1088</v>
      </c>
      <c r="K244" s="15">
        <v>13</v>
      </c>
      <c r="L244" s="6" t="s">
        <v>346</v>
      </c>
      <c r="M244" s="206">
        <v>31</v>
      </c>
      <c r="N244" s="209" t="s">
        <v>283</v>
      </c>
      <c r="O244" s="207" t="s">
        <v>284</v>
      </c>
      <c r="P244" s="6" t="s">
        <v>1433</v>
      </c>
      <c r="Q244" s="14" t="s">
        <v>1434</v>
      </c>
      <c r="R244" s="14" t="s">
        <v>1434</v>
      </c>
      <c r="S244" s="17" t="s">
        <v>286</v>
      </c>
      <c r="T244" s="6" t="s">
        <v>1443</v>
      </c>
      <c r="U244" s="14" t="s">
        <v>1444</v>
      </c>
      <c r="V244" s="14" t="s">
        <v>1444</v>
      </c>
      <c r="W244" s="48" t="s">
        <v>1445</v>
      </c>
      <c r="X244" s="6" t="s">
        <v>9</v>
      </c>
      <c r="Y244" s="6">
        <v>200</v>
      </c>
      <c r="Z244" s="6">
        <v>0</v>
      </c>
      <c r="AA244" s="6">
        <v>50</v>
      </c>
      <c r="AB244" s="6">
        <v>70</v>
      </c>
      <c r="AC244" s="6">
        <v>80</v>
      </c>
      <c r="AD244" s="50"/>
      <c r="AE244" s="52"/>
      <c r="AF244" s="52"/>
      <c r="AG244" s="52"/>
      <c r="AH244" s="52"/>
      <c r="AI244" s="52"/>
      <c r="AJ244" s="52"/>
      <c r="AK244" s="52"/>
      <c r="AL244" s="52"/>
      <c r="AM244" s="52"/>
      <c r="AN244" s="52"/>
      <c r="AO244" s="52">
        <f>AP244+AQ244+AR244+AS244+AT244+AU244+AV244+AW244+AX244+AY244</f>
        <v>393942843</v>
      </c>
      <c r="AP244" s="52">
        <v>2442843</v>
      </c>
      <c r="AQ244" s="52"/>
      <c r="AR244" s="52"/>
      <c r="AS244" s="52"/>
      <c r="AT244" s="52"/>
      <c r="AU244" s="52"/>
      <c r="AV244" s="52">
        <v>391500000</v>
      </c>
      <c r="AW244" s="52"/>
      <c r="AX244" s="52"/>
      <c r="AY244" s="52"/>
      <c r="AZ244" s="52">
        <f t="shared" si="93"/>
        <v>395508124</v>
      </c>
      <c r="BA244" s="52">
        <v>4008124</v>
      </c>
      <c r="BB244" s="52"/>
      <c r="BC244" s="52"/>
      <c r="BD244" s="52"/>
      <c r="BE244" s="52"/>
      <c r="BF244" s="52"/>
      <c r="BG244" s="52">
        <v>391500000</v>
      </c>
      <c r="BH244" s="52"/>
      <c r="BI244" s="52"/>
      <c r="BJ244" s="52"/>
      <c r="BK244" s="52">
        <f t="shared" si="98"/>
        <v>658856838</v>
      </c>
      <c r="BL244" s="52">
        <v>6356838</v>
      </c>
      <c r="BM244" s="52"/>
      <c r="BN244" s="52"/>
      <c r="BO244" s="52"/>
      <c r="BP244" s="52"/>
      <c r="BQ244" s="52"/>
      <c r="BR244" s="52">
        <v>652500000</v>
      </c>
      <c r="BS244" s="52"/>
      <c r="BT244" s="52"/>
      <c r="BU244" s="53"/>
      <c r="BV244" s="54">
        <f>AD244+AO244+AZ244+BK244</f>
        <v>1448307805</v>
      </c>
      <c r="BW244" s="55"/>
    </row>
    <row r="245" spans="1:80" ht="35.25" customHeight="1" x14ac:dyDescent="0.25">
      <c r="A245" s="23"/>
      <c r="B245" s="217"/>
      <c r="C245" s="34"/>
      <c r="D245" s="34"/>
      <c r="E245" s="37"/>
      <c r="F245" s="34"/>
      <c r="G245" s="34"/>
      <c r="H245" s="37"/>
      <c r="I245" s="34"/>
      <c r="J245" s="34"/>
      <c r="K245" s="34"/>
      <c r="L245" s="34"/>
      <c r="M245" s="58">
        <v>32</v>
      </c>
      <c r="N245" s="58" t="s">
        <v>1447</v>
      </c>
      <c r="O245" s="59" t="s">
        <v>287</v>
      </c>
      <c r="P245" s="58"/>
      <c r="Q245" s="60"/>
      <c r="R245" s="60"/>
      <c r="S245" s="60"/>
      <c r="T245" s="60"/>
      <c r="U245" s="60"/>
      <c r="V245" s="60"/>
      <c r="W245" s="43"/>
      <c r="X245" s="43"/>
      <c r="Y245" s="44"/>
      <c r="Z245" s="44"/>
      <c r="AA245" s="44"/>
      <c r="AB245" s="44"/>
      <c r="AC245" s="41"/>
      <c r="AD245" s="45">
        <f>SUM(AD246:AD247)</f>
        <v>1138906214</v>
      </c>
      <c r="AE245" s="45">
        <f t="shared" ref="AE245:BV245" si="101">SUM(AE246:AE247)</f>
        <v>18000000</v>
      </c>
      <c r="AF245" s="45">
        <f t="shared" si="101"/>
        <v>0</v>
      </c>
      <c r="AG245" s="45">
        <f t="shared" si="101"/>
        <v>0</v>
      </c>
      <c r="AH245" s="45">
        <f t="shared" si="101"/>
        <v>0</v>
      </c>
      <c r="AI245" s="45">
        <f t="shared" si="101"/>
        <v>0</v>
      </c>
      <c r="AJ245" s="45">
        <f t="shared" si="101"/>
        <v>0</v>
      </c>
      <c r="AK245" s="45">
        <f t="shared" si="101"/>
        <v>1120906214</v>
      </c>
      <c r="AL245" s="45">
        <f t="shared" si="101"/>
        <v>0</v>
      </c>
      <c r="AM245" s="45">
        <f t="shared" si="101"/>
        <v>0</v>
      </c>
      <c r="AN245" s="45">
        <f t="shared" si="101"/>
        <v>0</v>
      </c>
      <c r="AO245" s="45">
        <f t="shared" si="101"/>
        <v>107100000</v>
      </c>
      <c r="AP245" s="45">
        <f t="shared" si="101"/>
        <v>17100000</v>
      </c>
      <c r="AQ245" s="45">
        <f t="shared" si="101"/>
        <v>15000000</v>
      </c>
      <c r="AR245" s="45">
        <f t="shared" si="101"/>
        <v>0</v>
      </c>
      <c r="AS245" s="45">
        <f t="shared" si="101"/>
        <v>0</v>
      </c>
      <c r="AT245" s="45">
        <f t="shared" si="101"/>
        <v>0</v>
      </c>
      <c r="AU245" s="45">
        <f t="shared" si="101"/>
        <v>0</v>
      </c>
      <c r="AV245" s="45">
        <f t="shared" si="101"/>
        <v>75000000</v>
      </c>
      <c r="AW245" s="45">
        <f t="shared" si="101"/>
        <v>0</v>
      </c>
      <c r="AX245" s="45">
        <f t="shared" si="101"/>
        <v>0</v>
      </c>
      <c r="AY245" s="45">
        <f t="shared" si="101"/>
        <v>0</v>
      </c>
      <c r="AZ245" s="45">
        <f t="shared" si="101"/>
        <v>203401519</v>
      </c>
      <c r="BA245" s="45">
        <f t="shared" si="101"/>
        <v>113401519</v>
      </c>
      <c r="BB245" s="45">
        <f t="shared" si="101"/>
        <v>15000000</v>
      </c>
      <c r="BC245" s="45">
        <f t="shared" si="101"/>
        <v>0</v>
      </c>
      <c r="BD245" s="45">
        <f t="shared" si="101"/>
        <v>0</v>
      </c>
      <c r="BE245" s="45">
        <f t="shared" si="101"/>
        <v>0</v>
      </c>
      <c r="BF245" s="45">
        <f t="shared" si="101"/>
        <v>0</v>
      </c>
      <c r="BG245" s="45">
        <f t="shared" si="101"/>
        <v>75000000</v>
      </c>
      <c r="BH245" s="45">
        <f t="shared" si="101"/>
        <v>0</v>
      </c>
      <c r="BI245" s="45">
        <f t="shared" si="101"/>
        <v>0</v>
      </c>
      <c r="BJ245" s="45">
        <f t="shared" si="101"/>
        <v>0</v>
      </c>
      <c r="BK245" s="45">
        <f t="shared" si="101"/>
        <v>283733325</v>
      </c>
      <c r="BL245" s="45">
        <f t="shared" si="101"/>
        <v>143733325</v>
      </c>
      <c r="BM245" s="45">
        <f t="shared" si="101"/>
        <v>15000000</v>
      </c>
      <c r="BN245" s="45">
        <f t="shared" si="101"/>
        <v>0</v>
      </c>
      <c r="BO245" s="45">
        <f t="shared" si="101"/>
        <v>0</v>
      </c>
      <c r="BP245" s="45">
        <f t="shared" si="101"/>
        <v>0</v>
      </c>
      <c r="BQ245" s="45">
        <f t="shared" si="101"/>
        <v>0</v>
      </c>
      <c r="BR245" s="45">
        <f t="shared" si="101"/>
        <v>125000000</v>
      </c>
      <c r="BS245" s="45">
        <f t="shared" si="101"/>
        <v>0</v>
      </c>
      <c r="BT245" s="45">
        <f t="shared" si="101"/>
        <v>0</v>
      </c>
      <c r="BU245" s="46">
        <f t="shared" si="101"/>
        <v>0</v>
      </c>
      <c r="BV245" s="45">
        <f t="shared" si="101"/>
        <v>1733141058</v>
      </c>
      <c r="BW245" s="47"/>
    </row>
    <row r="246" spans="1:80" s="190" customFormat="1" ht="173.25" customHeight="1" x14ac:dyDescent="0.2">
      <c r="A246" s="206">
        <v>2</v>
      </c>
      <c r="B246" s="216" t="s">
        <v>33</v>
      </c>
      <c r="C246" s="17" t="s">
        <v>343</v>
      </c>
      <c r="D246" s="17" t="s">
        <v>1652</v>
      </c>
      <c r="E246" s="82" t="s">
        <v>1653</v>
      </c>
      <c r="F246" s="6" t="s">
        <v>455</v>
      </c>
      <c r="G246" s="17" t="s">
        <v>778</v>
      </c>
      <c r="H246" s="16" t="s">
        <v>779</v>
      </c>
      <c r="I246" s="6">
        <v>39</v>
      </c>
      <c r="J246" s="6" t="s">
        <v>1088</v>
      </c>
      <c r="K246" s="15">
        <v>13</v>
      </c>
      <c r="L246" s="6" t="s">
        <v>346</v>
      </c>
      <c r="M246" s="206">
        <v>32</v>
      </c>
      <c r="N246" s="210" t="s">
        <v>1447</v>
      </c>
      <c r="O246" s="207" t="s">
        <v>287</v>
      </c>
      <c r="P246" s="79" t="s">
        <v>1089</v>
      </c>
      <c r="Q246" s="14">
        <v>3904006</v>
      </c>
      <c r="R246" s="14">
        <v>3904006</v>
      </c>
      <c r="S246" s="17" t="s">
        <v>1090</v>
      </c>
      <c r="T246" s="79" t="s">
        <v>1091</v>
      </c>
      <c r="U246" s="14">
        <v>390400604</v>
      </c>
      <c r="V246" s="14">
        <v>390400604</v>
      </c>
      <c r="W246" s="48" t="s">
        <v>1092</v>
      </c>
      <c r="X246" s="6" t="s">
        <v>9</v>
      </c>
      <c r="Y246" s="6">
        <v>54</v>
      </c>
      <c r="Z246" s="6">
        <v>0</v>
      </c>
      <c r="AA246" s="6">
        <v>18</v>
      </c>
      <c r="AB246" s="6">
        <v>18</v>
      </c>
      <c r="AC246" s="6">
        <v>18</v>
      </c>
      <c r="AD246" s="50">
        <f>AE246+AF246+AG246+AH246+AI246+AJ246+AK246+AL246+AM246+AN246</f>
        <v>1120906214</v>
      </c>
      <c r="AE246" s="52"/>
      <c r="AF246" s="52"/>
      <c r="AG246" s="52"/>
      <c r="AH246" s="52"/>
      <c r="AI246" s="52"/>
      <c r="AJ246" s="52"/>
      <c r="AK246" s="52">
        <v>1120906214</v>
      </c>
      <c r="AL246" s="52"/>
      <c r="AM246" s="52"/>
      <c r="AN246" s="52"/>
      <c r="AO246" s="52">
        <f>AP246+AQ246+AR246+AS246+AT246+AU246+AV246+AW246+AX246+AY246</f>
        <v>15000000</v>
      </c>
      <c r="AP246" s="52"/>
      <c r="AQ246" s="52">
        <v>15000000</v>
      </c>
      <c r="AR246" s="52"/>
      <c r="AS246" s="52"/>
      <c r="AT246" s="52"/>
      <c r="AU246" s="52"/>
      <c r="AV246" s="52"/>
      <c r="AW246" s="52"/>
      <c r="AX246" s="52"/>
      <c r="AY246" s="52"/>
      <c r="AZ246" s="52">
        <f t="shared" si="93"/>
        <v>111510000</v>
      </c>
      <c r="BA246" s="52">
        <v>96510000</v>
      </c>
      <c r="BB246" s="52">
        <v>15000000</v>
      </c>
      <c r="BC246" s="52"/>
      <c r="BD246" s="52"/>
      <c r="BE246" s="52"/>
      <c r="BF246" s="52"/>
      <c r="BG246" s="52"/>
      <c r="BH246" s="52"/>
      <c r="BI246" s="52"/>
      <c r="BJ246" s="52"/>
      <c r="BK246" s="52">
        <f t="shared" si="98"/>
        <v>112330000</v>
      </c>
      <c r="BL246" s="52">
        <v>97330000</v>
      </c>
      <c r="BM246" s="52">
        <v>15000000</v>
      </c>
      <c r="BN246" s="52"/>
      <c r="BO246" s="52"/>
      <c r="BP246" s="52"/>
      <c r="BQ246" s="52"/>
      <c r="BR246" s="52"/>
      <c r="BS246" s="52"/>
      <c r="BT246" s="52"/>
      <c r="BU246" s="53"/>
      <c r="BV246" s="54">
        <f>AD246+AO246+AZ246+BK246</f>
        <v>1359746214</v>
      </c>
      <c r="BW246" s="55"/>
    </row>
    <row r="247" spans="1:80" s="190" customFormat="1" ht="141.75" customHeight="1" x14ac:dyDescent="0.2">
      <c r="A247" s="206">
        <v>2</v>
      </c>
      <c r="B247" s="216" t="s">
        <v>33</v>
      </c>
      <c r="C247" s="17" t="s">
        <v>343</v>
      </c>
      <c r="D247" s="17" t="s">
        <v>288</v>
      </c>
      <c r="E247" s="82">
        <v>0.1</v>
      </c>
      <c r="F247" s="6">
        <v>2018</v>
      </c>
      <c r="G247" s="17" t="s">
        <v>1446</v>
      </c>
      <c r="H247" s="82">
        <v>0.3</v>
      </c>
      <c r="I247" s="6">
        <v>39</v>
      </c>
      <c r="J247" s="6" t="s">
        <v>1088</v>
      </c>
      <c r="K247" s="15">
        <v>13</v>
      </c>
      <c r="L247" s="6" t="s">
        <v>346</v>
      </c>
      <c r="M247" s="206">
        <v>32</v>
      </c>
      <c r="N247" s="209" t="s">
        <v>1447</v>
      </c>
      <c r="O247" s="207" t="s">
        <v>287</v>
      </c>
      <c r="P247" s="6" t="s">
        <v>1448</v>
      </c>
      <c r="Q247" s="14" t="s">
        <v>289</v>
      </c>
      <c r="R247" s="14" t="s">
        <v>289</v>
      </c>
      <c r="S247" s="17" t="s">
        <v>1449</v>
      </c>
      <c r="T247" s="6" t="s">
        <v>1450</v>
      </c>
      <c r="U247" s="14">
        <v>390401809</v>
      </c>
      <c r="V247" s="14">
        <v>390401809</v>
      </c>
      <c r="W247" s="48" t="s">
        <v>1451</v>
      </c>
      <c r="X247" s="6" t="s">
        <v>9</v>
      </c>
      <c r="Y247" s="6">
        <v>20</v>
      </c>
      <c r="Z247" s="6">
        <v>1</v>
      </c>
      <c r="AA247" s="6">
        <v>6</v>
      </c>
      <c r="AB247" s="6">
        <v>6</v>
      </c>
      <c r="AC247" s="6">
        <v>7</v>
      </c>
      <c r="AD247" s="50">
        <f>AE247+AF247+AG247+AH247+AI247+AJ247+AK247+AL247+AM247+AN247</f>
        <v>18000000</v>
      </c>
      <c r="AE247" s="52">
        <v>18000000</v>
      </c>
      <c r="AF247" s="52"/>
      <c r="AG247" s="52"/>
      <c r="AH247" s="52"/>
      <c r="AI247" s="52"/>
      <c r="AJ247" s="52"/>
      <c r="AK247" s="52"/>
      <c r="AL247" s="52"/>
      <c r="AM247" s="52"/>
      <c r="AN247" s="52"/>
      <c r="AO247" s="52">
        <f>AP247+AQ247+AR247+AS247+AT247+AU247+AV247+AW247+AX247+AY247</f>
        <v>92100000</v>
      </c>
      <c r="AP247" s="52">
        <v>17100000</v>
      </c>
      <c r="AQ247" s="52"/>
      <c r="AR247" s="52"/>
      <c r="AS247" s="52"/>
      <c r="AT247" s="52"/>
      <c r="AU247" s="52"/>
      <c r="AV247" s="52">
        <v>75000000</v>
      </c>
      <c r="AW247" s="52"/>
      <c r="AX247" s="52"/>
      <c r="AY247" s="52"/>
      <c r="AZ247" s="52">
        <f t="shared" si="93"/>
        <v>91891519</v>
      </c>
      <c r="BA247" s="52">
        <v>16891519</v>
      </c>
      <c r="BB247" s="52"/>
      <c r="BC247" s="52"/>
      <c r="BD247" s="52"/>
      <c r="BE247" s="52"/>
      <c r="BF247" s="52"/>
      <c r="BG247" s="52">
        <v>75000000</v>
      </c>
      <c r="BH247" s="52"/>
      <c r="BI247" s="52"/>
      <c r="BJ247" s="52"/>
      <c r="BK247" s="52">
        <f t="shared" si="98"/>
        <v>171403325</v>
      </c>
      <c r="BL247" s="52">
        <v>46403325</v>
      </c>
      <c r="BM247" s="52"/>
      <c r="BN247" s="52"/>
      <c r="BO247" s="52"/>
      <c r="BP247" s="52"/>
      <c r="BQ247" s="52"/>
      <c r="BR247" s="52">
        <v>125000000</v>
      </c>
      <c r="BS247" s="52"/>
      <c r="BT247" s="52"/>
      <c r="BU247" s="53"/>
      <c r="BV247" s="54">
        <f>AD247+AO247+AZ247+BK247</f>
        <v>373394844</v>
      </c>
      <c r="BW247" s="55"/>
    </row>
    <row r="248" spans="1:80" s="182" customFormat="1" ht="21.75" customHeight="1" x14ac:dyDescent="0.25">
      <c r="A248" s="24">
        <v>3</v>
      </c>
      <c r="B248" s="117" t="s">
        <v>41</v>
      </c>
      <c r="C248" s="24"/>
      <c r="D248" s="24"/>
      <c r="E248" s="118"/>
      <c r="F248" s="24"/>
      <c r="G248" s="24"/>
      <c r="H248" s="118"/>
      <c r="I248" s="24"/>
      <c r="J248" s="24"/>
      <c r="K248" s="24"/>
      <c r="L248" s="24"/>
      <c r="M248" s="24"/>
      <c r="N248" s="24"/>
      <c r="O248" s="24"/>
      <c r="P248" s="24"/>
      <c r="Q248" s="119"/>
      <c r="R248" s="119"/>
      <c r="S248" s="119"/>
      <c r="T248" s="119"/>
      <c r="U248" s="119"/>
      <c r="V248" s="119"/>
      <c r="W248" s="30"/>
      <c r="X248" s="30"/>
      <c r="Y248" s="27"/>
      <c r="Z248" s="27"/>
      <c r="AA248" s="27"/>
      <c r="AB248" s="27"/>
      <c r="AC248" s="31"/>
      <c r="AD248" s="32">
        <f t="shared" ref="AD248:AW248" si="102">AD249+AD255+AD260+AD263+AD271+AD274+AD280+AD284+AD292+AD299</f>
        <v>112553438322.78</v>
      </c>
      <c r="AE248" s="32">
        <f t="shared" si="102"/>
        <v>1073676280.3</v>
      </c>
      <c r="AF248" s="32">
        <f t="shared" si="102"/>
        <v>3624247512.3599997</v>
      </c>
      <c r="AG248" s="32">
        <f t="shared" si="102"/>
        <v>0</v>
      </c>
      <c r="AH248" s="32">
        <f t="shared" si="102"/>
        <v>0</v>
      </c>
      <c r="AI248" s="32">
        <f t="shared" si="102"/>
        <v>2686652877.1199999</v>
      </c>
      <c r="AJ248" s="32">
        <f t="shared" si="102"/>
        <v>0</v>
      </c>
      <c r="AK248" s="32">
        <f t="shared" si="102"/>
        <v>104654405653</v>
      </c>
      <c r="AL248" s="32">
        <f t="shared" si="102"/>
        <v>0</v>
      </c>
      <c r="AM248" s="32">
        <f t="shared" si="102"/>
        <v>0</v>
      </c>
      <c r="AN248" s="32">
        <f t="shared" si="102"/>
        <v>514456000</v>
      </c>
      <c r="AO248" s="32">
        <f t="shared" si="102"/>
        <v>7880954628.2366714</v>
      </c>
      <c r="AP248" s="32">
        <f t="shared" si="102"/>
        <v>685984164.43999994</v>
      </c>
      <c r="AQ248" s="32">
        <f t="shared" si="102"/>
        <v>4333524004.6240711</v>
      </c>
      <c r="AR248" s="32">
        <f t="shared" si="102"/>
        <v>0</v>
      </c>
      <c r="AS248" s="32">
        <f t="shared" si="102"/>
        <v>0</v>
      </c>
      <c r="AT248" s="32">
        <f t="shared" si="102"/>
        <v>2751236459.1726003</v>
      </c>
      <c r="AU248" s="32">
        <f t="shared" si="102"/>
        <v>0</v>
      </c>
      <c r="AV248" s="32">
        <f t="shared" si="102"/>
        <v>0</v>
      </c>
      <c r="AW248" s="32">
        <f t="shared" si="102"/>
        <v>0</v>
      </c>
      <c r="AX248" s="32">
        <f t="shared" ref="AX248:BV248" si="103">AX249+AX255+AX260+AX263+AX271+AX274+AX280+AX284+AX292+AX299</f>
        <v>0</v>
      </c>
      <c r="AY248" s="32">
        <f t="shared" si="103"/>
        <v>110210000</v>
      </c>
      <c r="AZ248" s="32">
        <f t="shared" si="103"/>
        <v>8794890528.9729652</v>
      </c>
      <c r="BA248" s="32">
        <f t="shared" si="103"/>
        <v>1120401878.3400002</v>
      </c>
      <c r="BB248" s="32">
        <f t="shared" si="103"/>
        <v>4727198797.6851864</v>
      </c>
      <c r="BC248" s="32">
        <f t="shared" si="103"/>
        <v>0</v>
      </c>
      <c r="BD248" s="32">
        <f t="shared" si="103"/>
        <v>0</v>
      </c>
      <c r="BE248" s="32">
        <f t="shared" si="103"/>
        <v>2833773552.9477782</v>
      </c>
      <c r="BF248" s="32">
        <f t="shared" si="103"/>
        <v>0</v>
      </c>
      <c r="BG248" s="32">
        <f t="shared" si="103"/>
        <v>0</v>
      </c>
      <c r="BH248" s="32">
        <f t="shared" si="103"/>
        <v>0</v>
      </c>
      <c r="BI248" s="32">
        <f t="shared" si="103"/>
        <v>0</v>
      </c>
      <c r="BJ248" s="32">
        <f t="shared" si="103"/>
        <v>113516300</v>
      </c>
      <c r="BK248" s="32">
        <f t="shared" si="103"/>
        <v>11085867230.217501</v>
      </c>
      <c r="BL248" s="32">
        <f t="shared" si="103"/>
        <v>2487934166.7923999</v>
      </c>
      <c r="BM248" s="32">
        <f t="shared" si="103"/>
        <v>5562224514.8888893</v>
      </c>
      <c r="BN248" s="32">
        <f t="shared" si="103"/>
        <v>0</v>
      </c>
      <c r="BO248" s="32">
        <f t="shared" si="103"/>
        <v>0</v>
      </c>
      <c r="BP248" s="32">
        <f t="shared" si="103"/>
        <v>2918786759.536212</v>
      </c>
      <c r="BQ248" s="32">
        <f t="shared" si="103"/>
        <v>0</v>
      </c>
      <c r="BR248" s="32">
        <f t="shared" si="103"/>
        <v>0</v>
      </c>
      <c r="BS248" s="32">
        <f t="shared" si="103"/>
        <v>0</v>
      </c>
      <c r="BT248" s="32">
        <f t="shared" si="103"/>
        <v>0</v>
      </c>
      <c r="BU248" s="32">
        <f t="shared" si="103"/>
        <v>116921789</v>
      </c>
      <c r="BV248" s="32">
        <f t="shared" si="103"/>
        <v>140315150710.20712</v>
      </c>
      <c r="BW248" s="120"/>
      <c r="CB248" s="173"/>
    </row>
    <row r="249" spans="1:80" ht="29.25" customHeight="1" x14ac:dyDescent="0.25">
      <c r="A249" s="34"/>
      <c r="B249" s="121"/>
      <c r="C249" s="34"/>
      <c r="D249" s="34"/>
      <c r="E249" s="37"/>
      <c r="F249" s="34"/>
      <c r="G249" s="34"/>
      <c r="H249" s="37"/>
      <c r="I249" s="34"/>
      <c r="J249" s="34"/>
      <c r="K249" s="34"/>
      <c r="L249" s="34"/>
      <c r="M249" s="58">
        <v>18</v>
      </c>
      <c r="N249" s="58">
        <v>2402</v>
      </c>
      <c r="O249" s="59" t="s">
        <v>42</v>
      </c>
      <c r="P249" s="58"/>
      <c r="Q249" s="60"/>
      <c r="R249" s="60"/>
      <c r="S249" s="60"/>
      <c r="T249" s="60"/>
      <c r="U249" s="60"/>
      <c r="V249" s="60"/>
      <c r="W249" s="43"/>
      <c r="X249" s="43"/>
      <c r="Y249" s="44"/>
      <c r="Z249" s="44"/>
      <c r="AA249" s="44"/>
      <c r="AB249" s="44"/>
      <c r="AC249" s="41"/>
      <c r="AD249" s="45">
        <f>SUM(AD250:AD254)</f>
        <v>69070460300.050003</v>
      </c>
      <c r="AE249" s="45">
        <f t="shared" ref="AE249:BU249" si="104">SUM(AE250:AE254)</f>
        <v>311721336</v>
      </c>
      <c r="AF249" s="45">
        <f t="shared" si="104"/>
        <v>479436488.05000001</v>
      </c>
      <c r="AG249" s="45">
        <f t="shared" si="104"/>
        <v>0</v>
      </c>
      <c r="AH249" s="45">
        <f t="shared" si="104"/>
        <v>0</v>
      </c>
      <c r="AI249" s="45">
        <f t="shared" si="104"/>
        <v>0</v>
      </c>
      <c r="AJ249" s="45">
        <f t="shared" si="104"/>
        <v>0</v>
      </c>
      <c r="AK249" s="45">
        <f t="shared" si="104"/>
        <v>68061022476</v>
      </c>
      <c r="AL249" s="45">
        <f t="shared" si="104"/>
        <v>0</v>
      </c>
      <c r="AM249" s="45">
        <f t="shared" si="104"/>
        <v>0</v>
      </c>
      <c r="AN249" s="45">
        <f t="shared" si="104"/>
        <v>218280000</v>
      </c>
      <c r="AO249" s="45">
        <f t="shared" si="104"/>
        <v>1002689699.722222</v>
      </c>
      <c r="AP249" s="45">
        <f t="shared" si="104"/>
        <v>9500000</v>
      </c>
      <c r="AQ249" s="45">
        <f t="shared" si="104"/>
        <v>993189699.72222197</v>
      </c>
      <c r="AR249" s="45">
        <f t="shared" si="104"/>
        <v>0</v>
      </c>
      <c r="AS249" s="45">
        <f t="shared" si="104"/>
        <v>0</v>
      </c>
      <c r="AT249" s="45">
        <f t="shared" si="104"/>
        <v>0</v>
      </c>
      <c r="AU249" s="45">
        <f t="shared" si="104"/>
        <v>0</v>
      </c>
      <c r="AV249" s="45">
        <f t="shared" si="104"/>
        <v>0</v>
      </c>
      <c r="AW249" s="45">
        <f t="shared" si="104"/>
        <v>0</v>
      </c>
      <c r="AX249" s="45">
        <f t="shared" si="104"/>
        <v>0</v>
      </c>
      <c r="AY249" s="45">
        <f t="shared" si="104"/>
        <v>0</v>
      </c>
      <c r="AZ249" s="45">
        <f t="shared" si="104"/>
        <v>1516145830.2777781</v>
      </c>
      <c r="BA249" s="45">
        <f t="shared" si="104"/>
        <v>0</v>
      </c>
      <c r="BB249" s="45">
        <f t="shared" si="104"/>
        <v>1516145830.2777781</v>
      </c>
      <c r="BC249" s="45">
        <f t="shared" si="104"/>
        <v>0</v>
      </c>
      <c r="BD249" s="45">
        <f t="shared" si="104"/>
        <v>0</v>
      </c>
      <c r="BE249" s="45">
        <f t="shared" si="104"/>
        <v>0</v>
      </c>
      <c r="BF249" s="45">
        <f t="shared" si="104"/>
        <v>0</v>
      </c>
      <c r="BG249" s="45">
        <f t="shared" si="104"/>
        <v>0</v>
      </c>
      <c r="BH249" s="45">
        <f t="shared" si="104"/>
        <v>0</v>
      </c>
      <c r="BI249" s="45">
        <f t="shared" si="104"/>
        <v>0</v>
      </c>
      <c r="BJ249" s="45">
        <f t="shared" si="104"/>
        <v>0</v>
      </c>
      <c r="BK249" s="45">
        <f t="shared" si="104"/>
        <v>2092024037.833333</v>
      </c>
      <c r="BL249" s="45">
        <f t="shared" si="104"/>
        <v>0</v>
      </c>
      <c r="BM249" s="45">
        <f t="shared" si="104"/>
        <v>2092024037.833333</v>
      </c>
      <c r="BN249" s="45">
        <f t="shared" si="104"/>
        <v>0</v>
      </c>
      <c r="BO249" s="45">
        <f t="shared" si="104"/>
        <v>0</v>
      </c>
      <c r="BP249" s="45">
        <f t="shared" si="104"/>
        <v>0</v>
      </c>
      <c r="BQ249" s="45">
        <f t="shared" si="104"/>
        <v>0</v>
      </c>
      <c r="BR249" s="45">
        <f t="shared" si="104"/>
        <v>0</v>
      </c>
      <c r="BS249" s="45">
        <f t="shared" si="104"/>
        <v>0</v>
      </c>
      <c r="BT249" s="45">
        <f t="shared" si="104"/>
        <v>0</v>
      </c>
      <c r="BU249" s="46">
        <f t="shared" si="104"/>
        <v>0</v>
      </c>
      <c r="BV249" s="45">
        <f>SUM(BV250:BV254)</f>
        <v>73681319867.883331</v>
      </c>
      <c r="BW249" s="47"/>
    </row>
    <row r="250" spans="1:80" s="190" customFormat="1" ht="110.25" customHeight="1" x14ac:dyDescent="0.2">
      <c r="A250" s="23">
        <v>3</v>
      </c>
      <c r="B250" s="218" t="s">
        <v>41</v>
      </c>
      <c r="C250" s="56" t="s">
        <v>910</v>
      </c>
      <c r="D250" s="56" t="s">
        <v>1573</v>
      </c>
      <c r="E250" s="81">
        <v>2.42</v>
      </c>
      <c r="F250" s="14">
        <v>2019</v>
      </c>
      <c r="G250" s="56" t="s">
        <v>911</v>
      </c>
      <c r="H250" s="81">
        <v>3</v>
      </c>
      <c r="I250" s="6">
        <v>24</v>
      </c>
      <c r="J250" s="6" t="s">
        <v>912</v>
      </c>
      <c r="K250" s="15">
        <v>9</v>
      </c>
      <c r="L250" s="6" t="s">
        <v>912</v>
      </c>
      <c r="M250" s="206">
        <v>18</v>
      </c>
      <c r="N250" s="209">
        <v>2402</v>
      </c>
      <c r="O250" s="207" t="s">
        <v>42</v>
      </c>
      <c r="P250" s="6" t="s">
        <v>913</v>
      </c>
      <c r="Q250" s="6" t="s">
        <v>77</v>
      </c>
      <c r="R250" s="6">
        <v>2402022</v>
      </c>
      <c r="S250" s="17" t="s">
        <v>302</v>
      </c>
      <c r="T250" s="6" t="s">
        <v>914</v>
      </c>
      <c r="U250" s="6" t="s">
        <v>77</v>
      </c>
      <c r="V250" s="6">
        <v>240202200</v>
      </c>
      <c r="W250" s="57" t="s">
        <v>915</v>
      </c>
      <c r="X250" s="14" t="s">
        <v>8</v>
      </c>
      <c r="Y250" s="14">
        <v>1</v>
      </c>
      <c r="Z250" s="14">
        <v>0</v>
      </c>
      <c r="AA250" s="14">
        <v>1</v>
      </c>
      <c r="AB250" s="14">
        <v>1</v>
      </c>
      <c r="AC250" s="14">
        <v>1</v>
      </c>
      <c r="AD250" s="50">
        <f>AE250+AF250+AG250+AH250+AI250+AJ250+AK250+AL250+AM250+AN250</f>
        <v>0</v>
      </c>
      <c r="AE250" s="52">
        <v>0</v>
      </c>
      <c r="AF250" s="52"/>
      <c r="AG250" s="52"/>
      <c r="AH250" s="52"/>
      <c r="AI250" s="52"/>
      <c r="AJ250" s="52"/>
      <c r="AK250" s="52"/>
      <c r="AL250" s="52"/>
      <c r="AM250" s="52"/>
      <c r="AN250" s="52"/>
      <c r="AO250" s="52">
        <f t="shared" ref="AO250:AO302" si="105">AP250+AQ250+AR250+AS250+AT250+AU250+AV250+AW250+AX250+AY250</f>
        <v>388831194</v>
      </c>
      <c r="AP250" s="52"/>
      <c r="AQ250" s="52">
        <v>388831194</v>
      </c>
      <c r="AR250" s="52"/>
      <c r="AS250" s="52"/>
      <c r="AT250" s="52"/>
      <c r="AU250" s="52"/>
      <c r="AV250" s="52"/>
      <c r="AW250" s="52"/>
      <c r="AX250" s="52"/>
      <c r="AY250" s="52"/>
      <c r="AZ250" s="52">
        <f>BA250+BB250+BC250+BD250+BE250+BF250+BG250+BH250+BI250+BJ250</f>
        <v>666893700</v>
      </c>
      <c r="BA250" s="52"/>
      <c r="BB250" s="52">
        <v>666893700</v>
      </c>
      <c r="BC250" s="52"/>
      <c r="BD250" s="52"/>
      <c r="BE250" s="52"/>
      <c r="BF250" s="52"/>
      <c r="BG250" s="52"/>
      <c r="BH250" s="52"/>
      <c r="BI250" s="52"/>
      <c r="BJ250" s="52"/>
      <c r="BK250" s="52">
        <f>BL250+BM250+BN250+BO250+BP250+BQ250+BR250+BS250+BT250+BU250</f>
        <v>506768822</v>
      </c>
      <c r="BL250" s="52"/>
      <c r="BM250" s="52">
        <v>506768822</v>
      </c>
      <c r="BN250" s="52"/>
      <c r="BO250" s="52"/>
      <c r="BP250" s="52"/>
      <c r="BQ250" s="52"/>
      <c r="BR250" s="52"/>
      <c r="BS250" s="52"/>
      <c r="BT250" s="52"/>
      <c r="BU250" s="53"/>
      <c r="BV250" s="54">
        <f>AD250+AO250+AZ250+BK250</f>
        <v>1562493716</v>
      </c>
      <c r="BW250" s="55"/>
    </row>
    <row r="251" spans="1:80" s="190" customFormat="1" ht="110.25" customHeight="1" x14ac:dyDescent="0.2">
      <c r="A251" s="23">
        <v>3</v>
      </c>
      <c r="B251" s="218" t="s">
        <v>41</v>
      </c>
      <c r="C251" s="56" t="s">
        <v>910</v>
      </c>
      <c r="D251" s="56" t="s">
        <v>1573</v>
      </c>
      <c r="E251" s="81">
        <v>2.42</v>
      </c>
      <c r="F251" s="14">
        <v>2019</v>
      </c>
      <c r="G251" s="56" t="s">
        <v>911</v>
      </c>
      <c r="H251" s="81">
        <v>3</v>
      </c>
      <c r="I251" s="6">
        <v>24</v>
      </c>
      <c r="J251" s="6" t="s">
        <v>912</v>
      </c>
      <c r="K251" s="15">
        <v>9</v>
      </c>
      <c r="L251" s="6" t="s">
        <v>912</v>
      </c>
      <c r="M251" s="206">
        <v>18</v>
      </c>
      <c r="N251" s="209">
        <v>2402</v>
      </c>
      <c r="O251" s="207" t="s">
        <v>42</v>
      </c>
      <c r="P251" s="6" t="s">
        <v>916</v>
      </c>
      <c r="Q251" s="6" t="s">
        <v>77</v>
      </c>
      <c r="R251" s="6">
        <v>2402041</v>
      </c>
      <c r="S251" s="56" t="s">
        <v>1632</v>
      </c>
      <c r="T251" s="6" t="s">
        <v>917</v>
      </c>
      <c r="U251" s="6" t="s">
        <v>77</v>
      </c>
      <c r="V251" s="6">
        <v>240204100</v>
      </c>
      <c r="W251" s="57" t="s">
        <v>918</v>
      </c>
      <c r="X251" s="14" t="s">
        <v>8</v>
      </c>
      <c r="Y251" s="14">
        <v>130</v>
      </c>
      <c r="Z251" s="14">
        <v>130</v>
      </c>
      <c r="AA251" s="14">
        <v>130</v>
      </c>
      <c r="AB251" s="14">
        <v>130</v>
      </c>
      <c r="AC251" s="14">
        <v>130</v>
      </c>
      <c r="AD251" s="50">
        <f>AE251+AF251+AG251+AH251+AI251+AJ251+AK251+AL251+AM251+AN251</f>
        <v>69036460300.050003</v>
      </c>
      <c r="AE251" s="52">
        <f>170360668+141360668-34000000</f>
        <v>277721336</v>
      </c>
      <c r="AF251" s="52">
        <v>479436488.05000001</v>
      </c>
      <c r="AG251" s="52"/>
      <c r="AH251" s="52"/>
      <c r="AI251" s="52"/>
      <c r="AJ251" s="52"/>
      <c r="AK251" s="52">
        <f>55374254675+12686767801</f>
        <v>68061022476</v>
      </c>
      <c r="AL251" s="52"/>
      <c r="AM251" s="52"/>
      <c r="AN251" s="52">
        <v>218280000</v>
      </c>
      <c r="AO251" s="52">
        <f t="shared" si="105"/>
        <v>604358505.72222197</v>
      </c>
      <c r="AP251" s="52"/>
      <c r="AQ251" s="52">
        <f>389254186+215104319.722222</f>
        <v>604358505.72222197</v>
      </c>
      <c r="AR251" s="52"/>
      <c r="AS251" s="52"/>
      <c r="AT251" s="52"/>
      <c r="AU251" s="52"/>
      <c r="AV251" s="52"/>
      <c r="AW251" s="52"/>
      <c r="AX251" s="52"/>
      <c r="AY251" s="52"/>
      <c r="AZ251" s="52">
        <f>BA251+BB251+BC251+BD251+BE251+BF251+BG251+BH251+BI251+BJ251</f>
        <v>849252130.27777803</v>
      </c>
      <c r="BA251" s="52"/>
      <c r="BB251" s="52">
        <f>600000000+249252130.277778</f>
        <v>849252130.27777803</v>
      </c>
      <c r="BC251" s="52"/>
      <c r="BD251" s="52"/>
      <c r="BE251" s="52"/>
      <c r="BF251" s="52"/>
      <c r="BG251" s="52"/>
      <c r="BH251" s="52"/>
      <c r="BI251" s="52"/>
      <c r="BJ251" s="52"/>
      <c r="BK251" s="52">
        <f>BL251+BM251+BN251+BO251+BP251+BQ251+BR251+BS251+BT251+BU251</f>
        <v>1585255215.833333</v>
      </c>
      <c r="BL251" s="52"/>
      <c r="BM251" s="52">
        <f>1300000000+285255215.833333</f>
        <v>1585255215.833333</v>
      </c>
      <c r="BN251" s="52"/>
      <c r="BO251" s="52"/>
      <c r="BP251" s="52"/>
      <c r="BQ251" s="52"/>
      <c r="BR251" s="52"/>
      <c r="BS251" s="52"/>
      <c r="BT251" s="52"/>
      <c r="BU251" s="53"/>
      <c r="BV251" s="54">
        <f>AD251+AO251+AZ251+BK251</f>
        <v>72075326151.883331</v>
      </c>
      <c r="BW251" s="77"/>
    </row>
    <row r="252" spans="1:80" s="190" customFormat="1" ht="110.25" customHeight="1" x14ac:dyDescent="0.2">
      <c r="A252" s="23">
        <v>3</v>
      </c>
      <c r="B252" s="218" t="s">
        <v>41</v>
      </c>
      <c r="C252" s="56" t="s">
        <v>910</v>
      </c>
      <c r="D252" s="56" t="s">
        <v>1573</v>
      </c>
      <c r="E252" s="81">
        <v>2.42</v>
      </c>
      <c r="F252" s="14">
        <v>2019</v>
      </c>
      <c r="G252" s="56" t="s">
        <v>911</v>
      </c>
      <c r="H252" s="81">
        <v>3</v>
      </c>
      <c r="I252" s="6">
        <v>24</v>
      </c>
      <c r="J252" s="6" t="s">
        <v>912</v>
      </c>
      <c r="K252" s="15">
        <v>9</v>
      </c>
      <c r="L252" s="6" t="s">
        <v>912</v>
      </c>
      <c r="M252" s="206">
        <v>18</v>
      </c>
      <c r="N252" s="209">
        <v>2402</v>
      </c>
      <c r="O252" s="207" t="s">
        <v>42</v>
      </c>
      <c r="P252" s="6" t="s">
        <v>916</v>
      </c>
      <c r="Q252" s="6" t="s">
        <v>77</v>
      </c>
      <c r="R252" s="6">
        <v>2402001</v>
      </c>
      <c r="S252" s="56" t="s">
        <v>1706</v>
      </c>
      <c r="T252" s="6" t="s">
        <v>917</v>
      </c>
      <c r="U252" s="6"/>
      <c r="V252" s="6">
        <v>240200100</v>
      </c>
      <c r="W252" s="57" t="s">
        <v>1706</v>
      </c>
      <c r="X252" s="14" t="s">
        <v>8</v>
      </c>
      <c r="Y252" s="14">
        <v>130</v>
      </c>
      <c r="Z252" s="14"/>
      <c r="AA252" s="14"/>
      <c r="AB252" s="14"/>
      <c r="AC252" s="14"/>
      <c r="AD252" s="50"/>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3"/>
      <c r="BV252" s="54"/>
      <c r="BW252" s="77"/>
    </row>
    <row r="253" spans="1:80" s="190" customFormat="1" ht="110.25" customHeight="1" x14ac:dyDescent="0.2">
      <c r="A253" s="23">
        <v>3</v>
      </c>
      <c r="B253" s="218" t="s">
        <v>41</v>
      </c>
      <c r="C253" s="56" t="s">
        <v>910</v>
      </c>
      <c r="D253" s="56" t="s">
        <v>1573</v>
      </c>
      <c r="E253" s="81">
        <v>2.42</v>
      </c>
      <c r="F253" s="14">
        <v>2019</v>
      </c>
      <c r="G253" s="56" t="s">
        <v>911</v>
      </c>
      <c r="H253" s="81">
        <v>3</v>
      </c>
      <c r="I253" s="6">
        <v>24</v>
      </c>
      <c r="J253" s="6" t="s">
        <v>912</v>
      </c>
      <c r="K253" s="15">
        <v>9</v>
      </c>
      <c r="L253" s="6" t="s">
        <v>912</v>
      </c>
      <c r="M253" s="206">
        <v>18</v>
      </c>
      <c r="N253" s="209">
        <v>2402</v>
      </c>
      <c r="O253" s="207" t="s">
        <v>42</v>
      </c>
      <c r="P253" s="6" t="s">
        <v>916</v>
      </c>
      <c r="Q253" s="6" t="s">
        <v>77</v>
      </c>
      <c r="R253" s="6">
        <v>2402006</v>
      </c>
      <c r="S253" s="56" t="s">
        <v>1707</v>
      </c>
      <c r="T253" s="6" t="s">
        <v>917</v>
      </c>
      <c r="U253" s="6"/>
      <c r="V253" s="6">
        <v>240200606</v>
      </c>
      <c r="W253" s="57" t="s">
        <v>1708</v>
      </c>
      <c r="X253" s="14" t="s">
        <v>8</v>
      </c>
      <c r="Y253" s="14">
        <v>130</v>
      </c>
      <c r="Z253" s="14"/>
      <c r="AA253" s="14"/>
      <c r="AB253" s="14"/>
      <c r="AC253" s="14"/>
      <c r="AD253" s="50"/>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3"/>
      <c r="BV253" s="54"/>
      <c r="BW253" s="77"/>
    </row>
    <row r="254" spans="1:80" s="190" customFormat="1" ht="78.75" customHeight="1" x14ac:dyDescent="0.2">
      <c r="A254" s="23">
        <v>3</v>
      </c>
      <c r="B254" s="218" t="s">
        <v>41</v>
      </c>
      <c r="C254" s="56" t="s">
        <v>919</v>
      </c>
      <c r="D254" s="56" t="s">
        <v>1573</v>
      </c>
      <c r="E254" s="81">
        <v>2.42</v>
      </c>
      <c r="F254" s="14">
        <v>2019</v>
      </c>
      <c r="G254" s="56" t="s">
        <v>911</v>
      </c>
      <c r="H254" s="81">
        <v>3</v>
      </c>
      <c r="I254" s="6">
        <v>24</v>
      </c>
      <c r="J254" s="6" t="s">
        <v>912</v>
      </c>
      <c r="K254" s="15">
        <v>9</v>
      </c>
      <c r="L254" s="6" t="s">
        <v>912</v>
      </c>
      <c r="M254" s="206">
        <v>18</v>
      </c>
      <c r="N254" s="209">
        <v>2402</v>
      </c>
      <c r="O254" s="207" t="s">
        <v>42</v>
      </c>
      <c r="P254" s="6" t="s">
        <v>920</v>
      </c>
      <c r="Q254" s="6" t="s">
        <v>77</v>
      </c>
      <c r="R254" s="6">
        <v>2402118</v>
      </c>
      <c r="S254" s="56" t="s">
        <v>921</v>
      </c>
      <c r="T254" s="6" t="s">
        <v>922</v>
      </c>
      <c r="U254" s="6" t="s">
        <v>77</v>
      </c>
      <c r="V254" s="6">
        <v>240211800</v>
      </c>
      <c r="W254" s="57" t="s">
        <v>923</v>
      </c>
      <c r="X254" s="14" t="s">
        <v>9</v>
      </c>
      <c r="Y254" s="14">
        <v>8</v>
      </c>
      <c r="Z254" s="6">
        <v>1</v>
      </c>
      <c r="AA254" s="6">
        <v>6</v>
      </c>
      <c r="AB254" s="6">
        <v>1</v>
      </c>
      <c r="AC254" s="17"/>
      <c r="AD254" s="50">
        <f>AE254+AF254+AG254+AH254+AI254+AJ254+AK254+AL254+AM254+AN254</f>
        <v>34000000</v>
      </c>
      <c r="AE254" s="52">
        <v>34000000</v>
      </c>
      <c r="AF254" s="52"/>
      <c r="AG254" s="52"/>
      <c r="AH254" s="52"/>
      <c r="AI254" s="52"/>
      <c r="AJ254" s="52"/>
      <c r="AK254" s="52"/>
      <c r="AL254" s="52"/>
      <c r="AM254" s="52"/>
      <c r="AN254" s="52"/>
      <c r="AO254" s="52">
        <f t="shared" si="105"/>
        <v>9500000</v>
      </c>
      <c r="AP254" s="52">
        <v>9500000</v>
      </c>
      <c r="AQ254" s="52"/>
      <c r="AR254" s="52"/>
      <c r="AS254" s="52"/>
      <c r="AT254" s="52"/>
      <c r="AU254" s="52"/>
      <c r="AV254" s="52"/>
      <c r="AW254" s="52"/>
      <c r="AX254" s="52"/>
      <c r="AY254" s="52"/>
      <c r="AZ254" s="52">
        <f>BA254+BB254+BC254+BD254+BE254+BF254+BG254+BH254+BI254+BJ254</f>
        <v>0</v>
      </c>
      <c r="BA254" s="52"/>
      <c r="BB254" s="52"/>
      <c r="BC254" s="52"/>
      <c r="BD254" s="52"/>
      <c r="BE254" s="52"/>
      <c r="BF254" s="52"/>
      <c r="BG254" s="52"/>
      <c r="BH254" s="52"/>
      <c r="BI254" s="52"/>
      <c r="BJ254" s="52"/>
      <c r="BK254" s="52">
        <f>BL254+BM254+BN254+BO254+BP254+BQ254+BR254+BS254+BT254+BU254</f>
        <v>0</v>
      </c>
      <c r="BL254" s="52"/>
      <c r="BM254" s="52"/>
      <c r="BN254" s="52"/>
      <c r="BO254" s="52"/>
      <c r="BP254" s="52"/>
      <c r="BQ254" s="52"/>
      <c r="BR254" s="52"/>
      <c r="BS254" s="52"/>
      <c r="BT254" s="52"/>
      <c r="BU254" s="53"/>
      <c r="BV254" s="54">
        <f>AD254+AO254+AZ254+BK254</f>
        <v>43500000</v>
      </c>
      <c r="BW254" s="55"/>
    </row>
    <row r="255" spans="1:80" ht="23.25" customHeight="1" x14ac:dyDescent="0.25">
      <c r="A255" s="23"/>
      <c r="B255" s="217"/>
      <c r="C255" s="34"/>
      <c r="D255" s="34"/>
      <c r="E255" s="37"/>
      <c r="F255" s="34"/>
      <c r="G255" s="34"/>
      <c r="H255" s="37"/>
      <c r="I255" s="34"/>
      <c r="J255" s="34"/>
      <c r="K255" s="34"/>
      <c r="L255" s="34"/>
      <c r="M255" s="58">
        <v>19</v>
      </c>
      <c r="N255" s="58">
        <v>2409</v>
      </c>
      <c r="O255" s="59" t="s">
        <v>299</v>
      </c>
      <c r="P255" s="58"/>
      <c r="Q255" s="60"/>
      <c r="R255" s="60"/>
      <c r="S255" s="60"/>
      <c r="T255" s="60"/>
      <c r="U255" s="60"/>
      <c r="V255" s="60"/>
      <c r="W255" s="43"/>
      <c r="X255" s="43"/>
      <c r="Y255" s="44"/>
      <c r="Z255" s="44"/>
      <c r="AA255" s="44"/>
      <c r="AB255" s="44"/>
      <c r="AC255" s="41"/>
      <c r="AD255" s="45">
        <f>SUM(AD256:AD259)</f>
        <v>107000000</v>
      </c>
      <c r="AE255" s="45">
        <f t="shared" ref="AE255:BV255" si="106">SUM(AE256:AE259)</f>
        <v>0</v>
      </c>
      <c r="AF255" s="45">
        <f t="shared" si="106"/>
        <v>0</v>
      </c>
      <c r="AG255" s="45">
        <f t="shared" si="106"/>
        <v>0</v>
      </c>
      <c r="AH255" s="45">
        <f t="shared" si="106"/>
        <v>0</v>
      </c>
      <c r="AI255" s="45">
        <f t="shared" si="106"/>
        <v>0</v>
      </c>
      <c r="AJ255" s="45">
        <f t="shared" si="106"/>
        <v>0</v>
      </c>
      <c r="AK255" s="45">
        <f t="shared" si="106"/>
        <v>0</v>
      </c>
      <c r="AL255" s="45">
        <f t="shared" si="106"/>
        <v>0</v>
      </c>
      <c r="AM255" s="45">
        <f t="shared" si="106"/>
        <v>0</v>
      </c>
      <c r="AN255" s="45">
        <f t="shared" si="106"/>
        <v>107000000</v>
      </c>
      <c r="AO255" s="45">
        <f t="shared" si="106"/>
        <v>110210000</v>
      </c>
      <c r="AP255" s="45">
        <f t="shared" si="106"/>
        <v>0</v>
      </c>
      <c r="AQ255" s="45">
        <f t="shared" si="106"/>
        <v>0</v>
      </c>
      <c r="AR255" s="45">
        <f t="shared" si="106"/>
        <v>0</v>
      </c>
      <c r="AS255" s="45">
        <f t="shared" si="106"/>
        <v>0</v>
      </c>
      <c r="AT255" s="45">
        <f t="shared" si="106"/>
        <v>0</v>
      </c>
      <c r="AU255" s="45">
        <f t="shared" si="106"/>
        <v>0</v>
      </c>
      <c r="AV255" s="45">
        <f t="shared" si="106"/>
        <v>0</v>
      </c>
      <c r="AW255" s="45">
        <f t="shared" si="106"/>
        <v>0</v>
      </c>
      <c r="AX255" s="45">
        <f t="shared" si="106"/>
        <v>0</v>
      </c>
      <c r="AY255" s="45">
        <f t="shared" si="106"/>
        <v>110210000</v>
      </c>
      <c r="AZ255" s="45">
        <f t="shared" si="106"/>
        <v>113516300</v>
      </c>
      <c r="BA255" s="45">
        <f t="shared" si="106"/>
        <v>0</v>
      </c>
      <c r="BB255" s="45">
        <f t="shared" si="106"/>
        <v>0</v>
      </c>
      <c r="BC255" s="45">
        <f t="shared" si="106"/>
        <v>0</v>
      </c>
      <c r="BD255" s="45">
        <f t="shared" si="106"/>
        <v>0</v>
      </c>
      <c r="BE255" s="45">
        <f t="shared" si="106"/>
        <v>0</v>
      </c>
      <c r="BF255" s="45">
        <f t="shared" si="106"/>
        <v>0</v>
      </c>
      <c r="BG255" s="45">
        <f t="shared" si="106"/>
        <v>0</v>
      </c>
      <c r="BH255" s="45">
        <f t="shared" si="106"/>
        <v>0</v>
      </c>
      <c r="BI255" s="45">
        <f t="shared" si="106"/>
        <v>0</v>
      </c>
      <c r="BJ255" s="45">
        <f t="shared" si="106"/>
        <v>113516300</v>
      </c>
      <c r="BK255" s="45">
        <f t="shared" si="106"/>
        <v>116921789</v>
      </c>
      <c r="BL255" s="45">
        <f t="shared" si="106"/>
        <v>0</v>
      </c>
      <c r="BM255" s="45">
        <f t="shared" si="106"/>
        <v>0</v>
      </c>
      <c r="BN255" s="45">
        <f t="shared" si="106"/>
        <v>0</v>
      </c>
      <c r="BO255" s="45">
        <f t="shared" si="106"/>
        <v>0</v>
      </c>
      <c r="BP255" s="45">
        <f t="shared" si="106"/>
        <v>0</v>
      </c>
      <c r="BQ255" s="45">
        <f t="shared" si="106"/>
        <v>0</v>
      </c>
      <c r="BR255" s="45">
        <f t="shared" si="106"/>
        <v>0</v>
      </c>
      <c r="BS255" s="45">
        <f t="shared" si="106"/>
        <v>0</v>
      </c>
      <c r="BT255" s="45">
        <f t="shared" si="106"/>
        <v>0</v>
      </c>
      <c r="BU255" s="46">
        <f t="shared" si="106"/>
        <v>116921789</v>
      </c>
      <c r="BV255" s="45">
        <f t="shared" si="106"/>
        <v>447648089</v>
      </c>
      <c r="BW255" s="47"/>
    </row>
    <row r="256" spans="1:80" s="190" customFormat="1" ht="126" customHeight="1" x14ac:dyDescent="0.2">
      <c r="A256" s="23">
        <v>3</v>
      </c>
      <c r="B256" s="218" t="s">
        <v>41</v>
      </c>
      <c r="C256" s="17" t="s">
        <v>924</v>
      </c>
      <c r="D256" s="17" t="s">
        <v>1591</v>
      </c>
      <c r="E256" s="88" t="s">
        <v>1592</v>
      </c>
      <c r="F256" s="6" t="s">
        <v>1010</v>
      </c>
      <c r="G256" s="17" t="s">
        <v>925</v>
      </c>
      <c r="H256" s="16" t="s">
        <v>1593</v>
      </c>
      <c r="I256" s="6">
        <v>24</v>
      </c>
      <c r="J256" s="6" t="s">
        <v>912</v>
      </c>
      <c r="K256" s="15">
        <v>9</v>
      </c>
      <c r="L256" s="6" t="s">
        <v>912</v>
      </c>
      <c r="M256" s="206">
        <v>19</v>
      </c>
      <c r="N256" s="206">
        <v>2409</v>
      </c>
      <c r="O256" s="207" t="s">
        <v>299</v>
      </c>
      <c r="P256" s="6" t="s">
        <v>926</v>
      </c>
      <c r="Q256" s="6" t="s">
        <v>77</v>
      </c>
      <c r="R256" s="6">
        <v>2409009</v>
      </c>
      <c r="S256" s="17" t="s">
        <v>300</v>
      </c>
      <c r="T256" s="6" t="s">
        <v>927</v>
      </c>
      <c r="U256" s="6" t="s">
        <v>77</v>
      </c>
      <c r="V256" s="6">
        <v>240900900</v>
      </c>
      <c r="W256" s="48" t="s">
        <v>928</v>
      </c>
      <c r="X256" s="6" t="s">
        <v>8</v>
      </c>
      <c r="Y256" s="6">
        <v>1</v>
      </c>
      <c r="Z256" s="6">
        <v>1</v>
      </c>
      <c r="AA256" s="6">
        <v>1</v>
      </c>
      <c r="AB256" s="6">
        <v>1</v>
      </c>
      <c r="AC256" s="6">
        <v>1</v>
      </c>
      <c r="AD256" s="50">
        <f>AE256+AF256+AG256+AH256+AI256+AJ256+AK256+AL256+AM256+AN256</f>
        <v>26400000</v>
      </c>
      <c r="AE256" s="52"/>
      <c r="AF256" s="52"/>
      <c r="AG256" s="52"/>
      <c r="AH256" s="52"/>
      <c r="AI256" s="52"/>
      <c r="AJ256" s="52"/>
      <c r="AK256" s="52"/>
      <c r="AL256" s="52"/>
      <c r="AM256" s="52"/>
      <c r="AN256" s="52">
        <v>26400000</v>
      </c>
      <c r="AO256" s="52">
        <f t="shared" si="105"/>
        <v>27192000</v>
      </c>
      <c r="AP256" s="52"/>
      <c r="AQ256" s="52"/>
      <c r="AR256" s="52"/>
      <c r="AS256" s="52"/>
      <c r="AT256" s="52"/>
      <c r="AU256" s="52"/>
      <c r="AV256" s="52"/>
      <c r="AW256" s="52"/>
      <c r="AX256" s="52"/>
      <c r="AY256" s="52">
        <v>27192000</v>
      </c>
      <c r="AZ256" s="52">
        <f>BA256+BB256+BC256+BD256+BE256+BF256+BG256+BH256+BI256+BJ256</f>
        <v>28007760</v>
      </c>
      <c r="BA256" s="52"/>
      <c r="BB256" s="52"/>
      <c r="BC256" s="52"/>
      <c r="BD256" s="52"/>
      <c r="BE256" s="52"/>
      <c r="BF256" s="52"/>
      <c r="BG256" s="52"/>
      <c r="BH256" s="52"/>
      <c r="BI256" s="52"/>
      <c r="BJ256" s="52">
        <v>28007760</v>
      </c>
      <c r="BK256" s="52">
        <f>BL256+BM256+BN256+BO256+BP256+BQ256+BR256+BS256+BT256+BU256</f>
        <v>28847992.800000001</v>
      </c>
      <c r="BL256" s="52"/>
      <c r="BM256" s="52"/>
      <c r="BN256" s="52"/>
      <c r="BO256" s="52"/>
      <c r="BP256" s="52"/>
      <c r="BQ256" s="52"/>
      <c r="BR256" s="52"/>
      <c r="BS256" s="52"/>
      <c r="BT256" s="52"/>
      <c r="BU256" s="53">
        <v>28847992.800000001</v>
      </c>
      <c r="BV256" s="54">
        <f>AD256+AO256+AZ256+BK256</f>
        <v>110447752.8</v>
      </c>
      <c r="BW256" s="55"/>
    </row>
    <row r="257" spans="1:75" s="190" customFormat="1" ht="126" customHeight="1" x14ac:dyDescent="0.2">
      <c r="A257" s="23">
        <v>3</v>
      </c>
      <c r="B257" s="218" t="s">
        <v>41</v>
      </c>
      <c r="C257" s="17" t="s">
        <v>924</v>
      </c>
      <c r="D257" s="17" t="s">
        <v>1591</v>
      </c>
      <c r="E257" s="88" t="s">
        <v>1592</v>
      </c>
      <c r="F257" s="6" t="s">
        <v>1010</v>
      </c>
      <c r="G257" s="17" t="s">
        <v>925</v>
      </c>
      <c r="H257" s="16" t="s">
        <v>1593</v>
      </c>
      <c r="I257" s="6">
        <v>24</v>
      </c>
      <c r="J257" s="6" t="s">
        <v>912</v>
      </c>
      <c r="K257" s="15">
        <v>9</v>
      </c>
      <c r="L257" s="6" t="s">
        <v>912</v>
      </c>
      <c r="M257" s="206">
        <v>19</v>
      </c>
      <c r="N257" s="206">
        <v>2409</v>
      </c>
      <c r="O257" s="207" t="s">
        <v>299</v>
      </c>
      <c r="P257" s="6" t="s">
        <v>929</v>
      </c>
      <c r="Q257" s="6" t="s">
        <v>77</v>
      </c>
      <c r="R257" s="6">
        <v>2409022</v>
      </c>
      <c r="S257" s="17" t="s">
        <v>1574</v>
      </c>
      <c r="T257" s="6" t="s">
        <v>930</v>
      </c>
      <c r="U257" s="6" t="s">
        <v>77</v>
      </c>
      <c r="V257" s="6">
        <v>240902202</v>
      </c>
      <c r="W257" s="48" t="s">
        <v>931</v>
      </c>
      <c r="X257" s="6" t="s">
        <v>8</v>
      </c>
      <c r="Y257" s="6">
        <v>1</v>
      </c>
      <c r="Z257" s="6">
        <v>1</v>
      </c>
      <c r="AA257" s="6">
        <v>1</v>
      </c>
      <c r="AB257" s="6">
        <v>1</v>
      </c>
      <c r="AC257" s="6">
        <v>1</v>
      </c>
      <c r="AD257" s="50">
        <f>AE257+AF257+AG257+AH257+AI257+AJ257+AK257+AL257+AM257+AN257</f>
        <v>8400000</v>
      </c>
      <c r="AE257" s="52"/>
      <c r="AF257" s="52"/>
      <c r="AG257" s="52"/>
      <c r="AH257" s="52"/>
      <c r="AI257" s="52"/>
      <c r="AJ257" s="52"/>
      <c r="AK257" s="52"/>
      <c r="AL257" s="52"/>
      <c r="AM257" s="52"/>
      <c r="AN257" s="52">
        <v>8400000</v>
      </c>
      <c r="AO257" s="52">
        <f t="shared" si="105"/>
        <v>8652000</v>
      </c>
      <c r="AP257" s="52"/>
      <c r="AQ257" s="52"/>
      <c r="AR257" s="52"/>
      <c r="AS257" s="52"/>
      <c r="AT257" s="52"/>
      <c r="AU257" s="52"/>
      <c r="AV257" s="52"/>
      <c r="AW257" s="52"/>
      <c r="AX257" s="52"/>
      <c r="AY257" s="52">
        <v>8652000</v>
      </c>
      <c r="AZ257" s="52">
        <f>BA257+BB257+BC257+BD257+BE257+BF257+BG257+BH257+BI257+BJ257</f>
        <v>8911560</v>
      </c>
      <c r="BA257" s="52"/>
      <c r="BB257" s="52"/>
      <c r="BC257" s="52"/>
      <c r="BD257" s="52"/>
      <c r="BE257" s="52"/>
      <c r="BF257" s="52"/>
      <c r="BG257" s="52"/>
      <c r="BH257" s="52"/>
      <c r="BI257" s="52"/>
      <c r="BJ257" s="52">
        <v>8911560</v>
      </c>
      <c r="BK257" s="52">
        <f>BL257+BM257+BN257+BO257+BP257+BQ257+BR257+BS257+BT257+BU257</f>
        <v>9178906.8000000007</v>
      </c>
      <c r="BL257" s="52"/>
      <c r="BM257" s="52"/>
      <c r="BN257" s="52"/>
      <c r="BO257" s="52"/>
      <c r="BP257" s="52"/>
      <c r="BQ257" s="52"/>
      <c r="BR257" s="52"/>
      <c r="BS257" s="52"/>
      <c r="BT257" s="52"/>
      <c r="BU257" s="53">
        <v>9178906.8000000007</v>
      </c>
      <c r="BV257" s="54">
        <f>AD257+AO257+AZ257+BK257</f>
        <v>35142466.799999997</v>
      </c>
      <c r="BW257" s="55"/>
    </row>
    <row r="258" spans="1:75" s="190" customFormat="1" ht="126" customHeight="1" x14ac:dyDescent="0.2">
      <c r="A258" s="23">
        <v>3</v>
      </c>
      <c r="B258" s="218" t="s">
        <v>41</v>
      </c>
      <c r="C258" s="17" t="s">
        <v>924</v>
      </c>
      <c r="D258" s="17" t="s">
        <v>1591</v>
      </c>
      <c r="E258" s="88" t="s">
        <v>1592</v>
      </c>
      <c r="F258" s="6" t="s">
        <v>1010</v>
      </c>
      <c r="G258" s="17" t="s">
        <v>925</v>
      </c>
      <c r="H258" s="16" t="s">
        <v>1593</v>
      </c>
      <c r="I258" s="6">
        <v>24</v>
      </c>
      <c r="J258" s="6" t="s">
        <v>912</v>
      </c>
      <c r="K258" s="15">
        <v>9</v>
      </c>
      <c r="L258" s="6" t="s">
        <v>912</v>
      </c>
      <c r="M258" s="206">
        <v>19</v>
      </c>
      <c r="N258" s="206">
        <v>2409</v>
      </c>
      <c r="O258" s="207" t="s">
        <v>299</v>
      </c>
      <c r="P258" s="6" t="s">
        <v>932</v>
      </c>
      <c r="Q258" s="6" t="s">
        <v>77</v>
      </c>
      <c r="R258" s="6">
        <v>2409014</v>
      </c>
      <c r="S258" s="17" t="s">
        <v>301</v>
      </c>
      <c r="T258" s="6" t="s">
        <v>933</v>
      </c>
      <c r="U258" s="6" t="s">
        <v>77</v>
      </c>
      <c r="V258" s="6">
        <v>240901400</v>
      </c>
      <c r="W258" s="48" t="s">
        <v>934</v>
      </c>
      <c r="X258" s="6" t="s">
        <v>8</v>
      </c>
      <c r="Y258" s="6">
        <v>1</v>
      </c>
      <c r="Z258" s="6">
        <v>1</v>
      </c>
      <c r="AA258" s="6">
        <v>1</v>
      </c>
      <c r="AB258" s="6">
        <v>1</v>
      </c>
      <c r="AC258" s="6">
        <v>1</v>
      </c>
      <c r="AD258" s="50">
        <f>AE258+AF258+AG258+AH258+AI258+AJ258+AK258+AL258+AM258+AN258</f>
        <v>25200000</v>
      </c>
      <c r="AE258" s="52"/>
      <c r="AF258" s="52"/>
      <c r="AG258" s="52"/>
      <c r="AH258" s="52"/>
      <c r="AI258" s="52"/>
      <c r="AJ258" s="52"/>
      <c r="AK258" s="52"/>
      <c r="AL258" s="52"/>
      <c r="AM258" s="52"/>
      <c r="AN258" s="52">
        <v>25200000</v>
      </c>
      <c r="AO258" s="52">
        <f t="shared" si="105"/>
        <v>25956000</v>
      </c>
      <c r="AP258" s="52"/>
      <c r="AQ258" s="52"/>
      <c r="AR258" s="52"/>
      <c r="AS258" s="52"/>
      <c r="AT258" s="52"/>
      <c r="AU258" s="52"/>
      <c r="AV258" s="52"/>
      <c r="AW258" s="52"/>
      <c r="AX258" s="52"/>
      <c r="AY258" s="52">
        <v>25956000</v>
      </c>
      <c r="AZ258" s="52">
        <f>BA258+BB258+BC258+BD258+BE258+BF258+BG258+BH258+BI258+BJ258</f>
        <v>26734680</v>
      </c>
      <c r="BA258" s="52"/>
      <c r="BB258" s="52"/>
      <c r="BC258" s="52"/>
      <c r="BD258" s="52"/>
      <c r="BE258" s="52"/>
      <c r="BF258" s="52"/>
      <c r="BG258" s="52"/>
      <c r="BH258" s="52"/>
      <c r="BI258" s="52"/>
      <c r="BJ258" s="52">
        <v>26734680</v>
      </c>
      <c r="BK258" s="52">
        <f>BL258+BM258+BN258+BO258+BP258+BQ258+BR258+BS258+BT258+BU258</f>
        <v>27536720.399999999</v>
      </c>
      <c r="BL258" s="52"/>
      <c r="BM258" s="52"/>
      <c r="BN258" s="52"/>
      <c r="BO258" s="52"/>
      <c r="BP258" s="52"/>
      <c r="BQ258" s="52"/>
      <c r="BR258" s="52"/>
      <c r="BS258" s="52"/>
      <c r="BT258" s="52"/>
      <c r="BU258" s="53">
        <v>27536720.399999999</v>
      </c>
      <c r="BV258" s="54">
        <f>AD258+AO258+AZ258+BK258</f>
        <v>105427400.40000001</v>
      </c>
      <c r="BW258" s="55"/>
    </row>
    <row r="259" spans="1:75" s="190" customFormat="1" ht="173.25" customHeight="1" x14ac:dyDescent="0.2">
      <c r="A259" s="23">
        <v>3</v>
      </c>
      <c r="B259" s="218" t="s">
        <v>41</v>
      </c>
      <c r="C259" s="17" t="s">
        <v>924</v>
      </c>
      <c r="D259" s="17" t="s">
        <v>1591</v>
      </c>
      <c r="E259" s="88" t="s">
        <v>1592</v>
      </c>
      <c r="F259" s="6" t="s">
        <v>1010</v>
      </c>
      <c r="G259" s="17" t="s">
        <v>925</v>
      </c>
      <c r="H259" s="16" t="s">
        <v>1593</v>
      </c>
      <c r="I259" s="6">
        <v>24</v>
      </c>
      <c r="J259" s="6" t="s">
        <v>912</v>
      </c>
      <c r="K259" s="15">
        <v>9</v>
      </c>
      <c r="L259" s="6" t="s">
        <v>912</v>
      </c>
      <c r="M259" s="206">
        <v>19</v>
      </c>
      <c r="N259" s="206">
        <v>2409</v>
      </c>
      <c r="O259" s="207" t="s">
        <v>299</v>
      </c>
      <c r="P259" s="6" t="s">
        <v>935</v>
      </c>
      <c r="Q259" s="6" t="s">
        <v>77</v>
      </c>
      <c r="R259" s="6">
        <v>2409039</v>
      </c>
      <c r="S259" s="17" t="s">
        <v>1575</v>
      </c>
      <c r="T259" s="6" t="s">
        <v>936</v>
      </c>
      <c r="U259" s="6" t="s">
        <v>77</v>
      </c>
      <c r="V259" s="6">
        <v>240903905</v>
      </c>
      <c r="W259" s="48" t="s">
        <v>937</v>
      </c>
      <c r="X259" s="6" t="s">
        <v>8</v>
      </c>
      <c r="Y259" s="6">
        <v>1</v>
      </c>
      <c r="Z259" s="6">
        <v>1</v>
      </c>
      <c r="AA259" s="6">
        <v>1</v>
      </c>
      <c r="AB259" s="6">
        <v>1</v>
      </c>
      <c r="AC259" s="6">
        <v>1</v>
      </c>
      <c r="AD259" s="50">
        <f>AE259+AF259+AG259+AH259+AI259+AJ259+AK259+AL259+AM259+AN259</f>
        <v>47000000</v>
      </c>
      <c r="AE259" s="52"/>
      <c r="AF259" s="52"/>
      <c r="AG259" s="52"/>
      <c r="AH259" s="52"/>
      <c r="AI259" s="52"/>
      <c r="AJ259" s="52"/>
      <c r="AK259" s="52"/>
      <c r="AL259" s="52"/>
      <c r="AM259" s="52"/>
      <c r="AN259" s="52">
        <v>47000000</v>
      </c>
      <c r="AO259" s="52">
        <f t="shared" si="105"/>
        <v>48410000</v>
      </c>
      <c r="AP259" s="52"/>
      <c r="AQ259" s="52"/>
      <c r="AR259" s="52"/>
      <c r="AS259" s="52"/>
      <c r="AT259" s="52"/>
      <c r="AU259" s="52"/>
      <c r="AV259" s="52"/>
      <c r="AW259" s="52"/>
      <c r="AX259" s="52"/>
      <c r="AY259" s="52">
        <v>48410000</v>
      </c>
      <c r="AZ259" s="52">
        <f>BA259+BB259+BC259+BD259+BE259+BF259+BG259+BH259+BI259+BJ259</f>
        <v>49862300</v>
      </c>
      <c r="BA259" s="52"/>
      <c r="BB259" s="52"/>
      <c r="BC259" s="52"/>
      <c r="BD259" s="52"/>
      <c r="BE259" s="52"/>
      <c r="BF259" s="52"/>
      <c r="BG259" s="52"/>
      <c r="BH259" s="52"/>
      <c r="BI259" s="52"/>
      <c r="BJ259" s="52">
        <v>49862300</v>
      </c>
      <c r="BK259" s="52">
        <f>BL259+BM259+BN259+BO259+BP259+BQ259+BR259+BS259+BT259+BU259</f>
        <v>51358169</v>
      </c>
      <c r="BL259" s="52"/>
      <c r="BM259" s="52"/>
      <c r="BN259" s="52"/>
      <c r="BO259" s="52"/>
      <c r="BP259" s="52"/>
      <c r="BQ259" s="52"/>
      <c r="BR259" s="52"/>
      <c r="BS259" s="52"/>
      <c r="BT259" s="52"/>
      <c r="BU259" s="53">
        <v>51358169</v>
      </c>
      <c r="BV259" s="54">
        <f>AD259+AO259+AZ259+BK259</f>
        <v>196630469</v>
      </c>
      <c r="BW259" s="55"/>
    </row>
    <row r="260" spans="1:75" ht="25.5" customHeight="1" x14ac:dyDescent="0.25">
      <c r="A260" s="23"/>
      <c r="B260" s="217"/>
      <c r="C260" s="34"/>
      <c r="D260" s="34"/>
      <c r="E260" s="37"/>
      <c r="F260" s="34"/>
      <c r="G260" s="34"/>
      <c r="H260" s="37"/>
      <c r="I260" s="34"/>
      <c r="J260" s="34"/>
      <c r="K260" s="34"/>
      <c r="L260" s="34"/>
      <c r="M260" s="58">
        <v>20</v>
      </c>
      <c r="N260" s="58" t="s">
        <v>135</v>
      </c>
      <c r="O260" s="59" t="s">
        <v>136</v>
      </c>
      <c r="P260" s="58"/>
      <c r="Q260" s="60"/>
      <c r="R260" s="60"/>
      <c r="S260" s="60"/>
      <c r="T260" s="60"/>
      <c r="U260" s="60"/>
      <c r="V260" s="60"/>
      <c r="W260" s="43"/>
      <c r="X260" s="43"/>
      <c r="Y260" s="44"/>
      <c r="Z260" s="44"/>
      <c r="AA260" s="44"/>
      <c r="AB260" s="44"/>
      <c r="AC260" s="41"/>
      <c r="AD260" s="45">
        <f>SUM(AD261:AD262)</f>
        <v>40000000</v>
      </c>
      <c r="AE260" s="45">
        <f t="shared" ref="AE260:BV260" si="107">SUM(AE261:AE262)</f>
        <v>40000000</v>
      </c>
      <c r="AF260" s="45">
        <f t="shared" si="107"/>
        <v>0</v>
      </c>
      <c r="AG260" s="45">
        <f t="shared" si="107"/>
        <v>0</v>
      </c>
      <c r="AH260" s="45">
        <f t="shared" si="107"/>
        <v>0</v>
      </c>
      <c r="AI260" s="45">
        <f t="shared" si="107"/>
        <v>0</v>
      </c>
      <c r="AJ260" s="45">
        <f t="shared" si="107"/>
        <v>0</v>
      </c>
      <c r="AK260" s="45">
        <f t="shared" si="107"/>
        <v>0</v>
      </c>
      <c r="AL260" s="45">
        <f t="shared" si="107"/>
        <v>0</v>
      </c>
      <c r="AM260" s="45">
        <f t="shared" si="107"/>
        <v>0</v>
      </c>
      <c r="AN260" s="45">
        <f t="shared" si="107"/>
        <v>0</v>
      </c>
      <c r="AO260" s="45">
        <f t="shared" si="107"/>
        <v>82361200</v>
      </c>
      <c r="AP260" s="45">
        <f t="shared" si="107"/>
        <v>82361200</v>
      </c>
      <c r="AQ260" s="45">
        <f t="shared" si="107"/>
        <v>0</v>
      </c>
      <c r="AR260" s="45">
        <f t="shared" si="107"/>
        <v>0</v>
      </c>
      <c r="AS260" s="45">
        <f t="shared" si="107"/>
        <v>0</v>
      </c>
      <c r="AT260" s="45">
        <f t="shared" si="107"/>
        <v>0</v>
      </c>
      <c r="AU260" s="45">
        <f t="shared" si="107"/>
        <v>0</v>
      </c>
      <c r="AV260" s="45">
        <f t="shared" si="107"/>
        <v>0</v>
      </c>
      <c r="AW260" s="45">
        <f t="shared" si="107"/>
        <v>0</v>
      </c>
      <c r="AX260" s="45">
        <f t="shared" si="107"/>
        <v>0</v>
      </c>
      <c r="AY260" s="45">
        <f t="shared" si="107"/>
        <v>0</v>
      </c>
      <c r="AZ260" s="45">
        <f t="shared" si="107"/>
        <v>99328092</v>
      </c>
      <c r="BA260" s="45">
        <f t="shared" si="107"/>
        <v>99328092</v>
      </c>
      <c r="BB260" s="45">
        <f t="shared" si="107"/>
        <v>0</v>
      </c>
      <c r="BC260" s="45">
        <f t="shared" si="107"/>
        <v>0</v>
      </c>
      <c r="BD260" s="45">
        <f t="shared" si="107"/>
        <v>0</v>
      </c>
      <c r="BE260" s="45">
        <f t="shared" si="107"/>
        <v>0</v>
      </c>
      <c r="BF260" s="45">
        <f t="shared" si="107"/>
        <v>0</v>
      </c>
      <c r="BG260" s="45">
        <f t="shared" si="107"/>
        <v>0</v>
      </c>
      <c r="BH260" s="45">
        <f t="shared" si="107"/>
        <v>0</v>
      </c>
      <c r="BI260" s="45">
        <f t="shared" si="107"/>
        <v>0</v>
      </c>
      <c r="BJ260" s="45">
        <f t="shared" si="107"/>
        <v>0</v>
      </c>
      <c r="BK260" s="45">
        <f t="shared" si="107"/>
        <v>223859000</v>
      </c>
      <c r="BL260" s="45">
        <f t="shared" si="107"/>
        <v>223859000</v>
      </c>
      <c r="BM260" s="45">
        <f t="shared" si="107"/>
        <v>0</v>
      </c>
      <c r="BN260" s="45">
        <f t="shared" si="107"/>
        <v>0</v>
      </c>
      <c r="BO260" s="45">
        <f t="shared" si="107"/>
        <v>0</v>
      </c>
      <c r="BP260" s="45">
        <f t="shared" si="107"/>
        <v>0</v>
      </c>
      <c r="BQ260" s="45">
        <f t="shared" si="107"/>
        <v>0</v>
      </c>
      <c r="BR260" s="45">
        <f t="shared" si="107"/>
        <v>0</v>
      </c>
      <c r="BS260" s="45">
        <f t="shared" si="107"/>
        <v>0</v>
      </c>
      <c r="BT260" s="45">
        <f t="shared" si="107"/>
        <v>0</v>
      </c>
      <c r="BU260" s="46">
        <f t="shared" si="107"/>
        <v>0</v>
      </c>
      <c r="BV260" s="45">
        <f t="shared" si="107"/>
        <v>445548292</v>
      </c>
      <c r="BW260" s="47"/>
    </row>
    <row r="261" spans="1:75" s="190" customFormat="1" ht="78.75" customHeight="1" x14ac:dyDescent="0.2">
      <c r="A261" s="23">
        <v>3</v>
      </c>
      <c r="B261" s="218" t="s">
        <v>41</v>
      </c>
      <c r="C261" s="17" t="s">
        <v>1345</v>
      </c>
      <c r="D261" s="17" t="s">
        <v>45</v>
      </c>
      <c r="E261" s="115">
        <v>0.25</v>
      </c>
      <c r="F261" s="6">
        <v>2018</v>
      </c>
      <c r="G261" s="17" t="s">
        <v>1346</v>
      </c>
      <c r="H261" s="82">
        <v>0.28000000000000003</v>
      </c>
      <c r="I261" s="6">
        <v>32</v>
      </c>
      <c r="J261" s="6" t="s">
        <v>943</v>
      </c>
      <c r="K261" s="15">
        <v>10</v>
      </c>
      <c r="L261" s="6" t="s">
        <v>1347</v>
      </c>
      <c r="M261" s="206">
        <v>20</v>
      </c>
      <c r="N261" s="206" t="s">
        <v>135</v>
      </c>
      <c r="O261" s="214" t="s">
        <v>136</v>
      </c>
      <c r="P261" s="6" t="s">
        <v>1348</v>
      </c>
      <c r="Q261" s="14" t="s">
        <v>1349</v>
      </c>
      <c r="R261" s="14" t="s">
        <v>1349</v>
      </c>
      <c r="S261" s="17" t="s">
        <v>1576</v>
      </c>
      <c r="T261" s="6" t="s">
        <v>1350</v>
      </c>
      <c r="U261" s="14" t="s">
        <v>1351</v>
      </c>
      <c r="V261" s="14" t="s">
        <v>1351</v>
      </c>
      <c r="W261" s="48" t="s">
        <v>1352</v>
      </c>
      <c r="X261" s="6" t="s">
        <v>9</v>
      </c>
      <c r="Y261" s="6">
        <v>8</v>
      </c>
      <c r="Z261" s="6">
        <v>0</v>
      </c>
      <c r="AA261" s="6">
        <v>2</v>
      </c>
      <c r="AB261" s="6">
        <v>3</v>
      </c>
      <c r="AC261" s="6">
        <v>3</v>
      </c>
      <c r="AD261" s="50">
        <f>AE261+AF261+AG261+AH261+AI261+AJ261+AK261+AL261+AM261+AN261</f>
        <v>0</v>
      </c>
      <c r="AE261" s="52"/>
      <c r="AF261" s="52"/>
      <c r="AG261" s="52"/>
      <c r="AH261" s="52"/>
      <c r="AI261" s="52"/>
      <c r="AJ261" s="52"/>
      <c r="AK261" s="52"/>
      <c r="AL261" s="52"/>
      <c r="AM261" s="52"/>
      <c r="AN261" s="52"/>
      <c r="AO261" s="52">
        <f t="shared" si="105"/>
        <v>50000000</v>
      </c>
      <c r="AP261" s="52">
        <v>50000000</v>
      </c>
      <c r="AQ261" s="52"/>
      <c r="AR261" s="52"/>
      <c r="AS261" s="52"/>
      <c r="AT261" s="52"/>
      <c r="AU261" s="52"/>
      <c r="AV261" s="52"/>
      <c r="AW261" s="52"/>
      <c r="AX261" s="52"/>
      <c r="AY261" s="52"/>
      <c r="AZ261" s="52">
        <f>BA261+BB261+BC261+BD261+BE261+BF261+BG261+BH261+BI261+BJ261</f>
        <v>59360000</v>
      </c>
      <c r="BA261" s="52">
        <v>59360000</v>
      </c>
      <c r="BB261" s="52"/>
      <c r="BC261" s="52"/>
      <c r="BD261" s="52"/>
      <c r="BE261" s="52"/>
      <c r="BF261" s="52"/>
      <c r="BG261" s="52"/>
      <c r="BH261" s="52"/>
      <c r="BI261" s="52"/>
      <c r="BJ261" s="52"/>
      <c r="BK261" s="52">
        <f>BL261+BM261+BN261+BO261+BP261+BQ261+BR261+BS261+BT261+BU261</f>
        <v>126859000</v>
      </c>
      <c r="BL261" s="52">
        <v>126859000</v>
      </c>
      <c r="BM261" s="52"/>
      <c r="BN261" s="52"/>
      <c r="BO261" s="52"/>
      <c r="BP261" s="52"/>
      <c r="BQ261" s="52"/>
      <c r="BR261" s="52"/>
      <c r="BS261" s="52"/>
      <c r="BT261" s="52"/>
      <c r="BU261" s="53"/>
      <c r="BV261" s="54">
        <f>AD261+AO261+AZ261+BK261</f>
        <v>236219000</v>
      </c>
      <c r="BW261" s="55"/>
    </row>
    <row r="262" spans="1:75" s="190" customFormat="1" ht="157.5" customHeight="1" x14ac:dyDescent="0.2">
      <c r="A262" s="23">
        <v>3</v>
      </c>
      <c r="B262" s="218" t="s">
        <v>41</v>
      </c>
      <c r="C262" s="17" t="s">
        <v>1345</v>
      </c>
      <c r="D262" s="17" t="s">
        <v>45</v>
      </c>
      <c r="E262" s="115">
        <v>0.25</v>
      </c>
      <c r="F262" s="6">
        <v>2018</v>
      </c>
      <c r="G262" s="17" t="s">
        <v>1346</v>
      </c>
      <c r="H262" s="82">
        <v>0.28000000000000003</v>
      </c>
      <c r="I262" s="6">
        <v>32</v>
      </c>
      <c r="J262" s="6" t="s">
        <v>943</v>
      </c>
      <c r="K262" s="15">
        <v>10</v>
      </c>
      <c r="L262" s="6" t="s">
        <v>1347</v>
      </c>
      <c r="M262" s="206">
        <v>20</v>
      </c>
      <c r="N262" s="206" t="s">
        <v>135</v>
      </c>
      <c r="O262" s="214" t="s">
        <v>136</v>
      </c>
      <c r="P262" s="6" t="s">
        <v>1353</v>
      </c>
      <c r="Q262" s="14" t="s">
        <v>1354</v>
      </c>
      <c r="R262" s="14" t="s">
        <v>1354</v>
      </c>
      <c r="S262" s="17" t="s">
        <v>137</v>
      </c>
      <c r="T262" s="6" t="s">
        <v>1355</v>
      </c>
      <c r="U262" s="14" t="s">
        <v>1356</v>
      </c>
      <c r="V262" s="14" t="s">
        <v>1356</v>
      </c>
      <c r="W262" s="48" t="s">
        <v>1617</v>
      </c>
      <c r="X262" s="6" t="s">
        <v>9</v>
      </c>
      <c r="Y262" s="6">
        <v>4</v>
      </c>
      <c r="Z262" s="6">
        <v>1</v>
      </c>
      <c r="AA262" s="6">
        <v>1</v>
      </c>
      <c r="AB262" s="6">
        <v>1</v>
      </c>
      <c r="AC262" s="6">
        <v>1</v>
      </c>
      <c r="AD262" s="50">
        <f>AE262+AF262+AG262+AH262+AI262+AJ262+AK262+AL262+AM262+AN262</f>
        <v>40000000</v>
      </c>
      <c r="AE262" s="52">
        <v>40000000</v>
      </c>
      <c r="AF262" s="52"/>
      <c r="AG262" s="52"/>
      <c r="AH262" s="52"/>
      <c r="AI262" s="52"/>
      <c r="AJ262" s="52"/>
      <c r="AK262" s="52"/>
      <c r="AL262" s="52"/>
      <c r="AM262" s="52"/>
      <c r="AN262" s="52"/>
      <c r="AO262" s="52">
        <f t="shared" si="105"/>
        <v>32361200</v>
      </c>
      <c r="AP262" s="52">
        <v>32361200</v>
      </c>
      <c r="AQ262" s="52"/>
      <c r="AR262" s="52"/>
      <c r="AS262" s="52"/>
      <c r="AT262" s="52"/>
      <c r="AU262" s="52"/>
      <c r="AV262" s="52"/>
      <c r="AW262" s="52"/>
      <c r="AX262" s="52"/>
      <c r="AY262" s="52"/>
      <c r="AZ262" s="52">
        <f>BA262+BB262+BC262+BD262+BE262+BF262+BG262+BH262+BI262+BJ262</f>
        <v>39968092</v>
      </c>
      <c r="BA262" s="52">
        <v>39968092</v>
      </c>
      <c r="BB262" s="52"/>
      <c r="BC262" s="52"/>
      <c r="BD262" s="52"/>
      <c r="BE262" s="52"/>
      <c r="BF262" s="52"/>
      <c r="BG262" s="52"/>
      <c r="BH262" s="52"/>
      <c r="BI262" s="52"/>
      <c r="BJ262" s="52"/>
      <c r="BK262" s="52">
        <f>BL262+BM262+BN262+BO262+BP262+BQ262+BR262+BS262+BT262+BU262</f>
        <v>97000000</v>
      </c>
      <c r="BL262" s="52">
        <v>97000000</v>
      </c>
      <c r="BM262" s="52"/>
      <c r="BN262" s="52"/>
      <c r="BO262" s="52"/>
      <c r="BP262" s="52"/>
      <c r="BQ262" s="52"/>
      <c r="BR262" s="52"/>
      <c r="BS262" s="52"/>
      <c r="BT262" s="52"/>
      <c r="BU262" s="53"/>
      <c r="BV262" s="54">
        <f>AD262+AO262+AZ262+BK262</f>
        <v>209329292</v>
      </c>
      <c r="BW262" s="55"/>
    </row>
    <row r="263" spans="1:75" ht="24.75" customHeight="1" x14ac:dyDescent="0.25">
      <c r="A263" s="23"/>
      <c r="B263" s="217"/>
      <c r="C263" s="34"/>
      <c r="D263" s="34"/>
      <c r="E263" s="37"/>
      <c r="F263" s="34"/>
      <c r="G263" s="34"/>
      <c r="H263" s="37"/>
      <c r="I263" s="34"/>
      <c r="J263" s="34"/>
      <c r="K263" s="34"/>
      <c r="L263" s="34"/>
      <c r="M263" s="58">
        <v>21</v>
      </c>
      <c r="N263" s="58" t="s">
        <v>43</v>
      </c>
      <c r="O263" s="59" t="s">
        <v>44</v>
      </c>
      <c r="P263" s="58"/>
      <c r="Q263" s="60"/>
      <c r="R263" s="60"/>
      <c r="S263" s="60"/>
      <c r="T263" s="60"/>
      <c r="U263" s="60"/>
      <c r="V263" s="60"/>
      <c r="W263" s="43"/>
      <c r="X263" s="43"/>
      <c r="Y263" s="44"/>
      <c r="Z263" s="44"/>
      <c r="AA263" s="44"/>
      <c r="AB263" s="44"/>
      <c r="AC263" s="41"/>
      <c r="AD263" s="45">
        <f>SUM(AD264:AD270)</f>
        <v>12791267069.25</v>
      </c>
      <c r="AE263" s="45">
        <f t="shared" ref="AE263:BV263" si="108">SUM(AE264:AE270)</f>
        <v>279662000</v>
      </c>
      <c r="AF263" s="45">
        <f t="shared" si="108"/>
        <v>1114208927.25</v>
      </c>
      <c r="AG263" s="45">
        <f t="shared" si="108"/>
        <v>0</v>
      </c>
      <c r="AH263" s="45">
        <f t="shared" si="108"/>
        <v>0</v>
      </c>
      <c r="AI263" s="45">
        <f t="shared" si="108"/>
        <v>0</v>
      </c>
      <c r="AJ263" s="45">
        <f t="shared" si="108"/>
        <v>0</v>
      </c>
      <c r="AK263" s="45">
        <f t="shared" si="108"/>
        <v>11397396142</v>
      </c>
      <c r="AL263" s="45">
        <f t="shared" si="108"/>
        <v>0</v>
      </c>
      <c r="AM263" s="45">
        <f t="shared" si="108"/>
        <v>0</v>
      </c>
      <c r="AN263" s="45">
        <f t="shared" si="108"/>
        <v>0</v>
      </c>
      <c r="AO263" s="45">
        <f t="shared" si="108"/>
        <v>786811734.78999996</v>
      </c>
      <c r="AP263" s="45">
        <f t="shared" si="108"/>
        <v>105959777.78999999</v>
      </c>
      <c r="AQ263" s="45">
        <f t="shared" si="108"/>
        <v>680851957</v>
      </c>
      <c r="AR263" s="45">
        <f t="shared" si="108"/>
        <v>0</v>
      </c>
      <c r="AS263" s="45">
        <f t="shared" si="108"/>
        <v>0</v>
      </c>
      <c r="AT263" s="45">
        <f t="shared" si="108"/>
        <v>0</v>
      </c>
      <c r="AU263" s="45">
        <f t="shared" si="108"/>
        <v>0</v>
      </c>
      <c r="AV263" s="45">
        <f t="shared" si="108"/>
        <v>0</v>
      </c>
      <c r="AW263" s="45">
        <f t="shared" si="108"/>
        <v>0</v>
      </c>
      <c r="AX263" s="45">
        <f t="shared" si="108"/>
        <v>0</v>
      </c>
      <c r="AY263" s="45">
        <f t="shared" si="108"/>
        <v>0</v>
      </c>
      <c r="AZ263" s="45">
        <f t="shared" si="108"/>
        <v>899834129</v>
      </c>
      <c r="BA263" s="45">
        <f t="shared" si="108"/>
        <v>112965040</v>
      </c>
      <c r="BB263" s="45">
        <f t="shared" si="108"/>
        <v>786869089</v>
      </c>
      <c r="BC263" s="45">
        <f t="shared" si="108"/>
        <v>0</v>
      </c>
      <c r="BD263" s="45">
        <f t="shared" si="108"/>
        <v>0</v>
      </c>
      <c r="BE263" s="45">
        <f t="shared" si="108"/>
        <v>0</v>
      </c>
      <c r="BF263" s="45">
        <f t="shared" si="108"/>
        <v>0</v>
      </c>
      <c r="BG263" s="45">
        <f t="shared" si="108"/>
        <v>0</v>
      </c>
      <c r="BH263" s="45">
        <f t="shared" si="108"/>
        <v>0</v>
      </c>
      <c r="BI263" s="45">
        <f t="shared" si="108"/>
        <v>0</v>
      </c>
      <c r="BJ263" s="45">
        <f t="shared" si="108"/>
        <v>0</v>
      </c>
      <c r="BK263" s="45">
        <f t="shared" si="108"/>
        <v>1173065954.3924</v>
      </c>
      <c r="BL263" s="45">
        <f t="shared" si="108"/>
        <v>274431471.39240003</v>
      </c>
      <c r="BM263" s="45">
        <f t="shared" si="108"/>
        <v>898634483</v>
      </c>
      <c r="BN263" s="45">
        <f t="shared" si="108"/>
        <v>0</v>
      </c>
      <c r="BO263" s="45">
        <f t="shared" si="108"/>
        <v>0</v>
      </c>
      <c r="BP263" s="45">
        <f t="shared" si="108"/>
        <v>0</v>
      </c>
      <c r="BQ263" s="45">
        <f t="shared" si="108"/>
        <v>0</v>
      </c>
      <c r="BR263" s="45">
        <f t="shared" si="108"/>
        <v>0</v>
      </c>
      <c r="BS263" s="45">
        <f t="shared" si="108"/>
        <v>0</v>
      </c>
      <c r="BT263" s="45">
        <f t="shared" si="108"/>
        <v>0</v>
      </c>
      <c r="BU263" s="46">
        <f t="shared" si="108"/>
        <v>0</v>
      </c>
      <c r="BV263" s="45">
        <f t="shared" si="108"/>
        <v>15650978887.4324</v>
      </c>
      <c r="BW263" s="47"/>
    </row>
    <row r="264" spans="1:75" s="190" customFormat="1" ht="78.75" customHeight="1" x14ac:dyDescent="0.2">
      <c r="A264" s="23">
        <v>3</v>
      </c>
      <c r="B264" s="218" t="s">
        <v>41</v>
      </c>
      <c r="C264" s="17" t="s">
        <v>1345</v>
      </c>
      <c r="D264" s="17" t="s">
        <v>45</v>
      </c>
      <c r="E264" s="132">
        <v>0.25</v>
      </c>
      <c r="F264" s="6">
        <v>2018</v>
      </c>
      <c r="G264" s="17" t="s">
        <v>1346</v>
      </c>
      <c r="H264" s="82">
        <v>0.28000000000000003</v>
      </c>
      <c r="I264" s="6">
        <v>32</v>
      </c>
      <c r="J264" s="6" t="s">
        <v>943</v>
      </c>
      <c r="K264" s="15">
        <v>10</v>
      </c>
      <c r="L264" s="6" t="s">
        <v>1347</v>
      </c>
      <c r="M264" s="206">
        <v>21</v>
      </c>
      <c r="N264" s="209" t="s">
        <v>43</v>
      </c>
      <c r="O264" s="207" t="s">
        <v>44</v>
      </c>
      <c r="P264" s="6" t="s">
        <v>1357</v>
      </c>
      <c r="Q264" s="14" t="s">
        <v>1358</v>
      </c>
      <c r="R264" s="14" t="s">
        <v>1358</v>
      </c>
      <c r="S264" s="17" t="s">
        <v>1359</v>
      </c>
      <c r="T264" s="6" t="s">
        <v>1360</v>
      </c>
      <c r="U264" s="14" t="s">
        <v>1361</v>
      </c>
      <c r="V264" s="14" t="s">
        <v>1361</v>
      </c>
      <c r="W264" s="48" t="s">
        <v>1362</v>
      </c>
      <c r="X264" s="6" t="s">
        <v>9</v>
      </c>
      <c r="Y264" s="6">
        <v>1073</v>
      </c>
      <c r="Z264" s="6">
        <v>0</v>
      </c>
      <c r="AA264" s="6">
        <v>600</v>
      </c>
      <c r="AB264" s="6">
        <v>400</v>
      </c>
      <c r="AC264" s="6">
        <v>73</v>
      </c>
      <c r="AD264" s="50">
        <f t="shared" ref="AD264:AD270" si="109">AE264+AF264+AG264+AH264+AI264+AJ264+AK264+AL264+AM264+AN264</f>
        <v>9916141142</v>
      </c>
      <c r="AE264" s="52"/>
      <c r="AF264" s="52"/>
      <c r="AG264" s="52"/>
      <c r="AH264" s="52"/>
      <c r="AI264" s="52"/>
      <c r="AJ264" s="52"/>
      <c r="AK264" s="52">
        <v>9916141142</v>
      </c>
      <c r="AL264" s="52"/>
      <c r="AM264" s="52"/>
      <c r="AN264" s="52"/>
      <c r="AO264" s="52">
        <f t="shared" si="105"/>
        <v>200000000</v>
      </c>
      <c r="AP264" s="52"/>
      <c r="AQ264" s="52">
        <v>200000000</v>
      </c>
      <c r="AR264" s="52"/>
      <c r="AS264" s="52"/>
      <c r="AT264" s="52"/>
      <c r="AU264" s="52"/>
      <c r="AV264" s="52"/>
      <c r="AW264" s="52"/>
      <c r="AX264" s="52"/>
      <c r="AY264" s="52"/>
      <c r="AZ264" s="52">
        <f t="shared" ref="AZ264:AZ270" si="110">BA264+BB264+BC264+BD264+BE264+BF264+BG264+BH264+BI264+BJ264</f>
        <v>180000000</v>
      </c>
      <c r="BA264" s="52"/>
      <c r="BB264" s="52">
        <v>180000000</v>
      </c>
      <c r="BC264" s="52"/>
      <c r="BD264" s="52"/>
      <c r="BE264" s="52"/>
      <c r="BF264" s="52"/>
      <c r="BG264" s="52"/>
      <c r="BH264" s="52"/>
      <c r="BI264" s="52"/>
      <c r="BJ264" s="52"/>
      <c r="BK264" s="52">
        <f t="shared" ref="BK264:BK270" si="111">BL264+BM264+BN264+BO264+BP264+BQ264+BR264+BS264+BT264+BU264</f>
        <v>100000000</v>
      </c>
      <c r="BL264" s="52"/>
      <c r="BM264" s="52">
        <v>100000000</v>
      </c>
      <c r="BN264" s="52"/>
      <c r="BO264" s="52"/>
      <c r="BP264" s="52"/>
      <c r="BQ264" s="52"/>
      <c r="BR264" s="52"/>
      <c r="BS264" s="52"/>
      <c r="BT264" s="52"/>
      <c r="BU264" s="53"/>
      <c r="BV264" s="54">
        <f t="shared" ref="BV264:BV270" si="112">AD264+AO264+AZ264+BK264</f>
        <v>10396141142</v>
      </c>
      <c r="BW264" s="55"/>
    </row>
    <row r="265" spans="1:75" s="190" customFormat="1" ht="94.5" customHeight="1" x14ac:dyDescent="0.2">
      <c r="A265" s="23">
        <v>3</v>
      </c>
      <c r="B265" s="218" t="s">
        <v>41</v>
      </c>
      <c r="C265" s="17" t="s">
        <v>1345</v>
      </c>
      <c r="D265" s="17" t="s">
        <v>45</v>
      </c>
      <c r="E265" s="132">
        <v>0.25</v>
      </c>
      <c r="F265" s="6">
        <v>2018</v>
      </c>
      <c r="G265" s="17" t="s">
        <v>1346</v>
      </c>
      <c r="H265" s="82">
        <v>0.28000000000000003</v>
      </c>
      <c r="I265" s="6">
        <v>32</v>
      </c>
      <c r="J265" s="6" t="s">
        <v>943</v>
      </c>
      <c r="K265" s="15">
        <v>10</v>
      </c>
      <c r="L265" s="6" t="s">
        <v>1347</v>
      </c>
      <c r="M265" s="206">
        <v>21</v>
      </c>
      <c r="N265" s="209" t="s">
        <v>43</v>
      </c>
      <c r="O265" s="207" t="s">
        <v>44</v>
      </c>
      <c r="P265" s="6" t="s">
        <v>1363</v>
      </c>
      <c r="Q265" s="14">
        <v>3202017</v>
      </c>
      <c r="R265" s="14" t="s">
        <v>1661</v>
      </c>
      <c r="S265" s="17" t="s">
        <v>1364</v>
      </c>
      <c r="T265" s="6" t="s">
        <v>1365</v>
      </c>
      <c r="U265" s="14" t="s">
        <v>1366</v>
      </c>
      <c r="V265" s="14">
        <v>320204300</v>
      </c>
      <c r="W265" s="48" t="s">
        <v>1367</v>
      </c>
      <c r="X265" s="6" t="s">
        <v>8</v>
      </c>
      <c r="Y265" s="83">
        <v>1</v>
      </c>
      <c r="Z265" s="83">
        <v>1</v>
      </c>
      <c r="AA265" s="83">
        <v>1</v>
      </c>
      <c r="AB265" s="83">
        <v>1</v>
      </c>
      <c r="AC265" s="83">
        <v>1</v>
      </c>
      <c r="AD265" s="50">
        <f t="shared" si="109"/>
        <v>1561255000</v>
      </c>
      <c r="AE265" s="52">
        <f>130000000-50000000</f>
        <v>80000000</v>
      </c>
      <c r="AF265" s="52"/>
      <c r="AG265" s="52"/>
      <c r="AH265" s="52"/>
      <c r="AI265" s="52"/>
      <c r="AJ265" s="52"/>
      <c r="AK265" s="52">
        <v>1481255000</v>
      </c>
      <c r="AL265" s="52"/>
      <c r="AM265" s="52"/>
      <c r="AN265" s="52"/>
      <c r="AO265" s="52">
        <f t="shared" si="105"/>
        <v>100000000</v>
      </c>
      <c r="AP265" s="52"/>
      <c r="AQ265" s="52">
        <v>100000000</v>
      </c>
      <c r="AR265" s="52"/>
      <c r="AS265" s="52"/>
      <c r="AT265" s="52"/>
      <c r="AU265" s="52"/>
      <c r="AV265" s="52"/>
      <c r="AW265" s="52"/>
      <c r="AX265" s="52"/>
      <c r="AY265" s="52"/>
      <c r="AZ265" s="52">
        <f t="shared" si="110"/>
        <v>100000000</v>
      </c>
      <c r="BA265" s="52"/>
      <c r="BB265" s="52">
        <v>100000000</v>
      </c>
      <c r="BC265" s="52"/>
      <c r="BD265" s="52"/>
      <c r="BE265" s="52"/>
      <c r="BF265" s="52"/>
      <c r="BG265" s="52"/>
      <c r="BH265" s="52"/>
      <c r="BI265" s="52"/>
      <c r="BJ265" s="52"/>
      <c r="BK265" s="52">
        <f t="shared" si="111"/>
        <v>100000000</v>
      </c>
      <c r="BL265" s="52"/>
      <c r="BM265" s="52">
        <v>100000000</v>
      </c>
      <c r="BN265" s="52"/>
      <c r="BO265" s="52"/>
      <c r="BP265" s="52"/>
      <c r="BQ265" s="52"/>
      <c r="BR265" s="52"/>
      <c r="BS265" s="52"/>
      <c r="BT265" s="52"/>
      <c r="BU265" s="53"/>
      <c r="BV265" s="54">
        <f t="shared" si="112"/>
        <v>1861255000</v>
      </c>
      <c r="BW265" s="55"/>
    </row>
    <row r="266" spans="1:75" s="190" customFormat="1" ht="63" customHeight="1" x14ac:dyDescent="0.2">
      <c r="A266" s="23">
        <v>3</v>
      </c>
      <c r="B266" s="218" t="s">
        <v>41</v>
      </c>
      <c r="C266" s="56" t="s">
        <v>910</v>
      </c>
      <c r="D266" s="17" t="s">
        <v>45</v>
      </c>
      <c r="E266" s="81">
        <v>25</v>
      </c>
      <c r="F266" s="14">
        <v>2018</v>
      </c>
      <c r="G266" s="56" t="s">
        <v>1385</v>
      </c>
      <c r="H266" s="81">
        <v>28</v>
      </c>
      <c r="I266" s="6">
        <v>32</v>
      </c>
      <c r="J266" s="6" t="s">
        <v>943</v>
      </c>
      <c r="K266" s="15">
        <v>13</v>
      </c>
      <c r="L266" s="6" t="s">
        <v>346</v>
      </c>
      <c r="M266" s="206">
        <v>21</v>
      </c>
      <c r="N266" s="209" t="s">
        <v>43</v>
      </c>
      <c r="O266" s="207" t="s">
        <v>44</v>
      </c>
      <c r="P266" s="6" t="s">
        <v>1386</v>
      </c>
      <c r="Q266" s="14">
        <v>3202033</v>
      </c>
      <c r="R266" s="14">
        <v>3202033</v>
      </c>
      <c r="S266" s="56" t="s">
        <v>46</v>
      </c>
      <c r="T266" s="6" t="s">
        <v>1387</v>
      </c>
      <c r="U266" s="14">
        <v>320203300</v>
      </c>
      <c r="V266" s="14">
        <v>320203300</v>
      </c>
      <c r="W266" s="57" t="s">
        <v>46</v>
      </c>
      <c r="X266" s="14" t="s">
        <v>9</v>
      </c>
      <c r="Y266" s="14">
        <v>1</v>
      </c>
      <c r="Z266" s="14">
        <v>0.1</v>
      </c>
      <c r="AA266" s="14">
        <v>0.3</v>
      </c>
      <c r="AB266" s="14">
        <v>0.3</v>
      </c>
      <c r="AC266" s="14">
        <v>0.3</v>
      </c>
      <c r="AD266" s="50">
        <f t="shared" si="109"/>
        <v>1000000</v>
      </c>
      <c r="AE266" s="52">
        <v>1000000</v>
      </c>
      <c r="AF266" s="52"/>
      <c r="AG266" s="52"/>
      <c r="AH266" s="52"/>
      <c r="AI266" s="52"/>
      <c r="AJ266" s="52"/>
      <c r="AK266" s="52"/>
      <c r="AL266" s="52"/>
      <c r="AM266" s="52"/>
      <c r="AN266" s="52"/>
      <c r="AO266" s="52">
        <f t="shared" si="105"/>
        <v>3800000</v>
      </c>
      <c r="AP266" s="52">
        <v>3800000</v>
      </c>
      <c r="AQ266" s="52"/>
      <c r="AR266" s="52"/>
      <c r="AS266" s="52"/>
      <c r="AT266" s="52"/>
      <c r="AU266" s="52"/>
      <c r="AV266" s="52"/>
      <c r="AW266" s="52"/>
      <c r="AX266" s="52"/>
      <c r="AY266" s="52"/>
      <c r="AZ266" s="52">
        <f t="shared" si="110"/>
        <v>19302000</v>
      </c>
      <c r="BA266" s="52">
        <v>19302000</v>
      </c>
      <c r="BB266" s="52"/>
      <c r="BC266" s="52"/>
      <c r="BD266" s="52"/>
      <c r="BE266" s="52"/>
      <c r="BF266" s="52"/>
      <c r="BG266" s="52"/>
      <c r="BH266" s="52"/>
      <c r="BI266" s="52"/>
      <c r="BJ266" s="52"/>
      <c r="BK266" s="52">
        <f t="shared" si="111"/>
        <v>23825145.962400001</v>
      </c>
      <c r="BL266" s="52">
        <v>23825145.962400001</v>
      </c>
      <c r="BM266" s="52"/>
      <c r="BN266" s="52"/>
      <c r="BO266" s="52"/>
      <c r="BP266" s="52"/>
      <c r="BQ266" s="52"/>
      <c r="BR266" s="52"/>
      <c r="BS266" s="52"/>
      <c r="BT266" s="52"/>
      <c r="BU266" s="53"/>
      <c r="BV266" s="54">
        <f t="shared" si="112"/>
        <v>47927145.962400004</v>
      </c>
      <c r="BW266" s="55"/>
    </row>
    <row r="267" spans="1:75" s="190" customFormat="1" ht="78.75" customHeight="1" x14ac:dyDescent="0.2">
      <c r="A267" s="23">
        <v>3</v>
      </c>
      <c r="B267" s="218" t="s">
        <v>41</v>
      </c>
      <c r="C267" s="17" t="s">
        <v>1345</v>
      </c>
      <c r="D267" s="17" t="s">
        <v>45</v>
      </c>
      <c r="E267" s="115">
        <v>0.25</v>
      </c>
      <c r="F267" s="6">
        <v>2018</v>
      </c>
      <c r="G267" s="17" t="s">
        <v>1346</v>
      </c>
      <c r="H267" s="82">
        <v>0.28000000000000003</v>
      </c>
      <c r="I267" s="6">
        <v>32</v>
      </c>
      <c r="J267" s="6" t="s">
        <v>943</v>
      </c>
      <c r="K267" s="15">
        <v>10</v>
      </c>
      <c r="L267" s="6" t="s">
        <v>1347</v>
      </c>
      <c r="M267" s="206">
        <v>21</v>
      </c>
      <c r="N267" s="209" t="s">
        <v>43</v>
      </c>
      <c r="O267" s="207" t="s">
        <v>44</v>
      </c>
      <c r="P267" s="6" t="s">
        <v>1368</v>
      </c>
      <c r="Q267" s="14" t="s">
        <v>1369</v>
      </c>
      <c r="R267" s="14">
        <v>3202037</v>
      </c>
      <c r="S267" s="17" t="s">
        <v>138</v>
      </c>
      <c r="T267" s="6" t="s">
        <v>1370</v>
      </c>
      <c r="U267" s="14" t="s">
        <v>1371</v>
      </c>
      <c r="V267" s="14" t="s">
        <v>1371</v>
      </c>
      <c r="W267" s="48" t="s">
        <v>1372</v>
      </c>
      <c r="X267" s="6" t="s">
        <v>9</v>
      </c>
      <c r="Y267" s="83">
        <v>200</v>
      </c>
      <c r="Z267" s="6">
        <v>30</v>
      </c>
      <c r="AA267" s="6">
        <v>40</v>
      </c>
      <c r="AB267" s="6">
        <v>90</v>
      </c>
      <c r="AC267" s="6">
        <v>40</v>
      </c>
      <c r="AD267" s="50">
        <f t="shared" si="109"/>
        <v>128662000</v>
      </c>
      <c r="AE267" s="52">
        <f>530045201-401383201</f>
        <v>128662000</v>
      </c>
      <c r="AF267" s="52"/>
      <c r="AG267" s="52"/>
      <c r="AH267" s="52"/>
      <c r="AI267" s="52"/>
      <c r="AJ267" s="52"/>
      <c r="AK267" s="52"/>
      <c r="AL267" s="52"/>
      <c r="AM267" s="52"/>
      <c r="AN267" s="52"/>
      <c r="AO267" s="52">
        <f t="shared" si="105"/>
        <v>80851957</v>
      </c>
      <c r="AP267" s="52"/>
      <c r="AQ267" s="52">
        <v>80851957</v>
      </c>
      <c r="AR267" s="52"/>
      <c r="AS267" s="52"/>
      <c r="AT267" s="52"/>
      <c r="AU267" s="52"/>
      <c r="AV267" s="52"/>
      <c r="AW267" s="52"/>
      <c r="AX267" s="52"/>
      <c r="AY267" s="52"/>
      <c r="AZ267" s="52">
        <f t="shared" si="110"/>
        <v>100000000</v>
      </c>
      <c r="BA267" s="52"/>
      <c r="BB267" s="52">
        <v>100000000</v>
      </c>
      <c r="BC267" s="52"/>
      <c r="BD267" s="52"/>
      <c r="BE267" s="52"/>
      <c r="BF267" s="52"/>
      <c r="BG267" s="52"/>
      <c r="BH267" s="52"/>
      <c r="BI267" s="52"/>
      <c r="BJ267" s="52"/>
      <c r="BK267" s="52">
        <f t="shared" si="111"/>
        <v>200000000</v>
      </c>
      <c r="BL267" s="52"/>
      <c r="BM267" s="52">
        <v>200000000</v>
      </c>
      <c r="BN267" s="52"/>
      <c r="BO267" s="52"/>
      <c r="BP267" s="52"/>
      <c r="BQ267" s="52"/>
      <c r="BR267" s="52"/>
      <c r="BS267" s="52"/>
      <c r="BT267" s="52"/>
      <c r="BU267" s="53"/>
      <c r="BV267" s="54">
        <f t="shared" si="112"/>
        <v>509513957</v>
      </c>
      <c r="BW267" s="55"/>
    </row>
    <row r="268" spans="1:75" s="190" customFormat="1" ht="126" customHeight="1" x14ac:dyDescent="0.2">
      <c r="A268" s="23">
        <v>3</v>
      </c>
      <c r="B268" s="218" t="s">
        <v>41</v>
      </c>
      <c r="C268" s="17" t="s">
        <v>1345</v>
      </c>
      <c r="D268" s="17" t="s">
        <v>45</v>
      </c>
      <c r="E268" s="115">
        <v>0.25</v>
      </c>
      <c r="F268" s="6">
        <v>2018</v>
      </c>
      <c r="G268" s="17" t="s">
        <v>1346</v>
      </c>
      <c r="H268" s="82">
        <v>0.28000000000000003</v>
      </c>
      <c r="I268" s="6">
        <v>32</v>
      </c>
      <c r="J268" s="6" t="s">
        <v>943</v>
      </c>
      <c r="K268" s="15">
        <v>10</v>
      </c>
      <c r="L268" s="6" t="s">
        <v>1347</v>
      </c>
      <c r="M268" s="206">
        <v>21</v>
      </c>
      <c r="N268" s="209" t="s">
        <v>43</v>
      </c>
      <c r="O268" s="207" t="s">
        <v>44</v>
      </c>
      <c r="P268" s="6" t="s">
        <v>1373</v>
      </c>
      <c r="Q268" s="6" t="s">
        <v>77</v>
      </c>
      <c r="R268" s="6">
        <v>3202014</v>
      </c>
      <c r="S268" s="17" t="s">
        <v>1374</v>
      </c>
      <c r="T268" s="6" t="s">
        <v>1375</v>
      </c>
      <c r="U268" s="6" t="s">
        <v>77</v>
      </c>
      <c r="V268" s="6">
        <v>320201402</v>
      </c>
      <c r="W268" s="48" t="s">
        <v>1376</v>
      </c>
      <c r="X268" s="6" t="s">
        <v>8</v>
      </c>
      <c r="Y268" s="83">
        <v>1</v>
      </c>
      <c r="Z268" s="83">
        <v>1</v>
      </c>
      <c r="AA268" s="83">
        <v>1</v>
      </c>
      <c r="AB268" s="83">
        <v>1</v>
      </c>
      <c r="AC268" s="83">
        <v>1</v>
      </c>
      <c r="AD268" s="50">
        <f t="shared" si="109"/>
        <v>30000000</v>
      </c>
      <c r="AE268" s="52">
        <v>30000000</v>
      </c>
      <c r="AF268" s="52"/>
      <c r="AG268" s="52"/>
      <c r="AH268" s="52"/>
      <c r="AI268" s="52"/>
      <c r="AJ268" s="52"/>
      <c r="AK268" s="52"/>
      <c r="AL268" s="52"/>
      <c r="AM268" s="52"/>
      <c r="AN268" s="52"/>
      <c r="AO268" s="52">
        <f t="shared" si="105"/>
        <v>47522000</v>
      </c>
      <c r="AP268" s="52">
        <v>47522000</v>
      </c>
      <c r="AQ268" s="52"/>
      <c r="AR268" s="52"/>
      <c r="AS268" s="52"/>
      <c r="AT268" s="52"/>
      <c r="AU268" s="52"/>
      <c r="AV268" s="52"/>
      <c r="AW268" s="52"/>
      <c r="AX268" s="52"/>
      <c r="AY268" s="52"/>
      <c r="AZ268" s="52">
        <f t="shared" si="110"/>
        <v>46359040</v>
      </c>
      <c r="BA268" s="52">
        <v>46359040</v>
      </c>
      <c r="BB268" s="52"/>
      <c r="BC268" s="52"/>
      <c r="BD268" s="52"/>
      <c r="BE268" s="52"/>
      <c r="BF268" s="52"/>
      <c r="BG268" s="52"/>
      <c r="BH268" s="52"/>
      <c r="BI268" s="52"/>
      <c r="BJ268" s="52"/>
      <c r="BK268" s="52">
        <f t="shared" si="111"/>
        <v>120606325.43000001</v>
      </c>
      <c r="BL268" s="52">
        <v>120606325.43000001</v>
      </c>
      <c r="BM268" s="52"/>
      <c r="BN268" s="52"/>
      <c r="BO268" s="52"/>
      <c r="BP268" s="52"/>
      <c r="BQ268" s="52"/>
      <c r="BR268" s="52"/>
      <c r="BS268" s="52"/>
      <c r="BT268" s="52"/>
      <c r="BU268" s="53"/>
      <c r="BV268" s="54">
        <f t="shared" si="112"/>
        <v>244487365.43000001</v>
      </c>
      <c r="BW268" s="55"/>
    </row>
    <row r="269" spans="1:75" s="190" customFormat="1" ht="126" customHeight="1" x14ac:dyDescent="0.2">
      <c r="A269" s="23">
        <v>3</v>
      </c>
      <c r="B269" s="218" t="s">
        <v>41</v>
      </c>
      <c r="C269" s="17" t="s">
        <v>1345</v>
      </c>
      <c r="D269" s="17" t="s">
        <v>45</v>
      </c>
      <c r="E269" s="115">
        <v>0.25</v>
      </c>
      <c r="F269" s="6">
        <v>2018</v>
      </c>
      <c r="G269" s="17" t="s">
        <v>1346</v>
      </c>
      <c r="H269" s="82">
        <v>0.28000000000000003</v>
      </c>
      <c r="I269" s="6">
        <v>32</v>
      </c>
      <c r="J269" s="6" t="s">
        <v>943</v>
      </c>
      <c r="K269" s="15">
        <v>10</v>
      </c>
      <c r="L269" s="6" t="s">
        <v>1347</v>
      </c>
      <c r="M269" s="206">
        <v>21</v>
      </c>
      <c r="N269" s="209" t="s">
        <v>43</v>
      </c>
      <c r="O269" s="207" t="s">
        <v>44</v>
      </c>
      <c r="P269" s="6" t="s">
        <v>1377</v>
      </c>
      <c r="Q269" s="6" t="s">
        <v>77</v>
      </c>
      <c r="R269" s="6">
        <v>3202014</v>
      </c>
      <c r="S269" s="17" t="s">
        <v>1378</v>
      </c>
      <c r="T269" s="6" t="s">
        <v>1379</v>
      </c>
      <c r="U269" s="6" t="s">
        <v>77</v>
      </c>
      <c r="V269" s="6">
        <v>320201402</v>
      </c>
      <c r="W269" s="48" t="s">
        <v>1380</v>
      </c>
      <c r="X269" s="6" t="s">
        <v>9</v>
      </c>
      <c r="Y269" s="83">
        <v>4</v>
      </c>
      <c r="Z269" s="83">
        <v>1</v>
      </c>
      <c r="AA269" s="83">
        <v>1</v>
      </c>
      <c r="AB269" s="83">
        <v>1</v>
      </c>
      <c r="AC269" s="83">
        <v>1</v>
      </c>
      <c r="AD269" s="50">
        <f t="shared" si="109"/>
        <v>40000000</v>
      </c>
      <c r="AE269" s="52">
        <v>40000000</v>
      </c>
      <c r="AF269" s="52"/>
      <c r="AG269" s="52"/>
      <c r="AH269" s="52"/>
      <c r="AI269" s="52"/>
      <c r="AJ269" s="52"/>
      <c r="AK269" s="52"/>
      <c r="AL269" s="52"/>
      <c r="AM269" s="52"/>
      <c r="AN269" s="52"/>
      <c r="AO269" s="52">
        <f t="shared" si="105"/>
        <v>54637777.789999999</v>
      </c>
      <c r="AP269" s="52">
        <v>54637777.789999999</v>
      </c>
      <c r="AQ269" s="52"/>
      <c r="AR269" s="52"/>
      <c r="AS269" s="52"/>
      <c r="AT269" s="52"/>
      <c r="AU269" s="52"/>
      <c r="AV269" s="52"/>
      <c r="AW269" s="52"/>
      <c r="AX269" s="52"/>
      <c r="AY269" s="52"/>
      <c r="AZ269" s="52">
        <f t="shared" si="110"/>
        <v>47304000</v>
      </c>
      <c r="BA269" s="52">
        <v>47304000</v>
      </c>
      <c r="BB269" s="52"/>
      <c r="BC269" s="52"/>
      <c r="BD269" s="52"/>
      <c r="BE269" s="52"/>
      <c r="BF269" s="52"/>
      <c r="BG269" s="52"/>
      <c r="BH269" s="52"/>
      <c r="BI269" s="52"/>
      <c r="BJ269" s="52"/>
      <c r="BK269" s="52">
        <f t="shared" si="111"/>
        <v>130000000</v>
      </c>
      <c r="BL269" s="52">
        <v>130000000</v>
      </c>
      <c r="BM269" s="52"/>
      <c r="BN269" s="52"/>
      <c r="BO269" s="52"/>
      <c r="BP269" s="52"/>
      <c r="BQ269" s="52"/>
      <c r="BR269" s="52"/>
      <c r="BS269" s="52"/>
      <c r="BT269" s="52"/>
      <c r="BU269" s="53"/>
      <c r="BV269" s="54">
        <f t="shared" si="112"/>
        <v>271941777.78999996</v>
      </c>
      <c r="BW269" s="55"/>
    </row>
    <row r="270" spans="1:75" s="190" customFormat="1" ht="126" customHeight="1" x14ac:dyDescent="0.2">
      <c r="A270" s="23">
        <v>3</v>
      </c>
      <c r="B270" s="218" t="s">
        <v>41</v>
      </c>
      <c r="C270" s="17" t="s">
        <v>1345</v>
      </c>
      <c r="D270" s="17" t="s">
        <v>45</v>
      </c>
      <c r="E270" s="115">
        <v>0.25</v>
      </c>
      <c r="F270" s="6">
        <v>2018</v>
      </c>
      <c r="G270" s="17" t="s">
        <v>1346</v>
      </c>
      <c r="H270" s="82">
        <v>0.28000000000000003</v>
      </c>
      <c r="I270" s="6">
        <v>32</v>
      </c>
      <c r="J270" s="6" t="s">
        <v>943</v>
      </c>
      <c r="K270" s="15">
        <v>10</v>
      </c>
      <c r="L270" s="6" t="s">
        <v>1347</v>
      </c>
      <c r="M270" s="206">
        <v>21</v>
      </c>
      <c r="N270" s="209" t="s">
        <v>43</v>
      </c>
      <c r="O270" s="207" t="s">
        <v>44</v>
      </c>
      <c r="P270" s="6" t="s">
        <v>1381</v>
      </c>
      <c r="Q270" s="6" t="s">
        <v>77</v>
      </c>
      <c r="R270" s="6">
        <v>3202037</v>
      </c>
      <c r="S270" s="17" t="s">
        <v>1382</v>
      </c>
      <c r="T270" s="6" t="s">
        <v>1383</v>
      </c>
      <c r="U270" s="6" t="s">
        <v>77</v>
      </c>
      <c r="V270" s="6">
        <v>320203700</v>
      </c>
      <c r="W270" s="48" t="s">
        <v>1384</v>
      </c>
      <c r="X270" s="6" t="s">
        <v>9</v>
      </c>
      <c r="Y270" s="83">
        <v>200</v>
      </c>
      <c r="Z270" s="6">
        <v>20</v>
      </c>
      <c r="AA270" s="6">
        <v>60</v>
      </c>
      <c r="AB270" s="6">
        <v>60</v>
      </c>
      <c r="AC270" s="6">
        <v>60</v>
      </c>
      <c r="AD270" s="50">
        <f t="shared" si="109"/>
        <v>1114208927.25</v>
      </c>
      <c r="AE270" s="52"/>
      <c r="AF270" s="52">
        <f>712825726.25+401383201</f>
        <v>1114208927.25</v>
      </c>
      <c r="AG270" s="52"/>
      <c r="AH270" s="52"/>
      <c r="AI270" s="52"/>
      <c r="AJ270" s="52"/>
      <c r="AK270" s="52"/>
      <c r="AL270" s="52"/>
      <c r="AM270" s="52"/>
      <c r="AN270" s="52"/>
      <c r="AO270" s="52">
        <f t="shared" si="105"/>
        <v>300000000</v>
      </c>
      <c r="AP270" s="52"/>
      <c r="AQ270" s="52">
        <v>300000000</v>
      </c>
      <c r="AR270" s="52"/>
      <c r="AS270" s="52"/>
      <c r="AT270" s="52"/>
      <c r="AU270" s="52"/>
      <c r="AV270" s="52"/>
      <c r="AW270" s="52"/>
      <c r="AX270" s="52"/>
      <c r="AY270" s="52"/>
      <c r="AZ270" s="52">
        <f t="shared" si="110"/>
        <v>406869089</v>
      </c>
      <c r="BA270" s="52"/>
      <c r="BB270" s="52">
        <v>406869089</v>
      </c>
      <c r="BC270" s="52"/>
      <c r="BD270" s="52"/>
      <c r="BE270" s="52"/>
      <c r="BF270" s="52"/>
      <c r="BG270" s="52"/>
      <c r="BH270" s="52"/>
      <c r="BI270" s="52"/>
      <c r="BJ270" s="52"/>
      <c r="BK270" s="52">
        <f t="shared" si="111"/>
        <v>498634483</v>
      </c>
      <c r="BL270" s="52"/>
      <c r="BM270" s="52">
        <v>498634483</v>
      </c>
      <c r="BN270" s="52"/>
      <c r="BO270" s="52"/>
      <c r="BP270" s="52"/>
      <c r="BQ270" s="52"/>
      <c r="BR270" s="52"/>
      <c r="BS270" s="52"/>
      <c r="BT270" s="52"/>
      <c r="BU270" s="53"/>
      <c r="BV270" s="54">
        <f t="shared" si="112"/>
        <v>2319712499.25</v>
      </c>
      <c r="BW270" s="55"/>
    </row>
    <row r="271" spans="1:75" ht="28.5" customHeight="1" x14ac:dyDescent="0.25">
      <c r="A271" s="23"/>
      <c r="B271" s="217"/>
      <c r="C271" s="34"/>
      <c r="D271" s="34"/>
      <c r="E271" s="37"/>
      <c r="F271" s="34"/>
      <c r="G271" s="34"/>
      <c r="H271" s="37"/>
      <c r="I271" s="34"/>
      <c r="J271" s="34"/>
      <c r="K271" s="34"/>
      <c r="L271" s="34"/>
      <c r="M271" s="111">
        <v>22</v>
      </c>
      <c r="N271" s="58" t="s">
        <v>139</v>
      </c>
      <c r="O271" s="59" t="s">
        <v>140</v>
      </c>
      <c r="P271" s="58"/>
      <c r="Q271" s="60"/>
      <c r="R271" s="60"/>
      <c r="S271" s="60"/>
      <c r="T271" s="60"/>
      <c r="U271" s="60"/>
      <c r="V271" s="60"/>
      <c r="W271" s="43"/>
      <c r="X271" s="43"/>
      <c r="Y271" s="44"/>
      <c r="Z271" s="44"/>
      <c r="AA271" s="44"/>
      <c r="AB271" s="44"/>
      <c r="AC271" s="41"/>
      <c r="AD271" s="45">
        <f>SUM(AD272:AD273)</f>
        <v>1540232727</v>
      </c>
      <c r="AE271" s="45">
        <f t="shared" ref="AE271:BV271" si="113">SUM(AE272:AE273)</f>
        <v>26000000</v>
      </c>
      <c r="AF271" s="45">
        <f t="shared" si="113"/>
        <v>0</v>
      </c>
      <c r="AG271" s="45">
        <f t="shared" si="113"/>
        <v>0</v>
      </c>
      <c r="AH271" s="45">
        <f t="shared" si="113"/>
        <v>0</v>
      </c>
      <c r="AI271" s="45">
        <f t="shared" si="113"/>
        <v>0</v>
      </c>
      <c r="AJ271" s="45">
        <f t="shared" si="113"/>
        <v>0</v>
      </c>
      <c r="AK271" s="45">
        <f t="shared" si="113"/>
        <v>1514232727</v>
      </c>
      <c r="AL271" s="45">
        <f t="shared" si="113"/>
        <v>0</v>
      </c>
      <c r="AM271" s="45">
        <f t="shared" si="113"/>
        <v>0</v>
      </c>
      <c r="AN271" s="45">
        <f t="shared" si="113"/>
        <v>0</v>
      </c>
      <c r="AO271" s="45">
        <f t="shared" si="113"/>
        <v>132298900</v>
      </c>
      <c r="AP271" s="45">
        <f t="shared" si="113"/>
        <v>132298900</v>
      </c>
      <c r="AQ271" s="45">
        <f t="shared" si="113"/>
        <v>0</v>
      </c>
      <c r="AR271" s="45">
        <f t="shared" si="113"/>
        <v>0</v>
      </c>
      <c r="AS271" s="45">
        <f t="shared" si="113"/>
        <v>0</v>
      </c>
      <c r="AT271" s="45">
        <f t="shared" si="113"/>
        <v>0</v>
      </c>
      <c r="AU271" s="45">
        <f t="shared" si="113"/>
        <v>0</v>
      </c>
      <c r="AV271" s="45">
        <f t="shared" si="113"/>
        <v>0</v>
      </c>
      <c r="AW271" s="45">
        <f t="shared" si="113"/>
        <v>0</v>
      </c>
      <c r="AX271" s="45">
        <f t="shared" si="113"/>
        <v>0</v>
      </c>
      <c r="AY271" s="45">
        <f t="shared" si="113"/>
        <v>0</v>
      </c>
      <c r="AZ271" s="45">
        <f t="shared" si="113"/>
        <v>225580543.80000001</v>
      </c>
      <c r="BA271" s="45">
        <f t="shared" si="113"/>
        <v>225580543.80000001</v>
      </c>
      <c r="BB271" s="45">
        <f t="shared" si="113"/>
        <v>0</v>
      </c>
      <c r="BC271" s="45">
        <f t="shared" si="113"/>
        <v>0</v>
      </c>
      <c r="BD271" s="45">
        <f t="shared" si="113"/>
        <v>0</v>
      </c>
      <c r="BE271" s="45">
        <f t="shared" si="113"/>
        <v>0</v>
      </c>
      <c r="BF271" s="45">
        <f t="shared" si="113"/>
        <v>0</v>
      </c>
      <c r="BG271" s="45">
        <f t="shared" si="113"/>
        <v>0</v>
      </c>
      <c r="BH271" s="45">
        <f t="shared" si="113"/>
        <v>0</v>
      </c>
      <c r="BI271" s="45">
        <f t="shared" si="113"/>
        <v>0</v>
      </c>
      <c r="BJ271" s="45">
        <f t="shared" si="113"/>
        <v>0</v>
      </c>
      <c r="BK271" s="45">
        <f t="shared" si="113"/>
        <v>324827195.39999998</v>
      </c>
      <c r="BL271" s="45">
        <f t="shared" si="113"/>
        <v>324827195.39999998</v>
      </c>
      <c r="BM271" s="45">
        <f t="shared" si="113"/>
        <v>0</v>
      </c>
      <c r="BN271" s="45">
        <f t="shared" si="113"/>
        <v>0</v>
      </c>
      <c r="BO271" s="45">
        <f t="shared" si="113"/>
        <v>0</v>
      </c>
      <c r="BP271" s="45">
        <f t="shared" si="113"/>
        <v>0</v>
      </c>
      <c r="BQ271" s="45">
        <f t="shared" si="113"/>
        <v>0</v>
      </c>
      <c r="BR271" s="45">
        <f t="shared" si="113"/>
        <v>0</v>
      </c>
      <c r="BS271" s="45">
        <f t="shared" si="113"/>
        <v>0</v>
      </c>
      <c r="BT271" s="45">
        <f t="shared" si="113"/>
        <v>0</v>
      </c>
      <c r="BU271" s="46">
        <f t="shared" si="113"/>
        <v>0</v>
      </c>
      <c r="BV271" s="45">
        <f t="shared" si="113"/>
        <v>2222939366.1999998</v>
      </c>
      <c r="BW271" s="47"/>
    </row>
    <row r="272" spans="1:75" s="190" customFormat="1" ht="78.75" customHeight="1" x14ac:dyDescent="0.2">
      <c r="A272" s="23">
        <v>3</v>
      </c>
      <c r="B272" s="218" t="s">
        <v>41</v>
      </c>
      <c r="C272" s="17" t="s">
        <v>1345</v>
      </c>
      <c r="D272" s="17" t="s">
        <v>45</v>
      </c>
      <c r="E272" s="132">
        <v>0.25</v>
      </c>
      <c r="F272" s="6">
        <v>2018</v>
      </c>
      <c r="G272" s="17" t="s">
        <v>1346</v>
      </c>
      <c r="H272" s="82">
        <v>0.28000000000000003</v>
      </c>
      <c r="I272" s="6">
        <v>32</v>
      </c>
      <c r="J272" s="6" t="s">
        <v>943</v>
      </c>
      <c r="K272" s="15">
        <v>10</v>
      </c>
      <c r="L272" s="6" t="s">
        <v>1347</v>
      </c>
      <c r="M272" s="206">
        <v>22</v>
      </c>
      <c r="N272" s="209" t="s">
        <v>139</v>
      </c>
      <c r="O272" s="207" t="s">
        <v>140</v>
      </c>
      <c r="P272" s="6" t="s">
        <v>1388</v>
      </c>
      <c r="Q272" s="14" t="s">
        <v>1389</v>
      </c>
      <c r="R272" s="14" t="s">
        <v>1389</v>
      </c>
      <c r="S272" s="17" t="s">
        <v>141</v>
      </c>
      <c r="T272" s="6" t="s">
        <v>1390</v>
      </c>
      <c r="U272" s="14" t="s">
        <v>1391</v>
      </c>
      <c r="V272" s="14" t="s">
        <v>1391</v>
      </c>
      <c r="W272" s="48" t="s">
        <v>1392</v>
      </c>
      <c r="X272" s="6" t="s">
        <v>9</v>
      </c>
      <c r="Y272" s="83">
        <v>12</v>
      </c>
      <c r="Z272" s="6">
        <v>1</v>
      </c>
      <c r="AA272" s="6">
        <v>2</v>
      </c>
      <c r="AB272" s="6">
        <v>4</v>
      </c>
      <c r="AC272" s="6">
        <v>5</v>
      </c>
      <c r="AD272" s="50">
        <f>AE272+AF272+AG272+AH272+AI272+AJ272+AK272+AL272+AM272+AN272</f>
        <v>533894765</v>
      </c>
      <c r="AE272" s="52">
        <v>26000000</v>
      </c>
      <c r="AF272" s="52"/>
      <c r="AG272" s="52"/>
      <c r="AH272" s="52"/>
      <c r="AI272" s="52"/>
      <c r="AJ272" s="52"/>
      <c r="AK272" s="52">
        <v>507894765</v>
      </c>
      <c r="AL272" s="52"/>
      <c r="AM272" s="52"/>
      <c r="AN272" s="52"/>
      <c r="AO272" s="52">
        <f t="shared" si="105"/>
        <v>115298900</v>
      </c>
      <c r="AP272" s="52">
        <v>115298900</v>
      </c>
      <c r="AQ272" s="52"/>
      <c r="AR272" s="52"/>
      <c r="AS272" s="52"/>
      <c r="AT272" s="52"/>
      <c r="AU272" s="52"/>
      <c r="AV272" s="52"/>
      <c r="AW272" s="52"/>
      <c r="AX272" s="52"/>
      <c r="AY272" s="52"/>
      <c r="AZ272" s="52">
        <f>BA272+BB272+BC272+BD272+BE272+BF272+BG272+BH272+BI272+BJ272</f>
        <v>145580543.80000001</v>
      </c>
      <c r="BA272" s="52">
        <v>145580543.80000001</v>
      </c>
      <c r="BB272" s="52"/>
      <c r="BC272" s="52"/>
      <c r="BD272" s="52"/>
      <c r="BE272" s="52"/>
      <c r="BF272" s="52"/>
      <c r="BG272" s="52"/>
      <c r="BH272" s="52"/>
      <c r="BI272" s="52"/>
      <c r="BJ272" s="52"/>
      <c r="BK272" s="52">
        <f>BL272+BM272+BN272+BO272+BP272+BQ272+BR272+BS272+BT272+BU272</f>
        <v>153738000</v>
      </c>
      <c r="BL272" s="52">
        <v>153738000</v>
      </c>
      <c r="BM272" s="52"/>
      <c r="BN272" s="52"/>
      <c r="BO272" s="52"/>
      <c r="BP272" s="52"/>
      <c r="BQ272" s="52"/>
      <c r="BR272" s="52"/>
      <c r="BS272" s="52"/>
      <c r="BT272" s="52"/>
      <c r="BU272" s="53"/>
      <c r="BV272" s="54">
        <f>AD272+AO272+AZ272+BK272</f>
        <v>948512208.79999995</v>
      </c>
      <c r="BW272" s="55"/>
    </row>
    <row r="273" spans="1:75" s="190" customFormat="1" ht="78.75" customHeight="1" x14ac:dyDescent="0.2">
      <c r="A273" s="23">
        <v>3</v>
      </c>
      <c r="B273" s="218" t="s">
        <v>41</v>
      </c>
      <c r="C273" s="17" t="s">
        <v>1345</v>
      </c>
      <c r="D273" s="17" t="s">
        <v>45</v>
      </c>
      <c r="E273" s="132">
        <v>0.25</v>
      </c>
      <c r="F273" s="6">
        <v>2018</v>
      </c>
      <c r="G273" s="17" t="s">
        <v>1346</v>
      </c>
      <c r="H273" s="82">
        <v>0.28000000000000003</v>
      </c>
      <c r="I273" s="6">
        <v>32</v>
      </c>
      <c r="J273" s="6" t="s">
        <v>943</v>
      </c>
      <c r="K273" s="15">
        <v>10</v>
      </c>
      <c r="L273" s="6" t="s">
        <v>1347</v>
      </c>
      <c r="M273" s="206">
        <v>22</v>
      </c>
      <c r="N273" s="209" t="s">
        <v>139</v>
      </c>
      <c r="O273" s="207" t="s">
        <v>140</v>
      </c>
      <c r="P273" s="6" t="s">
        <v>1393</v>
      </c>
      <c r="Q273" s="14" t="s">
        <v>1394</v>
      </c>
      <c r="R273" s="14" t="s">
        <v>1394</v>
      </c>
      <c r="S273" s="17" t="s">
        <v>1395</v>
      </c>
      <c r="T273" s="6" t="s">
        <v>1396</v>
      </c>
      <c r="U273" s="14" t="s">
        <v>1397</v>
      </c>
      <c r="V273" s="14" t="s">
        <v>1397</v>
      </c>
      <c r="W273" s="48" t="s">
        <v>1398</v>
      </c>
      <c r="X273" s="6" t="s">
        <v>8</v>
      </c>
      <c r="Y273" s="83">
        <v>15</v>
      </c>
      <c r="Z273" s="6">
        <v>0</v>
      </c>
      <c r="AA273" s="6">
        <v>15</v>
      </c>
      <c r="AB273" s="6">
        <v>15</v>
      </c>
      <c r="AC273" s="6">
        <v>15</v>
      </c>
      <c r="AD273" s="50">
        <f>AE273+AF273+AG273+AH273+AI273+AJ273+AK273+AL273+AM273+AN273</f>
        <v>1006337962</v>
      </c>
      <c r="AE273" s="52"/>
      <c r="AF273" s="52"/>
      <c r="AG273" s="52"/>
      <c r="AH273" s="52"/>
      <c r="AI273" s="52"/>
      <c r="AJ273" s="52"/>
      <c r="AK273" s="52">
        <v>1006337962</v>
      </c>
      <c r="AL273" s="52"/>
      <c r="AM273" s="52"/>
      <c r="AN273" s="52"/>
      <c r="AO273" s="52">
        <f t="shared" si="105"/>
        <v>17000000</v>
      </c>
      <c r="AP273" s="52">
        <v>17000000</v>
      </c>
      <c r="AQ273" s="52"/>
      <c r="AR273" s="52"/>
      <c r="AS273" s="52"/>
      <c r="AT273" s="52"/>
      <c r="AU273" s="52"/>
      <c r="AV273" s="52"/>
      <c r="AW273" s="52"/>
      <c r="AX273" s="52"/>
      <c r="AY273" s="52"/>
      <c r="AZ273" s="52">
        <f>BA273+BB273+BC273+BD273+BE273+BF273+BG273+BH273+BI273+BJ273</f>
        <v>80000000</v>
      </c>
      <c r="BA273" s="52">
        <v>80000000</v>
      </c>
      <c r="BB273" s="52"/>
      <c r="BC273" s="52"/>
      <c r="BD273" s="52"/>
      <c r="BE273" s="52"/>
      <c r="BF273" s="52"/>
      <c r="BG273" s="52"/>
      <c r="BH273" s="52"/>
      <c r="BI273" s="52"/>
      <c r="BJ273" s="52"/>
      <c r="BK273" s="52">
        <f>BL273+BM273+BN273+BO273+BP273+BQ273+BR273+BS273+BT273+BU273</f>
        <v>171089195.40000001</v>
      </c>
      <c r="BL273" s="52">
        <v>171089195.40000001</v>
      </c>
      <c r="BM273" s="52"/>
      <c r="BN273" s="52"/>
      <c r="BO273" s="52"/>
      <c r="BP273" s="52"/>
      <c r="BQ273" s="52"/>
      <c r="BR273" s="52"/>
      <c r="BS273" s="52"/>
      <c r="BT273" s="52"/>
      <c r="BU273" s="53"/>
      <c r="BV273" s="54">
        <f>AD273+AO273+AZ273+BK273</f>
        <v>1274427157.4000001</v>
      </c>
      <c r="BW273" s="55"/>
    </row>
    <row r="274" spans="1:75" ht="29.25" customHeight="1" x14ac:dyDescent="0.25">
      <c r="A274" s="23"/>
      <c r="B274" s="217"/>
      <c r="C274" s="34"/>
      <c r="D274" s="34"/>
      <c r="E274" s="37"/>
      <c r="F274" s="34"/>
      <c r="G274" s="34"/>
      <c r="H274" s="37"/>
      <c r="I274" s="34"/>
      <c r="J274" s="34"/>
      <c r="K274" s="34"/>
      <c r="L274" s="34"/>
      <c r="M274" s="111">
        <v>23</v>
      </c>
      <c r="N274" s="58">
        <v>3205</v>
      </c>
      <c r="O274" s="59" t="s">
        <v>47</v>
      </c>
      <c r="P274" s="58"/>
      <c r="Q274" s="60"/>
      <c r="R274" s="60"/>
      <c r="S274" s="60"/>
      <c r="T274" s="60"/>
      <c r="U274" s="60"/>
      <c r="V274" s="60"/>
      <c r="W274" s="43"/>
      <c r="X274" s="43"/>
      <c r="Y274" s="44"/>
      <c r="Z274" s="44"/>
      <c r="AA274" s="44"/>
      <c r="AB274" s="44"/>
      <c r="AC274" s="41"/>
      <c r="AD274" s="45">
        <f t="shared" ref="AD274:AJ274" si="114">SUM(AD275:AD279)</f>
        <v>17957133409.360001</v>
      </c>
      <c r="AE274" s="45">
        <f t="shared" si="114"/>
        <v>238063334.30000001</v>
      </c>
      <c r="AF274" s="45">
        <f t="shared" si="114"/>
        <v>479436488.06</v>
      </c>
      <c r="AG274" s="45">
        <f t="shared" si="114"/>
        <v>0</v>
      </c>
      <c r="AH274" s="45">
        <f t="shared" si="114"/>
        <v>0</v>
      </c>
      <c r="AI274" s="45">
        <f t="shared" si="114"/>
        <v>0</v>
      </c>
      <c r="AJ274" s="45">
        <f t="shared" si="114"/>
        <v>0</v>
      </c>
      <c r="AK274" s="45">
        <f t="shared" ref="AK274:AW274" si="115">SUM(AK275:AK279)</f>
        <v>17239633587</v>
      </c>
      <c r="AL274" s="45">
        <f t="shared" si="115"/>
        <v>0</v>
      </c>
      <c r="AM274" s="45">
        <f t="shared" si="115"/>
        <v>0</v>
      </c>
      <c r="AN274" s="45">
        <f t="shared" si="115"/>
        <v>0</v>
      </c>
      <c r="AO274" s="45">
        <f t="shared" si="115"/>
        <v>866556419.70000005</v>
      </c>
      <c r="AP274" s="45">
        <f t="shared" si="115"/>
        <v>88894031.700000003</v>
      </c>
      <c r="AQ274" s="45">
        <f t="shared" si="115"/>
        <v>777662388</v>
      </c>
      <c r="AR274" s="45">
        <f t="shared" si="115"/>
        <v>0</v>
      </c>
      <c r="AS274" s="45">
        <f t="shared" si="115"/>
        <v>0</v>
      </c>
      <c r="AT274" s="45">
        <f t="shared" si="115"/>
        <v>0</v>
      </c>
      <c r="AU274" s="45">
        <f t="shared" si="115"/>
        <v>0</v>
      </c>
      <c r="AV274" s="45">
        <f t="shared" si="115"/>
        <v>0</v>
      </c>
      <c r="AW274" s="45">
        <f t="shared" si="115"/>
        <v>0</v>
      </c>
      <c r="AX274" s="45">
        <f t="shared" ref="AX274:BV274" si="116">SUM(AX275:AX279)</f>
        <v>0</v>
      </c>
      <c r="AY274" s="45">
        <f t="shared" si="116"/>
        <v>0</v>
      </c>
      <c r="AZ274" s="45">
        <f t="shared" si="116"/>
        <v>651010205.93000007</v>
      </c>
      <c r="BA274" s="45">
        <f t="shared" si="116"/>
        <v>201010205.93000001</v>
      </c>
      <c r="BB274" s="45">
        <f t="shared" si="116"/>
        <v>450000000</v>
      </c>
      <c r="BC274" s="45">
        <f t="shared" si="116"/>
        <v>0</v>
      </c>
      <c r="BD274" s="45">
        <f t="shared" si="116"/>
        <v>0</v>
      </c>
      <c r="BE274" s="45">
        <f t="shared" si="116"/>
        <v>0</v>
      </c>
      <c r="BF274" s="45">
        <f t="shared" si="116"/>
        <v>0</v>
      </c>
      <c r="BG274" s="45">
        <f t="shared" si="116"/>
        <v>0</v>
      </c>
      <c r="BH274" s="45">
        <f t="shared" si="116"/>
        <v>0</v>
      </c>
      <c r="BI274" s="45">
        <f t="shared" si="116"/>
        <v>0</v>
      </c>
      <c r="BJ274" s="45">
        <f t="shared" si="116"/>
        <v>0</v>
      </c>
      <c r="BK274" s="45">
        <f t="shared" si="116"/>
        <v>1093713000</v>
      </c>
      <c r="BL274" s="45">
        <f t="shared" si="116"/>
        <v>593713000</v>
      </c>
      <c r="BM274" s="45">
        <f t="shared" si="116"/>
        <v>500000000</v>
      </c>
      <c r="BN274" s="45">
        <f t="shared" si="116"/>
        <v>0</v>
      </c>
      <c r="BO274" s="45">
        <f t="shared" si="116"/>
        <v>0</v>
      </c>
      <c r="BP274" s="45">
        <f t="shared" si="116"/>
        <v>0</v>
      </c>
      <c r="BQ274" s="45">
        <f t="shared" si="116"/>
        <v>0</v>
      </c>
      <c r="BR274" s="45">
        <f t="shared" si="116"/>
        <v>0</v>
      </c>
      <c r="BS274" s="45">
        <f t="shared" si="116"/>
        <v>0</v>
      </c>
      <c r="BT274" s="45">
        <f t="shared" si="116"/>
        <v>0</v>
      </c>
      <c r="BU274" s="46">
        <f t="shared" si="116"/>
        <v>0</v>
      </c>
      <c r="BV274" s="45">
        <f t="shared" si="116"/>
        <v>20568413034.990002</v>
      </c>
      <c r="BW274" s="47"/>
    </row>
    <row r="275" spans="1:75" s="190" customFormat="1" ht="141.75" customHeight="1" x14ac:dyDescent="0.2">
      <c r="A275" s="23">
        <v>3</v>
      </c>
      <c r="B275" s="218" t="s">
        <v>41</v>
      </c>
      <c r="C275" s="17" t="s">
        <v>938</v>
      </c>
      <c r="D275" s="17" t="s">
        <v>1615</v>
      </c>
      <c r="E275" s="82">
        <v>1</v>
      </c>
      <c r="F275" s="6">
        <v>2019</v>
      </c>
      <c r="G275" s="17" t="s">
        <v>1584</v>
      </c>
      <c r="H275" s="82">
        <v>1</v>
      </c>
      <c r="I275" s="6">
        <v>32</v>
      </c>
      <c r="J275" s="101" t="s">
        <v>943</v>
      </c>
      <c r="K275" s="15">
        <v>12</v>
      </c>
      <c r="L275" s="101" t="s">
        <v>944</v>
      </c>
      <c r="M275" s="206">
        <v>23</v>
      </c>
      <c r="N275" s="206">
        <v>3205</v>
      </c>
      <c r="O275" s="207" t="s">
        <v>47</v>
      </c>
      <c r="P275" s="6" t="s">
        <v>945</v>
      </c>
      <c r="Q275" s="6">
        <v>3205002</v>
      </c>
      <c r="R275" s="6">
        <v>3205002</v>
      </c>
      <c r="S275" s="17" t="s">
        <v>84</v>
      </c>
      <c r="T275" s="6" t="s">
        <v>946</v>
      </c>
      <c r="U275" s="6">
        <v>320500200</v>
      </c>
      <c r="V275" s="6">
        <v>320500200</v>
      </c>
      <c r="W275" s="48" t="s">
        <v>947</v>
      </c>
      <c r="X275" s="6" t="s">
        <v>9</v>
      </c>
      <c r="Y275" s="6">
        <v>10</v>
      </c>
      <c r="Z275" s="6">
        <v>1</v>
      </c>
      <c r="AA275" s="6">
        <v>3</v>
      </c>
      <c r="AB275" s="6">
        <v>3</v>
      </c>
      <c r="AC275" s="6">
        <v>3</v>
      </c>
      <c r="AD275" s="50">
        <f>AE275+AF275+AG275+AH275+AI275+AJ275+AK275+AL275+AM275+AN275</f>
        <v>17252500255</v>
      </c>
      <c r="AE275" s="52">
        <v>12866668</v>
      </c>
      <c r="AF275" s="52"/>
      <c r="AG275" s="52"/>
      <c r="AH275" s="52"/>
      <c r="AI275" s="52"/>
      <c r="AJ275" s="52"/>
      <c r="AK275" s="52">
        <f>7739633587+9500000000</f>
        <v>17239633587</v>
      </c>
      <c r="AL275" s="52"/>
      <c r="AM275" s="52"/>
      <c r="AN275" s="52"/>
      <c r="AO275" s="52">
        <f t="shared" si="105"/>
        <v>11581532.699999999</v>
      </c>
      <c r="AP275" s="52">
        <v>11581532.699999999</v>
      </c>
      <c r="AQ275" s="52"/>
      <c r="AR275" s="52"/>
      <c r="AS275" s="52"/>
      <c r="AT275" s="52"/>
      <c r="AU275" s="52"/>
      <c r="AV275" s="52"/>
      <c r="AW275" s="52"/>
      <c r="AX275" s="52"/>
      <c r="AY275" s="52"/>
      <c r="AZ275" s="52">
        <f>BA275+BB275+BC275+BD275+BE275+BF275+BG275+BH275+BI275+BJ275</f>
        <v>31848843.93</v>
      </c>
      <c r="BA275" s="52">
        <f>11848843.93+20000000</f>
        <v>31848843.93</v>
      </c>
      <c r="BB275" s="52"/>
      <c r="BC275" s="52"/>
      <c r="BD275" s="52"/>
      <c r="BE275" s="52"/>
      <c r="BF275" s="52"/>
      <c r="BG275" s="52"/>
      <c r="BH275" s="52"/>
      <c r="BI275" s="52"/>
      <c r="BJ275" s="52"/>
      <c r="BK275" s="52">
        <f>BL275+BM275+BN275+BO275+BP275+BQ275+BR275+BS275+BT275+BU275</f>
        <v>100000000</v>
      </c>
      <c r="BL275" s="52">
        <v>100000000</v>
      </c>
      <c r="BM275" s="52"/>
      <c r="BN275" s="52"/>
      <c r="BO275" s="52"/>
      <c r="BP275" s="52"/>
      <c r="BQ275" s="52"/>
      <c r="BR275" s="52"/>
      <c r="BS275" s="52"/>
      <c r="BT275" s="52"/>
      <c r="BU275" s="53"/>
      <c r="BV275" s="54">
        <f>AD275+AO275+AZ275+BK275</f>
        <v>17395930631.630001</v>
      </c>
      <c r="BW275" s="55"/>
    </row>
    <row r="276" spans="1:75" s="190" customFormat="1" ht="78.75" customHeight="1" x14ac:dyDescent="0.2">
      <c r="A276" s="23">
        <v>3</v>
      </c>
      <c r="B276" s="218" t="s">
        <v>41</v>
      </c>
      <c r="C276" s="17" t="s">
        <v>1345</v>
      </c>
      <c r="D276" s="17" t="s">
        <v>45</v>
      </c>
      <c r="E276" s="132">
        <v>0.25</v>
      </c>
      <c r="F276" s="6">
        <v>2018</v>
      </c>
      <c r="G276" s="17" t="s">
        <v>1346</v>
      </c>
      <c r="H276" s="82">
        <v>0.28000000000000003</v>
      </c>
      <c r="I276" s="6">
        <v>32</v>
      </c>
      <c r="J276" s="6" t="s">
        <v>943</v>
      </c>
      <c r="K276" s="15">
        <v>10</v>
      </c>
      <c r="L276" s="6" t="s">
        <v>1347</v>
      </c>
      <c r="M276" s="206">
        <v>23</v>
      </c>
      <c r="N276" s="209">
        <v>3205</v>
      </c>
      <c r="O276" s="207" t="s">
        <v>47</v>
      </c>
      <c r="P276" s="6" t="s">
        <v>1399</v>
      </c>
      <c r="Q276" s="14" t="s">
        <v>1400</v>
      </c>
      <c r="R276" s="14" t="s">
        <v>1400</v>
      </c>
      <c r="S276" s="17" t="s">
        <v>1401</v>
      </c>
      <c r="T276" s="6" t="s">
        <v>1402</v>
      </c>
      <c r="U276" s="14" t="s">
        <v>1403</v>
      </c>
      <c r="V276" s="14" t="s">
        <v>1403</v>
      </c>
      <c r="W276" s="48" t="s">
        <v>1404</v>
      </c>
      <c r="X276" s="6" t="s">
        <v>1579</v>
      </c>
      <c r="Y276" s="83">
        <v>700</v>
      </c>
      <c r="Z276" s="6"/>
      <c r="AA276" s="6">
        <v>200</v>
      </c>
      <c r="AB276" s="6">
        <v>200</v>
      </c>
      <c r="AC276" s="6">
        <v>300</v>
      </c>
      <c r="AD276" s="50">
        <f>AE276+AF276+AG276+AH276+AI276+AJ276+AK276+AL276+AM276+AN276</f>
        <v>0</v>
      </c>
      <c r="AE276" s="52"/>
      <c r="AF276" s="52"/>
      <c r="AG276" s="52"/>
      <c r="AH276" s="52"/>
      <c r="AI276" s="52"/>
      <c r="AJ276" s="52"/>
      <c r="AK276" s="52"/>
      <c r="AL276" s="52"/>
      <c r="AM276" s="52"/>
      <c r="AN276" s="52"/>
      <c r="AO276" s="52">
        <f t="shared" si="105"/>
        <v>20000000</v>
      </c>
      <c r="AP276" s="52">
        <v>20000000</v>
      </c>
      <c r="AQ276" s="52"/>
      <c r="AR276" s="52"/>
      <c r="AS276" s="52"/>
      <c r="AT276" s="52"/>
      <c r="AU276" s="52"/>
      <c r="AV276" s="52"/>
      <c r="AW276" s="52"/>
      <c r="AX276" s="52"/>
      <c r="AY276" s="52"/>
      <c r="AZ276" s="52">
        <f>BA276+BB276+BC276+BD276+BE276+BF276+BG276+BH276+BI276+BJ276</f>
        <v>47795363</v>
      </c>
      <c r="BA276" s="52">
        <v>47795363</v>
      </c>
      <c r="BB276" s="52"/>
      <c r="BC276" s="52"/>
      <c r="BD276" s="52"/>
      <c r="BE276" s="52"/>
      <c r="BF276" s="52"/>
      <c r="BG276" s="52"/>
      <c r="BH276" s="52"/>
      <c r="BI276" s="52"/>
      <c r="BJ276" s="52"/>
      <c r="BK276" s="52">
        <f>BL276+BM276+BN276+BO276+BP276+BQ276+BR276+BS276+BT276+BU276</f>
        <v>118519000</v>
      </c>
      <c r="BL276" s="52">
        <v>118519000</v>
      </c>
      <c r="BM276" s="52"/>
      <c r="BN276" s="52"/>
      <c r="BO276" s="52"/>
      <c r="BP276" s="52"/>
      <c r="BQ276" s="52"/>
      <c r="BR276" s="52"/>
      <c r="BS276" s="52"/>
      <c r="BT276" s="52"/>
      <c r="BU276" s="53"/>
      <c r="BV276" s="54">
        <f>AD276+AO276+AZ276+BK276</f>
        <v>186314363</v>
      </c>
      <c r="BW276" s="55"/>
    </row>
    <row r="277" spans="1:75" s="190" customFormat="1" ht="94.5" customHeight="1" x14ac:dyDescent="0.2">
      <c r="A277" s="23">
        <v>3</v>
      </c>
      <c r="B277" s="218" t="s">
        <v>41</v>
      </c>
      <c r="C277" s="17" t="s">
        <v>1345</v>
      </c>
      <c r="D277" s="17" t="s">
        <v>45</v>
      </c>
      <c r="E277" s="132">
        <v>0.25</v>
      </c>
      <c r="F277" s="6">
        <v>2018</v>
      </c>
      <c r="G277" s="17" t="s">
        <v>1346</v>
      </c>
      <c r="H277" s="82">
        <v>0.28000000000000003</v>
      </c>
      <c r="I277" s="123">
        <v>32</v>
      </c>
      <c r="J277" s="101" t="s">
        <v>943</v>
      </c>
      <c r="K277" s="133" t="s">
        <v>1683</v>
      </c>
      <c r="L277" s="101" t="s">
        <v>1684</v>
      </c>
      <c r="M277" s="206">
        <v>23</v>
      </c>
      <c r="N277" s="209">
        <v>3205</v>
      </c>
      <c r="O277" s="207" t="s">
        <v>47</v>
      </c>
      <c r="P277" s="6" t="s">
        <v>1405</v>
      </c>
      <c r="Q277" s="14">
        <v>3205010</v>
      </c>
      <c r="R277" s="14">
        <v>3205010</v>
      </c>
      <c r="S277" s="17" t="s">
        <v>48</v>
      </c>
      <c r="T277" s="6" t="s">
        <v>1406</v>
      </c>
      <c r="U277" s="14" t="s">
        <v>1407</v>
      </c>
      <c r="V277" s="14" t="s">
        <v>1407</v>
      </c>
      <c r="W277" s="48" t="s">
        <v>1408</v>
      </c>
      <c r="X277" s="6" t="s">
        <v>9</v>
      </c>
      <c r="Y277" s="83">
        <f>8+4</f>
        <v>12</v>
      </c>
      <c r="Z277" s="6">
        <v>1</v>
      </c>
      <c r="AA277" s="6">
        <f>1+2</f>
        <v>3</v>
      </c>
      <c r="AB277" s="6">
        <f>1+3</f>
        <v>4</v>
      </c>
      <c r="AC277" s="6">
        <f>1+3</f>
        <v>4</v>
      </c>
      <c r="AD277" s="50">
        <f>AE277+AF277+AG277+AH277+AI277+AJ277+AK277+AL277+AM277+AN277</f>
        <v>50000000</v>
      </c>
      <c r="AE277" s="52">
        <v>50000000</v>
      </c>
      <c r="AF277" s="52"/>
      <c r="AG277" s="52"/>
      <c r="AH277" s="52"/>
      <c r="AI277" s="52"/>
      <c r="AJ277" s="52"/>
      <c r="AK277" s="52"/>
      <c r="AL277" s="52"/>
      <c r="AM277" s="52"/>
      <c r="AN277" s="52"/>
      <c r="AO277" s="52">
        <f t="shared" si="105"/>
        <v>430907694</v>
      </c>
      <c r="AP277" s="52">
        <v>42076500</v>
      </c>
      <c r="AQ277" s="52">
        <v>388831194</v>
      </c>
      <c r="AR277" s="52"/>
      <c r="AS277" s="52"/>
      <c r="AT277" s="52"/>
      <c r="AU277" s="52"/>
      <c r="AV277" s="52"/>
      <c r="AW277" s="52"/>
      <c r="AX277" s="52"/>
      <c r="AY277" s="52"/>
      <c r="AZ277" s="52">
        <f>BA277+BB277+BC277+BD277+BE277+BF277+BG277+BH277+BI277+BJ277</f>
        <v>306130000</v>
      </c>
      <c r="BA277" s="52">
        <v>56130000</v>
      </c>
      <c r="BB277" s="52">
        <v>250000000</v>
      </c>
      <c r="BC277" s="52"/>
      <c r="BD277" s="52"/>
      <c r="BE277" s="52"/>
      <c r="BF277" s="52"/>
      <c r="BG277" s="52"/>
      <c r="BH277" s="52"/>
      <c r="BI277" s="52"/>
      <c r="BJ277" s="52"/>
      <c r="BK277" s="52">
        <f>BL277+BM277+BN277+BO277+BP277+BQ277+BR277+BS277+BT277+BU277</f>
        <v>350000000</v>
      </c>
      <c r="BL277" s="52">
        <v>150000000</v>
      </c>
      <c r="BM277" s="52">
        <v>200000000</v>
      </c>
      <c r="BN277" s="52"/>
      <c r="BO277" s="52"/>
      <c r="BP277" s="52"/>
      <c r="BQ277" s="52"/>
      <c r="BR277" s="52"/>
      <c r="BS277" s="52"/>
      <c r="BT277" s="52"/>
      <c r="BU277" s="53"/>
      <c r="BV277" s="54">
        <f>AD277+AO277+AZ277+BK277</f>
        <v>1137037694</v>
      </c>
      <c r="BW277" s="55"/>
    </row>
    <row r="278" spans="1:75" s="190" customFormat="1" ht="78.75" customHeight="1" x14ac:dyDescent="0.2">
      <c r="A278" s="23">
        <v>3</v>
      </c>
      <c r="B278" s="218" t="s">
        <v>41</v>
      </c>
      <c r="C278" s="17" t="s">
        <v>1345</v>
      </c>
      <c r="D278" s="17" t="s">
        <v>45</v>
      </c>
      <c r="E278" s="132">
        <v>0.25</v>
      </c>
      <c r="F278" s="6">
        <v>2018</v>
      </c>
      <c r="G278" s="17" t="s">
        <v>1346</v>
      </c>
      <c r="H278" s="82">
        <v>0.28000000000000003</v>
      </c>
      <c r="I278" s="123">
        <v>32</v>
      </c>
      <c r="J278" s="101" t="s">
        <v>943</v>
      </c>
      <c r="K278" s="15">
        <v>10</v>
      </c>
      <c r="L278" s="101" t="s">
        <v>1347</v>
      </c>
      <c r="M278" s="206">
        <v>23</v>
      </c>
      <c r="N278" s="209">
        <v>3205</v>
      </c>
      <c r="O278" s="207" t="s">
        <v>47</v>
      </c>
      <c r="P278" s="6" t="s">
        <v>1409</v>
      </c>
      <c r="Q278" s="14">
        <v>3205014</v>
      </c>
      <c r="R278" s="14">
        <v>3205014</v>
      </c>
      <c r="S278" s="17" t="s">
        <v>1410</v>
      </c>
      <c r="T278" s="14" t="s">
        <v>1411</v>
      </c>
      <c r="U278" s="14" t="s">
        <v>1412</v>
      </c>
      <c r="V278" s="14" t="s">
        <v>1412</v>
      </c>
      <c r="W278" s="48" t="s">
        <v>1413</v>
      </c>
      <c r="X278" s="6" t="s">
        <v>9</v>
      </c>
      <c r="Y278" s="83">
        <v>50</v>
      </c>
      <c r="Z278" s="6"/>
      <c r="AA278" s="6">
        <v>10</v>
      </c>
      <c r="AB278" s="6">
        <v>20</v>
      </c>
      <c r="AC278" s="6">
        <v>20</v>
      </c>
      <c r="AD278" s="50">
        <f>AE278+AF278+AG278+AH278+AI278+AJ278+AK278+AL278+AM278+AN278</f>
        <v>0</v>
      </c>
      <c r="AE278" s="52"/>
      <c r="AF278" s="52"/>
      <c r="AG278" s="52"/>
      <c r="AH278" s="52"/>
      <c r="AI278" s="52"/>
      <c r="AJ278" s="52"/>
      <c r="AK278" s="52"/>
      <c r="AL278" s="52"/>
      <c r="AM278" s="52"/>
      <c r="AN278" s="52"/>
      <c r="AO278" s="52">
        <f t="shared" si="105"/>
        <v>10000000</v>
      </c>
      <c r="AP278" s="52">
        <v>10000000</v>
      </c>
      <c r="AQ278" s="52"/>
      <c r="AR278" s="52"/>
      <c r="AS278" s="52"/>
      <c r="AT278" s="52"/>
      <c r="AU278" s="52"/>
      <c r="AV278" s="52"/>
      <c r="AW278" s="52"/>
      <c r="AX278" s="52"/>
      <c r="AY278" s="52"/>
      <c r="AZ278" s="52">
        <f>BA278+BB278+BC278+BD278+BE278+BF278+BG278+BH278+BI278+BJ278</f>
        <v>40000000</v>
      </c>
      <c r="BA278" s="52">
        <v>40000000</v>
      </c>
      <c r="BB278" s="52"/>
      <c r="BC278" s="52"/>
      <c r="BD278" s="52"/>
      <c r="BE278" s="52"/>
      <c r="BF278" s="52"/>
      <c r="BG278" s="52"/>
      <c r="BH278" s="52"/>
      <c r="BI278" s="52"/>
      <c r="BJ278" s="52"/>
      <c r="BK278" s="52">
        <f>BL278+BM278+BN278+BO278+BP278+BQ278+BR278+BS278+BT278+BU278</f>
        <v>150000000</v>
      </c>
      <c r="BL278" s="52">
        <v>150000000</v>
      </c>
      <c r="BM278" s="52"/>
      <c r="BN278" s="52"/>
      <c r="BO278" s="52"/>
      <c r="BP278" s="52"/>
      <c r="BQ278" s="52"/>
      <c r="BR278" s="52"/>
      <c r="BS278" s="52"/>
      <c r="BT278" s="52"/>
      <c r="BU278" s="53"/>
      <c r="BV278" s="54">
        <f>AD278+AO278+AZ278+BK278</f>
        <v>200000000</v>
      </c>
      <c r="BW278" s="55"/>
    </row>
    <row r="279" spans="1:75" s="190" customFormat="1" ht="110.25" customHeight="1" x14ac:dyDescent="0.2">
      <c r="A279" s="23">
        <v>3</v>
      </c>
      <c r="B279" s="218" t="s">
        <v>41</v>
      </c>
      <c r="C279" s="17" t="s">
        <v>938</v>
      </c>
      <c r="D279" s="17" t="s">
        <v>1614</v>
      </c>
      <c r="E279" s="82" t="s">
        <v>939</v>
      </c>
      <c r="F279" s="6" t="s">
        <v>940</v>
      </c>
      <c r="G279" s="17" t="s">
        <v>941</v>
      </c>
      <c r="H279" s="16" t="s">
        <v>942</v>
      </c>
      <c r="I279" s="6">
        <v>32</v>
      </c>
      <c r="J279" s="101" t="s">
        <v>943</v>
      </c>
      <c r="K279" s="15" t="s">
        <v>1577</v>
      </c>
      <c r="L279" s="101" t="s">
        <v>1685</v>
      </c>
      <c r="M279" s="206">
        <v>23</v>
      </c>
      <c r="N279" s="206">
        <v>3205</v>
      </c>
      <c r="O279" s="207" t="s">
        <v>47</v>
      </c>
      <c r="P279" s="6" t="s">
        <v>948</v>
      </c>
      <c r="Q279" s="6">
        <v>3205021</v>
      </c>
      <c r="R279" s="6">
        <v>3205021</v>
      </c>
      <c r="S279" s="17" t="s">
        <v>49</v>
      </c>
      <c r="T279" s="6" t="s">
        <v>949</v>
      </c>
      <c r="U279" s="6">
        <v>320502100</v>
      </c>
      <c r="V279" s="6">
        <v>320502100</v>
      </c>
      <c r="W279" s="48" t="s">
        <v>950</v>
      </c>
      <c r="X279" s="6" t="s">
        <v>9</v>
      </c>
      <c r="Y279" s="6">
        <f>8+4</f>
        <v>12</v>
      </c>
      <c r="Z279" s="6">
        <f>1+1</f>
        <v>2</v>
      </c>
      <c r="AA279" s="6">
        <f>2+1</f>
        <v>3</v>
      </c>
      <c r="AB279" s="6">
        <f>2+1</f>
        <v>3</v>
      </c>
      <c r="AC279" s="6">
        <f>3+1</f>
        <v>4</v>
      </c>
      <c r="AD279" s="50">
        <f>AE279+AF279+AG279+AH279+AI279+AJ279+AK279+AL279+AM279+AN279</f>
        <v>654633154.36000001</v>
      </c>
      <c r="AE279" s="52">
        <f>4835998.3+170360668</f>
        <v>175196666.30000001</v>
      </c>
      <c r="AF279" s="52">
        <v>479436488.06</v>
      </c>
      <c r="AG279" s="52"/>
      <c r="AH279" s="52"/>
      <c r="AI279" s="52"/>
      <c r="AJ279" s="52"/>
      <c r="AK279" s="52"/>
      <c r="AL279" s="52"/>
      <c r="AM279" s="52"/>
      <c r="AN279" s="52"/>
      <c r="AO279" s="52">
        <f t="shared" si="105"/>
        <v>394067193</v>
      </c>
      <c r="AP279" s="52">
        <v>5235999</v>
      </c>
      <c r="AQ279" s="52">
        <v>388831194</v>
      </c>
      <c r="AR279" s="52"/>
      <c r="AS279" s="52"/>
      <c r="AT279" s="52"/>
      <c r="AU279" s="52"/>
      <c r="AV279" s="52"/>
      <c r="AW279" s="52"/>
      <c r="AX279" s="52"/>
      <c r="AY279" s="52"/>
      <c r="AZ279" s="52">
        <f>BA279+BB279+BC279+BD279+BE279+BF279+BG279+BH279+BI279+BJ279</f>
        <v>225235999</v>
      </c>
      <c r="BA279" s="52">
        <v>25235999</v>
      </c>
      <c r="BB279" s="52">
        <v>200000000</v>
      </c>
      <c r="BC279" s="52"/>
      <c r="BD279" s="52"/>
      <c r="BE279" s="52"/>
      <c r="BF279" s="52"/>
      <c r="BG279" s="52"/>
      <c r="BH279" s="52"/>
      <c r="BI279" s="52"/>
      <c r="BJ279" s="52"/>
      <c r="BK279" s="52">
        <f>BL279+BM279+BN279+BO279+BP279+BQ279+BR279+BS279+BT279+BU279</f>
        <v>375194000</v>
      </c>
      <c r="BL279" s="52">
        <v>75194000</v>
      </c>
      <c r="BM279" s="52">
        <v>300000000</v>
      </c>
      <c r="BN279" s="52"/>
      <c r="BO279" s="52"/>
      <c r="BP279" s="52"/>
      <c r="BQ279" s="52"/>
      <c r="BR279" s="52"/>
      <c r="BS279" s="52"/>
      <c r="BT279" s="52"/>
      <c r="BU279" s="53"/>
      <c r="BV279" s="54">
        <f>AD279+AO279+AZ279+BK279</f>
        <v>1649130346.3600001</v>
      </c>
      <c r="BW279" s="55"/>
    </row>
    <row r="280" spans="1:75" ht="21.75" customHeight="1" x14ac:dyDescent="0.25">
      <c r="A280" s="23"/>
      <c r="B280" s="217"/>
      <c r="C280" s="34"/>
      <c r="D280" s="34"/>
      <c r="E280" s="37"/>
      <c r="F280" s="34"/>
      <c r="G280" s="34"/>
      <c r="H280" s="37"/>
      <c r="I280" s="34"/>
      <c r="J280" s="34"/>
      <c r="K280" s="34"/>
      <c r="L280" s="34"/>
      <c r="M280" s="111">
        <v>24</v>
      </c>
      <c r="N280" s="58" t="s">
        <v>142</v>
      </c>
      <c r="O280" s="59" t="s">
        <v>143</v>
      </c>
      <c r="P280" s="58"/>
      <c r="Q280" s="60"/>
      <c r="R280" s="60"/>
      <c r="S280" s="60"/>
      <c r="T280" s="60"/>
      <c r="U280" s="60"/>
      <c r="V280" s="60"/>
      <c r="W280" s="43"/>
      <c r="X280" s="43"/>
      <c r="Y280" s="44"/>
      <c r="Z280" s="44"/>
      <c r="AA280" s="44"/>
      <c r="AB280" s="44"/>
      <c r="AC280" s="41"/>
      <c r="AD280" s="45">
        <f>SUM(AD281:AD283)</f>
        <v>2462120721</v>
      </c>
      <c r="AE280" s="45">
        <f t="shared" ref="AE280:AX280" si="117">SUM(AE281:AE283)</f>
        <v>20000000</v>
      </c>
      <c r="AF280" s="45">
        <f t="shared" si="117"/>
        <v>0</v>
      </c>
      <c r="AG280" s="45">
        <f t="shared" si="117"/>
        <v>0</v>
      </c>
      <c r="AH280" s="45">
        <f t="shared" si="117"/>
        <v>0</v>
      </c>
      <c r="AI280" s="45">
        <f t="shared" si="117"/>
        <v>0</v>
      </c>
      <c r="AJ280" s="45">
        <f t="shared" si="117"/>
        <v>0</v>
      </c>
      <c r="AK280" s="45">
        <f t="shared" si="117"/>
        <v>2442120721</v>
      </c>
      <c r="AL280" s="45">
        <f t="shared" si="117"/>
        <v>0</v>
      </c>
      <c r="AM280" s="45">
        <f t="shared" si="117"/>
        <v>0</v>
      </c>
      <c r="AN280" s="45">
        <f t="shared" si="117"/>
        <v>0</v>
      </c>
      <c r="AO280" s="45">
        <f t="shared" si="117"/>
        <v>119720254.95</v>
      </c>
      <c r="AP280" s="45">
        <f t="shared" si="117"/>
        <v>119720254.95</v>
      </c>
      <c r="AQ280" s="45">
        <f t="shared" si="117"/>
        <v>0</v>
      </c>
      <c r="AR280" s="45">
        <f t="shared" si="117"/>
        <v>0</v>
      </c>
      <c r="AS280" s="45">
        <f t="shared" si="117"/>
        <v>0</v>
      </c>
      <c r="AT280" s="45">
        <f t="shared" si="117"/>
        <v>0</v>
      </c>
      <c r="AU280" s="45">
        <f t="shared" si="117"/>
        <v>0</v>
      </c>
      <c r="AV280" s="45">
        <f t="shared" si="117"/>
        <v>0</v>
      </c>
      <c r="AW280" s="45">
        <f t="shared" si="117"/>
        <v>0</v>
      </c>
      <c r="AX280" s="45">
        <f t="shared" si="117"/>
        <v>0</v>
      </c>
      <c r="AY280" s="45">
        <f t="shared" ref="AY280:BV280" si="118">SUM(AY281:AY283)</f>
        <v>0</v>
      </c>
      <c r="AZ280" s="45">
        <f t="shared" si="118"/>
        <v>198810600</v>
      </c>
      <c r="BA280" s="45">
        <f t="shared" si="118"/>
        <v>198810600</v>
      </c>
      <c r="BB280" s="45">
        <f t="shared" si="118"/>
        <v>0</v>
      </c>
      <c r="BC280" s="45">
        <f t="shared" si="118"/>
        <v>0</v>
      </c>
      <c r="BD280" s="45">
        <f t="shared" si="118"/>
        <v>0</v>
      </c>
      <c r="BE280" s="45">
        <f t="shared" si="118"/>
        <v>0</v>
      </c>
      <c r="BF280" s="45">
        <f t="shared" si="118"/>
        <v>0</v>
      </c>
      <c r="BG280" s="45">
        <f t="shared" si="118"/>
        <v>0</v>
      </c>
      <c r="BH280" s="45">
        <f t="shared" si="118"/>
        <v>0</v>
      </c>
      <c r="BI280" s="45">
        <f t="shared" si="118"/>
        <v>0</v>
      </c>
      <c r="BJ280" s="45">
        <f t="shared" si="118"/>
        <v>0</v>
      </c>
      <c r="BK280" s="45">
        <f t="shared" si="118"/>
        <v>437985000</v>
      </c>
      <c r="BL280" s="45">
        <f t="shared" si="118"/>
        <v>437985000</v>
      </c>
      <c r="BM280" s="45">
        <f t="shared" si="118"/>
        <v>0</v>
      </c>
      <c r="BN280" s="45">
        <f t="shared" si="118"/>
        <v>0</v>
      </c>
      <c r="BO280" s="45">
        <f t="shared" si="118"/>
        <v>0</v>
      </c>
      <c r="BP280" s="45">
        <f t="shared" si="118"/>
        <v>0</v>
      </c>
      <c r="BQ280" s="45">
        <f t="shared" si="118"/>
        <v>0</v>
      </c>
      <c r="BR280" s="45">
        <f t="shared" si="118"/>
        <v>0</v>
      </c>
      <c r="BS280" s="45">
        <f t="shared" si="118"/>
        <v>0</v>
      </c>
      <c r="BT280" s="45">
        <f t="shared" si="118"/>
        <v>0</v>
      </c>
      <c r="BU280" s="45">
        <f t="shared" si="118"/>
        <v>0</v>
      </c>
      <c r="BV280" s="45">
        <f t="shared" si="118"/>
        <v>3218636575.9499998</v>
      </c>
      <c r="BW280" s="47"/>
    </row>
    <row r="281" spans="1:75" s="190" customFormat="1" ht="110.25" customHeight="1" x14ac:dyDescent="0.2">
      <c r="A281" s="23">
        <v>3</v>
      </c>
      <c r="B281" s="218" t="s">
        <v>41</v>
      </c>
      <c r="C281" s="17" t="s">
        <v>1345</v>
      </c>
      <c r="D281" s="17" t="s">
        <v>45</v>
      </c>
      <c r="E281" s="132">
        <v>0.25</v>
      </c>
      <c r="F281" s="6">
        <v>2018</v>
      </c>
      <c r="G281" s="17" t="s">
        <v>1346</v>
      </c>
      <c r="H281" s="82">
        <v>0.28000000000000003</v>
      </c>
      <c r="I281" s="123">
        <v>32</v>
      </c>
      <c r="J281" s="101" t="s">
        <v>943</v>
      </c>
      <c r="K281" s="15">
        <v>10</v>
      </c>
      <c r="L281" s="101" t="s">
        <v>1347</v>
      </c>
      <c r="M281" s="6"/>
      <c r="N281" s="14"/>
      <c r="O281" s="17"/>
      <c r="P281" s="6" t="s">
        <v>1414</v>
      </c>
      <c r="Q281" s="14" t="s">
        <v>1415</v>
      </c>
      <c r="R281" s="14" t="s">
        <v>1415</v>
      </c>
      <c r="S281" s="17" t="s">
        <v>1416</v>
      </c>
      <c r="T281" s="6" t="s">
        <v>1417</v>
      </c>
      <c r="U281" s="14" t="s">
        <v>1418</v>
      </c>
      <c r="V281" s="14" t="s">
        <v>1418</v>
      </c>
      <c r="W281" s="48" t="s">
        <v>1419</v>
      </c>
      <c r="X281" s="6" t="s">
        <v>9</v>
      </c>
      <c r="Y281" s="83">
        <v>16</v>
      </c>
      <c r="Z281" s="6">
        <v>2</v>
      </c>
      <c r="AA281" s="6">
        <v>6</v>
      </c>
      <c r="AB281" s="6">
        <v>4</v>
      </c>
      <c r="AC281" s="6">
        <v>4</v>
      </c>
      <c r="AD281" s="50">
        <f>AE281+AF281+AG281+AH281+AI281+AJ281+AK281+AL281+AM281+AN281</f>
        <v>2442120721</v>
      </c>
      <c r="AE281" s="52"/>
      <c r="AF281" s="52"/>
      <c r="AG281" s="52"/>
      <c r="AH281" s="52"/>
      <c r="AI281" s="52"/>
      <c r="AJ281" s="52"/>
      <c r="AK281" s="52">
        <v>2442120721</v>
      </c>
      <c r="AL281" s="52"/>
      <c r="AM281" s="52"/>
      <c r="AN281" s="52"/>
      <c r="AO281" s="52">
        <f t="shared" si="105"/>
        <v>23843400</v>
      </c>
      <c r="AP281" s="52">
        <v>23843400</v>
      </c>
      <c r="AQ281" s="52"/>
      <c r="AR281" s="52"/>
      <c r="AS281" s="52"/>
      <c r="AT281" s="52"/>
      <c r="AU281" s="52"/>
      <c r="AV281" s="52"/>
      <c r="AW281" s="52"/>
      <c r="AX281" s="52"/>
      <c r="AY281" s="52"/>
      <c r="AZ281" s="52">
        <f>BA281+BB281+BC281+BD281+BE281+BF281+BG281+BH281+BI281+BJ281</f>
        <v>50000000</v>
      </c>
      <c r="BA281" s="52">
        <v>50000000</v>
      </c>
      <c r="BB281" s="52"/>
      <c r="BC281" s="52"/>
      <c r="BD281" s="52"/>
      <c r="BE281" s="52"/>
      <c r="BF281" s="52"/>
      <c r="BG281" s="52"/>
      <c r="BH281" s="52"/>
      <c r="BI281" s="52"/>
      <c r="BJ281" s="52"/>
      <c r="BK281" s="52">
        <f>BL281+BM281+BN281+BO281+BP281+BQ281+BR281+BS281+BT281+BU281</f>
        <v>137985000</v>
      </c>
      <c r="BL281" s="52">
        <v>137985000</v>
      </c>
      <c r="BM281" s="52"/>
      <c r="BN281" s="52"/>
      <c r="BO281" s="52"/>
      <c r="BP281" s="52"/>
      <c r="BQ281" s="52"/>
      <c r="BR281" s="52"/>
      <c r="BS281" s="52"/>
      <c r="BT281" s="52"/>
      <c r="BU281" s="53"/>
      <c r="BV281" s="54">
        <f>AD281+AO281+AZ281+BK281</f>
        <v>2653949121</v>
      </c>
      <c r="BW281" s="55"/>
    </row>
    <row r="282" spans="1:75" s="190" customFormat="1" ht="78.75" customHeight="1" x14ac:dyDescent="0.2">
      <c r="A282" s="23">
        <v>3</v>
      </c>
      <c r="B282" s="218" t="s">
        <v>41</v>
      </c>
      <c r="C282" s="17" t="s">
        <v>1345</v>
      </c>
      <c r="D282" s="17" t="s">
        <v>45</v>
      </c>
      <c r="E282" s="132">
        <v>0.25</v>
      </c>
      <c r="F282" s="6">
        <v>2018</v>
      </c>
      <c r="G282" s="17" t="s">
        <v>1346</v>
      </c>
      <c r="H282" s="82">
        <v>0.28000000000000003</v>
      </c>
      <c r="I282" s="123">
        <v>32</v>
      </c>
      <c r="J282" s="101" t="s">
        <v>943</v>
      </c>
      <c r="K282" s="15">
        <v>10</v>
      </c>
      <c r="L282" s="101" t="s">
        <v>1347</v>
      </c>
      <c r="M282" s="6"/>
      <c r="N282" s="14"/>
      <c r="O282" s="17"/>
      <c r="P282" s="6" t="s">
        <v>1420</v>
      </c>
      <c r="Q282" s="14" t="s">
        <v>1421</v>
      </c>
      <c r="R282" s="14" t="s">
        <v>1421</v>
      </c>
      <c r="S282" s="17" t="s">
        <v>144</v>
      </c>
      <c r="T282" s="6" t="s">
        <v>1422</v>
      </c>
      <c r="U282" s="14" t="s">
        <v>1423</v>
      </c>
      <c r="V282" s="14" t="s">
        <v>1423</v>
      </c>
      <c r="W282" s="48" t="s">
        <v>1424</v>
      </c>
      <c r="X282" s="6" t="s">
        <v>9</v>
      </c>
      <c r="Y282" s="83">
        <v>6000</v>
      </c>
      <c r="Z282" s="6">
        <v>50</v>
      </c>
      <c r="AA282" s="6">
        <v>1950</v>
      </c>
      <c r="AB282" s="6">
        <v>2000</v>
      </c>
      <c r="AC282" s="6">
        <v>2000</v>
      </c>
      <c r="AD282" s="50">
        <f>AE282+AF282+AG282+AH282+AI282+AJ282+AK282+AL282+AM282+AN282</f>
        <v>20000000</v>
      </c>
      <c r="AE282" s="52">
        <v>20000000</v>
      </c>
      <c r="AF282" s="52"/>
      <c r="AG282" s="52"/>
      <c r="AH282" s="52"/>
      <c r="AI282" s="52"/>
      <c r="AJ282" s="52"/>
      <c r="AK282" s="52"/>
      <c r="AL282" s="52"/>
      <c r="AM282" s="52"/>
      <c r="AN282" s="52"/>
      <c r="AO282" s="52">
        <f t="shared" si="105"/>
        <v>18348000</v>
      </c>
      <c r="AP282" s="52">
        <v>18348000</v>
      </c>
      <c r="AQ282" s="52"/>
      <c r="AR282" s="52"/>
      <c r="AS282" s="52"/>
      <c r="AT282" s="52"/>
      <c r="AU282" s="52"/>
      <c r="AV282" s="52"/>
      <c r="AW282" s="52"/>
      <c r="AX282" s="52"/>
      <c r="AY282" s="52"/>
      <c r="AZ282" s="52">
        <f>BA282+BB282+BC282+BD282+BE282+BF282+BG282+BH282+BI282+BJ282</f>
        <v>56000000</v>
      </c>
      <c r="BA282" s="52">
        <v>56000000</v>
      </c>
      <c r="BB282" s="52"/>
      <c r="BC282" s="52"/>
      <c r="BD282" s="52"/>
      <c r="BE282" s="52"/>
      <c r="BF282" s="52"/>
      <c r="BG282" s="52"/>
      <c r="BH282" s="52"/>
      <c r="BI282" s="52"/>
      <c r="BJ282" s="52"/>
      <c r="BK282" s="52">
        <f>BL282+BM282+BN282+BO282+BP282+BQ282+BR282+BS282+BT282+BU282</f>
        <v>150000000</v>
      </c>
      <c r="BL282" s="52">
        <v>150000000</v>
      </c>
      <c r="BM282" s="52"/>
      <c r="BN282" s="52"/>
      <c r="BO282" s="52"/>
      <c r="BP282" s="52"/>
      <c r="BQ282" s="52"/>
      <c r="BR282" s="52"/>
      <c r="BS282" s="52"/>
      <c r="BT282" s="52"/>
      <c r="BU282" s="53"/>
      <c r="BV282" s="54">
        <f>AD282+AO282+AZ282+BK282</f>
        <v>244348000</v>
      </c>
      <c r="BW282" s="55"/>
    </row>
    <row r="283" spans="1:75" s="190" customFormat="1" ht="78.75" customHeight="1" x14ac:dyDescent="0.2">
      <c r="A283" s="23">
        <v>3</v>
      </c>
      <c r="B283" s="218" t="s">
        <v>41</v>
      </c>
      <c r="C283" s="17" t="s">
        <v>1345</v>
      </c>
      <c r="D283" s="17" t="s">
        <v>45</v>
      </c>
      <c r="E283" s="132">
        <v>0.25</v>
      </c>
      <c r="F283" s="6">
        <v>2018</v>
      </c>
      <c r="G283" s="17" t="s">
        <v>1346</v>
      </c>
      <c r="H283" s="82">
        <v>0.28000000000000003</v>
      </c>
      <c r="I283" s="123">
        <v>32</v>
      </c>
      <c r="J283" s="101" t="s">
        <v>943</v>
      </c>
      <c r="K283" s="15">
        <v>10</v>
      </c>
      <c r="L283" s="101" t="s">
        <v>1347</v>
      </c>
      <c r="M283" s="6"/>
      <c r="N283" s="14"/>
      <c r="O283" s="17"/>
      <c r="P283" s="6" t="s">
        <v>1425</v>
      </c>
      <c r="Q283" s="14" t="s">
        <v>1426</v>
      </c>
      <c r="R283" s="14" t="s">
        <v>1426</v>
      </c>
      <c r="S283" s="17" t="s">
        <v>1427</v>
      </c>
      <c r="T283" s="6" t="s">
        <v>1428</v>
      </c>
      <c r="U283" s="14" t="s">
        <v>1429</v>
      </c>
      <c r="V283" s="14" t="s">
        <v>1429</v>
      </c>
      <c r="W283" s="48" t="s">
        <v>1430</v>
      </c>
      <c r="X283" s="6" t="s">
        <v>9</v>
      </c>
      <c r="Y283" s="83">
        <v>100</v>
      </c>
      <c r="Z283" s="6">
        <v>0</v>
      </c>
      <c r="AA283" s="6">
        <v>20</v>
      </c>
      <c r="AB283" s="6">
        <v>30</v>
      </c>
      <c r="AC283" s="6">
        <v>50</v>
      </c>
      <c r="AD283" s="50">
        <f>AE283+AF283+AG283+AH283+AI283+AJ283+AK283+AL283+AM283+AN283</f>
        <v>0</v>
      </c>
      <c r="AE283" s="52"/>
      <c r="AF283" s="52"/>
      <c r="AG283" s="52"/>
      <c r="AH283" s="52"/>
      <c r="AI283" s="52"/>
      <c r="AJ283" s="52"/>
      <c r="AK283" s="52"/>
      <c r="AL283" s="52"/>
      <c r="AM283" s="52"/>
      <c r="AN283" s="52"/>
      <c r="AO283" s="52">
        <f t="shared" si="105"/>
        <v>77528854.950000003</v>
      </c>
      <c r="AP283" s="52">
        <v>77528854.950000003</v>
      </c>
      <c r="AQ283" s="52"/>
      <c r="AR283" s="52"/>
      <c r="AS283" s="52"/>
      <c r="AT283" s="52"/>
      <c r="AU283" s="52"/>
      <c r="AV283" s="52"/>
      <c r="AW283" s="52"/>
      <c r="AX283" s="52"/>
      <c r="AY283" s="52"/>
      <c r="AZ283" s="52">
        <f>BA283+BB283+BC283+BD283+BE283+BF283+BG283+BH283+BI283+BJ283</f>
        <v>92810600</v>
      </c>
      <c r="BA283" s="52">
        <v>92810600</v>
      </c>
      <c r="BB283" s="52"/>
      <c r="BC283" s="52"/>
      <c r="BD283" s="52"/>
      <c r="BE283" s="52"/>
      <c r="BF283" s="52"/>
      <c r="BG283" s="52"/>
      <c r="BH283" s="52"/>
      <c r="BI283" s="52"/>
      <c r="BJ283" s="52"/>
      <c r="BK283" s="52">
        <f>BL283+BM283+BN283+BO283+BP283+BQ283+BR283+BS283+BT283+BU283</f>
        <v>150000000</v>
      </c>
      <c r="BL283" s="52">
        <v>150000000</v>
      </c>
      <c r="BM283" s="52"/>
      <c r="BN283" s="52"/>
      <c r="BO283" s="52"/>
      <c r="BP283" s="52"/>
      <c r="BQ283" s="52"/>
      <c r="BR283" s="52"/>
      <c r="BS283" s="52"/>
      <c r="BT283" s="52"/>
      <c r="BU283" s="53"/>
      <c r="BV283" s="54">
        <f>AD283+AO283+AZ283+BK283</f>
        <v>320339454.94999999</v>
      </c>
      <c r="BW283" s="55"/>
    </row>
    <row r="284" spans="1:75" ht="27" customHeight="1" x14ac:dyDescent="0.25">
      <c r="A284" s="23"/>
      <c r="B284" s="217"/>
      <c r="C284" s="34"/>
      <c r="D284" s="34"/>
      <c r="E284" s="37"/>
      <c r="F284" s="34"/>
      <c r="G284" s="34"/>
      <c r="H284" s="37"/>
      <c r="I284" s="34"/>
      <c r="J284" s="34"/>
      <c r="K284" s="34"/>
      <c r="L284" s="34"/>
      <c r="M284" s="111">
        <v>33</v>
      </c>
      <c r="N284" s="111" t="s">
        <v>1452</v>
      </c>
      <c r="O284" s="59" t="s">
        <v>50</v>
      </c>
      <c r="P284" s="58"/>
      <c r="Q284" s="60"/>
      <c r="R284" s="60"/>
      <c r="S284" s="60"/>
      <c r="T284" s="60"/>
      <c r="U284" s="60"/>
      <c r="V284" s="60"/>
      <c r="W284" s="43"/>
      <c r="X284" s="43"/>
      <c r="Y284" s="44"/>
      <c r="Z284" s="44"/>
      <c r="AA284" s="44"/>
      <c r="AB284" s="44"/>
      <c r="AC284" s="41"/>
      <c r="AD284" s="45">
        <f>SUM(AD285:AD291)</f>
        <v>1264291609</v>
      </c>
      <c r="AE284" s="45">
        <f t="shared" ref="AE284:AX284" si="119">SUM(AE285:AE291)</f>
        <v>0</v>
      </c>
      <c r="AF284" s="45">
        <f t="shared" si="119"/>
        <v>1075115609</v>
      </c>
      <c r="AG284" s="45">
        <f t="shared" si="119"/>
        <v>0</v>
      </c>
      <c r="AH284" s="45">
        <f t="shared" si="119"/>
        <v>0</v>
      </c>
      <c r="AI284" s="45">
        <f t="shared" si="119"/>
        <v>0</v>
      </c>
      <c r="AJ284" s="45">
        <f t="shared" si="119"/>
        <v>0</v>
      </c>
      <c r="AK284" s="45">
        <f t="shared" si="119"/>
        <v>0</v>
      </c>
      <c r="AL284" s="45">
        <f t="shared" si="119"/>
        <v>0</v>
      </c>
      <c r="AM284" s="45">
        <f t="shared" si="119"/>
        <v>0</v>
      </c>
      <c r="AN284" s="45">
        <f t="shared" si="119"/>
        <v>189176000</v>
      </c>
      <c r="AO284" s="45">
        <f t="shared" si="119"/>
        <v>581819959.90184903</v>
      </c>
      <c r="AP284" s="45">
        <f t="shared" si="119"/>
        <v>0</v>
      </c>
      <c r="AQ284" s="45">
        <f t="shared" si="119"/>
        <v>581819959.90184903</v>
      </c>
      <c r="AR284" s="45">
        <f t="shared" si="119"/>
        <v>0</v>
      </c>
      <c r="AS284" s="45">
        <f t="shared" si="119"/>
        <v>0</v>
      </c>
      <c r="AT284" s="45">
        <f t="shared" si="119"/>
        <v>0</v>
      </c>
      <c r="AU284" s="45">
        <f t="shared" si="119"/>
        <v>0</v>
      </c>
      <c r="AV284" s="45">
        <f t="shared" si="119"/>
        <v>0</v>
      </c>
      <c r="AW284" s="45">
        <f t="shared" si="119"/>
        <v>0</v>
      </c>
      <c r="AX284" s="45">
        <f t="shared" si="119"/>
        <v>0</v>
      </c>
      <c r="AY284" s="45">
        <f t="shared" ref="AY284:BV284" si="120">SUM(AY285:AY291)</f>
        <v>0</v>
      </c>
      <c r="AZ284" s="45">
        <f t="shared" si="120"/>
        <v>674183878.407408</v>
      </c>
      <c r="BA284" s="45">
        <f t="shared" si="120"/>
        <v>0</v>
      </c>
      <c r="BB284" s="45">
        <f t="shared" si="120"/>
        <v>674183878.407408</v>
      </c>
      <c r="BC284" s="45">
        <f t="shared" si="120"/>
        <v>0</v>
      </c>
      <c r="BD284" s="45">
        <f t="shared" si="120"/>
        <v>0</v>
      </c>
      <c r="BE284" s="45">
        <f t="shared" si="120"/>
        <v>0</v>
      </c>
      <c r="BF284" s="45">
        <f t="shared" si="120"/>
        <v>0</v>
      </c>
      <c r="BG284" s="45">
        <f t="shared" si="120"/>
        <v>0</v>
      </c>
      <c r="BH284" s="45">
        <f t="shared" si="120"/>
        <v>0</v>
      </c>
      <c r="BI284" s="45">
        <f t="shared" si="120"/>
        <v>0</v>
      </c>
      <c r="BJ284" s="45">
        <f t="shared" si="120"/>
        <v>0</v>
      </c>
      <c r="BK284" s="45">
        <f t="shared" si="120"/>
        <v>771565994.05555606</v>
      </c>
      <c r="BL284" s="45">
        <f t="shared" si="120"/>
        <v>0</v>
      </c>
      <c r="BM284" s="45">
        <f t="shared" si="120"/>
        <v>771565994.05555606</v>
      </c>
      <c r="BN284" s="45">
        <f t="shared" si="120"/>
        <v>0</v>
      </c>
      <c r="BO284" s="45">
        <f t="shared" si="120"/>
        <v>0</v>
      </c>
      <c r="BP284" s="45">
        <f t="shared" si="120"/>
        <v>0</v>
      </c>
      <c r="BQ284" s="45">
        <f t="shared" si="120"/>
        <v>0</v>
      </c>
      <c r="BR284" s="45">
        <f t="shared" si="120"/>
        <v>0</v>
      </c>
      <c r="BS284" s="45">
        <f t="shared" si="120"/>
        <v>0</v>
      </c>
      <c r="BT284" s="45">
        <f t="shared" si="120"/>
        <v>0</v>
      </c>
      <c r="BU284" s="45">
        <f t="shared" si="120"/>
        <v>0</v>
      </c>
      <c r="BV284" s="45">
        <f t="shared" si="120"/>
        <v>3291861441.3648129</v>
      </c>
      <c r="BW284" s="47"/>
    </row>
    <row r="285" spans="1:75" s="190" customFormat="1" ht="78.75" customHeight="1" x14ac:dyDescent="0.2">
      <c r="A285" s="23">
        <v>3</v>
      </c>
      <c r="B285" s="218" t="s">
        <v>41</v>
      </c>
      <c r="C285" s="17" t="s">
        <v>924</v>
      </c>
      <c r="D285" s="17" t="s">
        <v>297</v>
      </c>
      <c r="E285" s="16" t="s">
        <v>1093</v>
      </c>
      <c r="F285" s="6">
        <v>2018</v>
      </c>
      <c r="G285" s="17" t="s">
        <v>1094</v>
      </c>
      <c r="H285" s="88">
        <v>0.14630000000000001</v>
      </c>
      <c r="I285" s="6">
        <v>40</v>
      </c>
      <c r="J285" s="6" t="s">
        <v>1694</v>
      </c>
      <c r="K285" s="15">
        <v>7</v>
      </c>
      <c r="L285" s="6" t="s">
        <v>1104</v>
      </c>
      <c r="M285" s="206">
        <v>23</v>
      </c>
      <c r="N285" s="210">
        <v>4001</v>
      </c>
      <c r="O285" s="207" t="s">
        <v>50</v>
      </c>
      <c r="P285" s="6" t="s">
        <v>1453</v>
      </c>
      <c r="Q285" s="6" t="s">
        <v>1454</v>
      </c>
      <c r="R285" s="6" t="s">
        <v>1454</v>
      </c>
      <c r="S285" s="17" t="s">
        <v>1455</v>
      </c>
      <c r="T285" s="6" t="s">
        <v>1456</v>
      </c>
      <c r="U285" s="6" t="s">
        <v>1457</v>
      </c>
      <c r="V285" s="6" t="s">
        <v>1457</v>
      </c>
      <c r="W285" s="48" t="s">
        <v>1458</v>
      </c>
      <c r="X285" s="6" t="s">
        <v>9</v>
      </c>
      <c r="Y285" s="6">
        <v>12</v>
      </c>
      <c r="Z285" s="6">
        <v>3</v>
      </c>
      <c r="AA285" s="6">
        <v>3</v>
      </c>
      <c r="AB285" s="6">
        <v>3</v>
      </c>
      <c r="AC285" s="6">
        <v>3</v>
      </c>
      <c r="AD285" s="50">
        <f t="shared" ref="AD285:AD291" si="121">AE285+AF285+AG285+AH285+AI285+AJ285+AK285+AL285+AM285+AN285</f>
        <v>89176000</v>
      </c>
      <c r="AE285" s="52"/>
      <c r="AF285" s="52"/>
      <c r="AG285" s="52"/>
      <c r="AH285" s="52"/>
      <c r="AI285" s="52"/>
      <c r="AJ285" s="52"/>
      <c r="AK285" s="52"/>
      <c r="AL285" s="52"/>
      <c r="AM285" s="52"/>
      <c r="AN285" s="52">
        <v>89176000</v>
      </c>
      <c r="AO285" s="52">
        <f t="shared" si="105"/>
        <v>11382603.517037001</v>
      </c>
      <c r="AP285" s="52"/>
      <c r="AQ285" s="52">
        <v>11382603.517037001</v>
      </c>
      <c r="AR285" s="52"/>
      <c r="AS285" s="52"/>
      <c r="AT285" s="52"/>
      <c r="AU285" s="52"/>
      <c r="AV285" s="52"/>
      <c r="AW285" s="52"/>
      <c r="AX285" s="52"/>
      <c r="AY285" s="52"/>
      <c r="AZ285" s="52">
        <f t="shared" ref="AZ285:AZ291" si="122">BA285+BB285+BC285+BD285+BE285+BF285+BG285+BH285+BI285+BJ285</f>
        <v>0</v>
      </c>
      <c r="BA285" s="52"/>
      <c r="BB285" s="52"/>
      <c r="BC285" s="52"/>
      <c r="BD285" s="52"/>
      <c r="BE285" s="52"/>
      <c r="BF285" s="52"/>
      <c r="BG285" s="52"/>
      <c r="BH285" s="52"/>
      <c r="BI285" s="52"/>
      <c r="BJ285" s="52"/>
      <c r="BK285" s="52">
        <f t="shared" ref="BK285:BK291" si="123">BL285+BM285+BN285+BO285+BP285+BQ285+BR285+BS285+BT285+BU285</f>
        <v>0</v>
      </c>
      <c r="BL285" s="52"/>
      <c r="BM285" s="52"/>
      <c r="BN285" s="52"/>
      <c r="BO285" s="52"/>
      <c r="BP285" s="52"/>
      <c r="BQ285" s="52"/>
      <c r="BR285" s="52"/>
      <c r="BS285" s="52"/>
      <c r="BT285" s="52"/>
      <c r="BU285" s="53"/>
      <c r="BV285" s="54">
        <f t="shared" ref="BV285:BV291" si="124">AD285+AO285+AZ285+BK285</f>
        <v>100558603.517037</v>
      </c>
      <c r="BW285" s="55"/>
    </row>
    <row r="286" spans="1:75" s="190" customFormat="1" ht="78.75" customHeight="1" x14ac:dyDescent="0.2">
      <c r="A286" s="23">
        <v>3</v>
      </c>
      <c r="B286" s="218" t="s">
        <v>41</v>
      </c>
      <c r="C286" s="17" t="s">
        <v>924</v>
      </c>
      <c r="D286" s="17" t="s">
        <v>298</v>
      </c>
      <c r="E286" s="16" t="s">
        <v>1459</v>
      </c>
      <c r="F286" s="6">
        <v>2018</v>
      </c>
      <c r="G286" s="17" t="s">
        <v>1094</v>
      </c>
      <c r="H286" s="88">
        <v>4.9799999999999997E-2</v>
      </c>
      <c r="I286" s="6">
        <v>40</v>
      </c>
      <c r="J286" s="6" t="s">
        <v>1694</v>
      </c>
      <c r="K286" s="15">
        <v>7</v>
      </c>
      <c r="L286" s="6" t="s">
        <v>1104</v>
      </c>
      <c r="M286" s="206">
        <v>23</v>
      </c>
      <c r="N286" s="210">
        <v>4001</v>
      </c>
      <c r="O286" s="207" t="s">
        <v>50</v>
      </c>
      <c r="P286" s="6" t="s">
        <v>1460</v>
      </c>
      <c r="Q286" s="6" t="s">
        <v>1461</v>
      </c>
      <c r="R286" s="6" t="s">
        <v>1461</v>
      </c>
      <c r="S286" s="17" t="s">
        <v>1462</v>
      </c>
      <c r="T286" s="6" t="s">
        <v>1463</v>
      </c>
      <c r="U286" s="6" t="s">
        <v>1464</v>
      </c>
      <c r="V286" s="6" t="s">
        <v>1464</v>
      </c>
      <c r="W286" s="48" t="s">
        <v>1462</v>
      </c>
      <c r="X286" s="6" t="s">
        <v>9</v>
      </c>
      <c r="Y286" s="6">
        <v>100</v>
      </c>
      <c r="Z286" s="6"/>
      <c r="AA286" s="6">
        <v>35</v>
      </c>
      <c r="AB286" s="6">
        <v>35</v>
      </c>
      <c r="AC286" s="6">
        <v>30</v>
      </c>
      <c r="AD286" s="50">
        <f t="shared" si="121"/>
        <v>0</v>
      </c>
      <c r="AE286" s="52"/>
      <c r="AF286" s="52"/>
      <c r="AG286" s="52"/>
      <c r="AH286" s="52"/>
      <c r="AI286" s="52"/>
      <c r="AJ286" s="52"/>
      <c r="AK286" s="52"/>
      <c r="AL286" s="52"/>
      <c r="AM286" s="52"/>
      <c r="AN286" s="52"/>
      <c r="AO286" s="52">
        <f t="shared" si="105"/>
        <v>0</v>
      </c>
      <c r="AP286" s="52"/>
      <c r="AQ286" s="52"/>
      <c r="AR286" s="52"/>
      <c r="AS286" s="52"/>
      <c r="AT286" s="52"/>
      <c r="AU286" s="52"/>
      <c r="AV286" s="52"/>
      <c r="AW286" s="52"/>
      <c r="AX286" s="52"/>
      <c r="AY286" s="52"/>
      <c r="AZ286" s="52">
        <f t="shared" si="122"/>
        <v>0</v>
      </c>
      <c r="BA286" s="52"/>
      <c r="BB286" s="52"/>
      <c r="BC286" s="52"/>
      <c r="BD286" s="52"/>
      <c r="BE286" s="52"/>
      <c r="BF286" s="52"/>
      <c r="BG286" s="52"/>
      <c r="BH286" s="52"/>
      <c r="BI286" s="52"/>
      <c r="BJ286" s="52"/>
      <c r="BK286" s="52">
        <f t="shared" si="123"/>
        <v>300000000</v>
      </c>
      <c r="BL286" s="52"/>
      <c r="BM286" s="52">
        <v>300000000</v>
      </c>
      <c r="BN286" s="52"/>
      <c r="BO286" s="52"/>
      <c r="BP286" s="52"/>
      <c r="BQ286" s="52"/>
      <c r="BR286" s="52"/>
      <c r="BS286" s="52"/>
      <c r="BT286" s="52"/>
      <c r="BU286" s="53"/>
      <c r="BV286" s="54">
        <f t="shared" si="124"/>
        <v>300000000</v>
      </c>
      <c r="BW286" s="55"/>
    </row>
    <row r="287" spans="1:75" s="190" customFormat="1" ht="78.75" customHeight="1" x14ac:dyDescent="0.2">
      <c r="A287" s="23">
        <v>3</v>
      </c>
      <c r="B287" s="218" t="s">
        <v>41</v>
      </c>
      <c r="C287" s="17" t="s">
        <v>924</v>
      </c>
      <c r="D287" s="17" t="s">
        <v>51</v>
      </c>
      <c r="E287" s="16" t="s">
        <v>1093</v>
      </c>
      <c r="F287" s="6">
        <v>2018</v>
      </c>
      <c r="G287" s="17" t="s">
        <v>1094</v>
      </c>
      <c r="H287" s="88">
        <v>0.14630000000000001</v>
      </c>
      <c r="I287" s="6">
        <v>40</v>
      </c>
      <c r="J287" s="6" t="s">
        <v>1694</v>
      </c>
      <c r="K287" s="15">
        <v>7</v>
      </c>
      <c r="L287" s="6" t="s">
        <v>1104</v>
      </c>
      <c r="M287" s="206">
        <v>23</v>
      </c>
      <c r="N287" s="210">
        <v>4001</v>
      </c>
      <c r="O287" s="207" t="s">
        <v>50</v>
      </c>
      <c r="P287" s="6" t="s">
        <v>1465</v>
      </c>
      <c r="Q287" s="6" t="s">
        <v>1466</v>
      </c>
      <c r="R287" s="6" t="s">
        <v>1466</v>
      </c>
      <c r="S287" s="17" t="s">
        <v>1467</v>
      </c>
      <c r="T287" s="6" t="s">
        <v>1468</v>
      </c>
      <c r="U287" s="6" t="s">
        <v>1469</v>
      </c>
      <c r="V287" s="6" t="s">
        <v>1469</v>
      </c>
      <c r="W287" s="48" t="s">
        <v>1467</v>
      </c>
      <c r="X287" s="6" t="s">
        <v>9</v>
      </c>
      <c r="Y287" s="6">
        <v>300</v>
      </c>
      <c r="Z287" s="6">
        <v>10</v>
      </c>
      <c r="AA287" s="6">
        <v>50</v>
      </c>
      <c r="AB287" s="6">
        <v>120</v>
      </c>
      <c r="AC287" s="6">
        <v>120</v>
      </c>
      <c r="AD287" s="50">
        <f t="shared" si="121"/>
        <v>702546165</v>
      </c>
      <c r="AE287" s="52"/>
      <c r="AF287" s="52">
        <v>702546165</v>
      </c>
      <c r="AG287" s="52"/>
      <c r="AH287" s="52"/>
      <c r="AI287" s="52"/>
      <c r="AJ287" s="52"/>
      <c r="AK287" s="52"/>
      <c r="AL287" s="52"/>
      <c r="AM287" s="52"/>
      <c r="AN287" s="52"/>
      <c r="AO287" s="52">
        <f t="shared" si="105"/>
        <v>175041140.24074101</v>
      </c>
      <c r="AP287" s="52"/>
      <c r="AQ287" s="52">
        <v>175041140.24074101</v>
      </c>
      <c r="AR287" s="52"/>
      <c r="AS287" s="52"/>
      <c r="AT287" s="52"/>
      <c r="AU287" s="52"/>
      <c r="AV287" s="52"/>
      <c r="AW287" s="52"/>
      <c r="AX287" s="52"/>
      <c r="AY287" s="52"/>
      <c r="AZ287" s="52">
        <f t="shared" si="122"/>
        <v>205774169.74074101</v>
      </c>
      <c r="BA287" s="52"/>
      <c r="BB287" s="52">
        <v>205774169.74074101</v>
      </c>
      <c r="BC287" s="52"/>
      <c r="BD287" s="52"/>
      <c r="BE287" s="52"/>
      <c r="BF287" s="52"/>
      <c r="BG287" s="52"/>
      <c r="BH287" s="52"/>
      <c r="BI287" s="52"/>
      <c r="BJ287" s="52"/>
      <c r="BK287" s="52">
        <f t="shared" si="123"/>
        <v>0</v>
      </c>
      <c r="BL287" s="52"/>
      <c r="BM287" s="52"/>
      <c r="BN287" s="52"/>
      <c r="BO287" s="52"/>
      <c r="BP287" s="52"/>
      <c r="BQ287" s="52"/>
      <c r="BR287" s="52"/>
      <c r="BS287" s="52"/>
      <c r="BT287" s="52"/>
      <c r="BU287" s="53"/>
      <c r="BV287" s="54">
        <f t="shared" si="124"/>
        <v>1083361474.981482</v>
      </c>
      <c r="BW287" s="55"/>
    </row>
    <row r="288" spans="1:75" s="190" customFormat="1" ht="78.75" customHeight="1" x14ac:dyDescent="0.2">
      <c r="A288" s="23">
        <v>3</v>
      </c>
      <c r="B288" s="218" t="s">
        <v>41</v>
      </c>
      <c r="C288" s="17" t="s">
        <v>924</v>
      </c>
      <c r="D288" s="17" t="s">
        <v>298</v>
      </c>
      <c r="E288" s="16" t="s">
        <v>1459</v>
      </c>
      <c r="F288" s="6">
        <v>2018</v>
      </c>
      <c r="G288" s="17" t="s">
        <v>1094</v>
      </c>
      <c r="H288" s="88">
        <v>4.9799999999999997E-2</v>
      </c>
      <c r="I288" s="6">
        <v>40</v>
      </c>
      <c r="J288" s="6" t="s">
        <v>1694</v>
      </c>
      <c r="K288" s="15">
        <v>7</v>
      </c>
      <c r="L288" s="6" t="s">
        <v>1104</v>
      </c>
      <c r="M288" s="206">
        <v>23</v>
      </c>
      <c r="N288" s="210">
        <v>4001</v>
      </c>
      <c r="O288" s="207" t="s">
        <v>50</v>
      </c>
      <c r="P288" s="6" t="s">
        <v>1470</v>
      </c>
      <c r="Q288" s="6" t="s">
        <v>1471</v>
      </c>
      <c r="R288" s="6">
        <v>4001017</v>
      </c>
      <c r="S288" s="17" t="s">
        <v>1472</v>
      </c>
      <c r="T288" s="6" t="s">
        <v>1473</v>
      </c>
      <c r="U288" s="6" t="s">
        <v>1474</v>
      </c>
      <c r="V288" s="6" t="s">
        <v>1474</v>
      </c>
      <c r="W288" s="48" t="s">
        <v>1472</v>
      </c>
      <c r="X288" s="6" t="s">
        <v>9</v>
      </c>
      <c r="Y288" s="6">
        <v>100</v>
      </c>
      <c r="Z288" s="6">
        <v>25</v>
      </c>
      <c r="AA288" s="6">
        <v>25</v>
      </c>
      <c r="AB288" s="6">
        <v>25</v>
      </c>
      <c r="AC288" s="6">
        <v>25</v>
      </c>
      <c r="AD288" s="50">
        <f t="shared" si="121"/>
        <v>100000000</v>
      </c>
      <c r="AE288" s="52"/>
      <c r="AF288" s="52"/>
      <c r="AG288" s="52"/>
      <c r="AH288" s="52"/>
      <c r="AI288" s="52"/>
      <c r="AJ288" s="52"/>
      <c r="AK288" s="52"/>
      <c r="AL288" s="52"/>
      <c r="AM288" s="52"/>
      <c r="AN288" s="52">
        <v>100000000</v>
      </c>
      <c r="AO288" s="52">
        <f t="shared" si="105"/>
        <v>0</v>
      </c>
      <c r="AP288" s="52"/>
      <c r="AQ288" s="52"/>
      <c r="AR288" s="52"/>
      <c r="AS288" s="52"/>
      <c r="AT288" s="52"/>
      <c r="AU288" s="52"/>
      <c r="AV288" s="52"/>
      <c r="AW288" s="52"/>
      <c r="AX288" s="52"/>
      <c r="AY288" s="52"/>
      <c r="AZ288" s="52">
        <f t="shared" si="122"/>
        <v>358165728.66666698</v>
      </c>
      <c r="BA288" s="52"/>
      <c r="BB288" s="52">
        <v>358165728.66666698</v>
      </c>
      <c r="BC288" s="52"/>
      <c r="BD288" s="52"/>
      <c r="BE288" s="52"/>
      <c r="BF288" s="52"/>
      <c r="BG288" s="52"/>
      <c r="BH288" s="52"/>
      <c r="BI288" s="52"/>
      <c r="BJ288" s="52"/>
      <c r="BK288" s="52">
        <f t="shared" si="123"/>
        <v>224344807</v>
      </c>
      <c r="BL288" s="52"/>
      <c r="BM288" s="52">
        <v>224344807</v>
      </c>
      <c r="BN288" s="52"/>
      <c r="BO288" s="52"/>
      <c r="BP288" s="52"/>
      <c r="BQ288" s="52"/>
      <c r="BR288" s="52"/>
      <c r="BS288" s="52"/>
      <c r="BT288" s="52"/>
      <c r="BU288" s="53"/>
      <c r="BV288" s="54">
        <f t="shared" si="124"/>
        <v>682510535.66666698</v>
      </c>
      <c r="BW288" s="55"/>
    </row>
    <row r="289" spans="1:80" s="190" customFormat="1" ht="78.75" customHeight="1" x14ac:dyDescent="0.2">
      <c r="A289" s="23">
        <v>3</v>
      </c>
      <c r="B289" s="218" t="s">
        <v>41</v>
      </c>
      <c r="C289" s="17" t="s">
        <v>924</v>
      </c>
      <c r="D289" s="17" t="s">
        <v>297</v>
      </c>
      <c r="E289" s="16" t="s">
        <v>1093</v>
      </c>
      <c r="F289" s="6">
        <v>2018</v>
      </c>
      <c r="G289" s="17" t="s">
        <v>1094</v>
      </c>
      <c r="H289" s="88">
        <v>0.14630000000000001</v>
      </c>
      <c r="I289" s="6">
        <v>40</v>
      </c>
      <c r="J289" s="6" t="s">
        <v>1694</v>
      </c>
      <c r="K289" s="15">
        <v>7</v>
      </c>
      <c r="L289" s="6" t="s">
        <v>1104</v>
      </c>
      <c r="M289" s="206">
        <v>23</v>
      </c>
      <c r="N289" s="210">
        <v>4001</v>
      </c>
      <c r="O289" s="207" t="s">
        <v>50</v>
      </c>
      <c r="P289" s="6" t="s">
        <v>1475</v>
      </c>
      <c r="Q289" s="6" t="s">
        <v>1476</v>
      </c>
      <c r="R289" s="6" t="s">
        <v>1476</v>
      </c>
      <c r="S289" s="17" t="s">
        <v>1477</v>
      </c>
      <c r="T289" s="6" t="s">
        <v>1478</v>
      </c>
      <c r="U289" s="6" t="s">
        <v>1479</v>
      </c>
      <c r="V289" s="6" t="s">
        <v>1479</v>
      </c>
      <c r="W289" s="48" t="s">
        <v>1477</v>
      </c>
      <c r="X289" s="6" t="s">
        <v>9</v>
      </c>
      <c r="Y289" s="6">
        <v>300</v>
      </c>
      <c r="Z289" s="6">
        <v>75</v>
      </c>
      <c r="AA289" s="6">
        <v>75</v>
      </c>
      <c r="AB289" s="6">
        <v>75</v>
      </c>
      <c r="AC289" s="6">
        <v>75</v>
      </c>
      <c r="AD289" s="50">
        <f t="shared" si="121"/>
        <v>172569444</v>
      </c>
      <c r="AE289" s="52"/>
      <c r="AF289" s="52">
        <v>172569444</v>
      </c>
      <c r="AG289" s="52"/>
      <c r="AH289" s="52"/>
      <c r="AI289" s="52"/>
      <c r="AJ289" s="52"/>
      <c r="AK289" s="52"/>
      <c r="AL289" s="52"/>
      <c r="AM289" s="52"/>
      <c r="AN289" s="52"/>
      <c r="AO289" s="52">
        <f t="shared" si="105"/>
        <v>195396216.14407101</v>
      </c>
      <c r="AP289" s="52"/>
      <c r="AQ289" s="52">
        <v>195396216.14407101</v>
      </c>
      <c r="AR289" s="52"/>
      <c r="AS289" s="52"/>
      <c r="AT289" s="52"/>
      <c r="AU289" s="52"/>
      <c r="AV289" s="52"/>
      <c r="AW289" s="52"/>
      <c r="AX289" s="52"/>
      <c r="AY289" s="52"/>
      <c r="AZ289" s="52">
        <f t="shared" si="122"/>
        <v>0</v>
      </c>
      <c r="BA289" s="52"/>
      <c r="BB289" s="52"/>
      <c r="BC289" s="52"/>
      <c r="BD289" s="52"/>
      <c r="BE289" s="52"/>
      <c r="BF289" s="52"/>
      <c r="BG289" s="52"/>
      <c r="BH289" s="52"/>
      <c r="BI289" s="52"/>
      <c r="BJ289" s="52"/>
      <c r="BK289" s="52">
        <f t="shared" si="123"/>
        <v>247221187.055556</v>
      </c>
      <c r="BL289" s="52"/>
      <c r="BM289" s="52">
        <v>247221187.055556</v>
      </c>
      <c r="BN289" s="52"/>
      <c r="BO289" s="52"/>
      <c r="BP289" s="52"/>
      <c r="BQ289" s="52"/>
      <c r="BR289" s="52"/>
      <c r="BS289" s="52"/>
      <c r="BT289" s="52"/>
      <c r="BU289" s="53"/>
      <c r="BV289" s="54">
        <f t="shared" si="124"/>
        <v>615186847.19962692</v>
      </c>
      <c r="BW289" s="55"/>
    </row>
    <row r="290" spans="1:80" s="190" customFormat="1" ht="78.75" customHeight="1" x14ac:dyDescent="0.2">
      <c r="A290" s="23">
        <v>3</v>
      </c>
      <c r="B290" s="218" t="s">
        <v>41</v>
      </c>
      <c r="C290" s="17" t="s">
        <v>924</v>
      </c>
      <c r="D290" s="17" t="s">
        <v>297</v>
      </c>
      <c r="E290" s="16" t="s">
        <v>1093</v>
      </c>
      <c r="F290" s="6">
        <v>2018</v>
      </c>
      <c r="G290" s="17" t="s">
        <v>1094</v>
      </c>
      <c r="H290" s="88">
        <v>0.14630000000000001</v>
      </c>
      <c r="I290" s="6">
        <v>40</v>
      </c>
      <c r="J290" s="6" t="s">
        <v>1694</v>
      </c>
      <c r="K290" s="15">
        <v>7</v>
      </c>
      <c r="L290" s="6" t="s">
        <v>1104</v>
      </c>
      <c r="M290" s="206">
        <v>23</v>
      </c>
      <c r="N290" s="210">
        <v>4001</v>
      </c>
      <c r="O290" s="207" t="s">
        <v>50</v>
      </c>
      <c r="P290" s="6" t="s">
        <v>1480</v>
      </c>
      <c r="Q290" s="6" t="s">
        <v>1481</v>
      </c>
      <c r="R290" s="6" t="s">
        <v>1481</v>
      </c>
      <c r="S290" s="17" t="s">
        <v>59</v>
      </c>
      <c r="T290" s="6" t="s">
        <v>1482</v>
      </c>
      <c r="U290" s="6" t="s">
        <v>1483</v>
      </c>
      <c r="V290" s="6" t="s">
        <v>1483</v>
      </c>
      <c r="W290" s="48" t="s">
        <v>1122</v>
      </c>
      <c r="X290" s="6" t="s">
        <v>9</v>
      </c>
      <c r="Y290" s="6">
        <v>12</v>
      </c>
      <c r="Z290" s="6">
        <v>3</v>
      </c>
      <c r="AA290" s="6">
        <v>3</v>
      </c>
      <c r="AB290" s="6">
        <v>3</v>
      </c>
      <c r="AC290" s="6">
        <v>3</v>
      </c>
      <c r="AD290" s="50">
        <f t="shared" si="121"/>
        <v>200000000</v>
      </c>
      <c r="AE290" s="52"/>
      <c r="AF290" s="52">
        <v>200000000</v>
      </c>
      <c r="AG290" s="52"/>
      <c r="AH290" s="52"/>
      <c r="AI290" s="52"/>
      <c r="AJ290" s="52"/>
      <c r="AK290" s="52"/>
      <c r="AL290" s="52"/>
      <c r="AM290" s="52"/>
      <c r="AN290" s="52"/>
      <c r="AO290" s="52">
        <f t="shared" si="105"/>
        <v>200000000</v>
      </c>
      <c r="AP290" s="52"/>
      <c r="AQ290" s="52">
        <v>200000000</v>
      </c>
      <c r="AR290" s="52"/>
      <c r="AS290" s="52"/>
      <c r="AT290" s="52"/>
      <c r="AU290" s="52"/>
      <c r="AV290" s="52"/>
      <c r="AW290" s="52"/>
      <c r="AX290" s="52"/>
      <c r="AY290" s="52"/>
      <c r="AZ290" s="52">
        <f t="shared" si="122"/>
        <v>0</v>
      </c>
      <c r="BA290" s="52"/>
      <c r="BB290" s="52"/>
      <c r="BC290" s="52"/>
      <c r="BD290" s="52"/>
      <c r="BE290" s="52"/>
      <c r="BF290" s="52"/>
      <c r="BG290" s="52"/>
      <c r="BH290" s="52"/>
      <c r="BI290" s="52"/>
      <c r="BJ290" s="52"/>
      <c r="BK290" s="52">
        <f t="shared" si="123"/>
        <v>0</v>
      </c>
      <c r="BL290" s="52"/>
      <c r="BM290" s="52"/>
      <c r="BN290" s="52"/>
      <c r="BO290" s="52"/>
      <c r="BP290" s="52"/>
      <c r="BQ290" s="52"/>
      <c r="BR290" s="52"/>
      <c r="BS290" s="52"/>
      <c r="BT290" s="52"/>
      <c r="BU290" s="53"/>
      <c r="BV290" s="54">
        <f t="shared" si="124"/>
        <v>400000000</v>
      </c>
      <c r="BW290" s="55"/>
    </row>
    <row r="291" spans="1:80" s="190" customFormat="1" ht="78.75" customHeight="1" x14ac:dyDescent="0.2">
      <c r="A291" s="23">
        <v>3</v>
      </c>
      <c r="B291" s="218" t="s">
        <v>41</v>
      </c>
      <c r="C291" s="17" t="s">
        <v>924</v>
      </c>
      <c r="D291" s="17" t="s">
        <v>297</v>
      </c>
      <c r="E291" s="16" t="s">
        <v>1093</v>
      </c>
      <c r="F291" s="6">
        <v>2018</v>
      </c>
      <c r="G291" s="17" t="s">
        <v>1094</v>
      </c>
      <c r="H291" s="88">
        <v>0.14630000000000001</v>
      </c>
      <c r="I291" s="6">
        <v>40</v>
      </c>
      <c r="J291" s="6" t="s">
        <v>1694</v>
      </c>
      <c r="K291" s="15">
        <v>7</v>
      </c>
      <c r="L291" s="6" t="s">
        <v>1104</v>
      </c>
      <c r="M291" s="206">
        <v>23</v>
      </c>
      <c r="N291" s="210">
        <v>4001</v>
      </c>
      <c r="O291" s="207" t="s">
        <v>50</v>
      </c>
      <c r="P291" s="6" t="s">
        <v>1095</v>
      </c>
      <c r="Q291" s="6" t="s">
        <v>1096</v>
      </c>
      <c r="R291" s="6" t="s">
        <v>1096</v>
      </c>
      <c r="S291" s="17" t="s">
        <v>1097</v>
      </c>
      <c r="T291" s="6" t="s">
        <v>1098</v>
      </c>
      <c r="U291" s="6" t="s">
        <v>1099</v>
      </c>
      <c r="V291" s="6" t="s">
        <v>1099</v>
      </c>
      <c r="W291" s="48" t="s">
        <v>1100</v>
      </c>
      <c r="X291" s="6" t="s">
        <v>1609</v>
      </c>
      <c r="Y291" s="6">
        <v>24</v>
      </c>
      <c r="Z291" s="6"/>
      <c r="AA291" s="6">
        <v>8</v>
      </c>
      <c r="AB291" s="6">
        <v>8</v>
      </c>
      <c r="AC291" s="6">
        <v>8</v>
      </c>
      <c r="AD291" s="50">
        <f t="shared" si="121"/>
        <v>0</v>
      </c>
      <c r="AE291" s="52"/>
      <c r="AF291" s="52"/>
      <c r="AG291" s="52"/>
      <c r="AH291" s="52"/>
      <c r="AI291" s="52"/>
      <c r="AJ291" s="52"/>
      <c r="AK291" s="52"/>
      <c r="AL291" s="52"/>
      <c r="AM291" s="52"/>
      <c r="AN291" s="52"/>
      <c r="AO291" s="52">
        <f t="shared" si="105"/>
        <v>0</v>
      </c>
      <c r="AP291" s="52"/>
      <c r="AQ291" s="52"/>
      <c r="AR291" s="52"/>
      <c r="AS291" s="52"/>
      <c r="AT291" s="52"/>
      <c r="AU291" s="52"/>
      <c r="AV291" s="52"/>
      <c r="AW291" s="52"/>
      <c r="AX291" s="52"/>
      <c r="AY291" s="52"/>
      <c r="AZ291" s="52">
        <f t="shared" si="122"/>
        <v>110243980</v>
      </c>
      <c r="BA291" s="52"/>
      <c r="BB291" s="52">
        <v>110243980</v>
      </c>
      <c r="BC291" s="52"/>
      <c r="BD291" s="52"/>
      <c r="BE291" s="52"/>
      <c r="BF291" s="52"/>
      <c r="BG291" s="52"/>
      <c r="BH291" s="52"/>
      <c r="BI291" s="52"/>
      <c r="BJ291" s="52"/>
      <c r="BK291" s="52">
        <f t="shared" si="123"/>
        <v>0</v>
      </c>
      <c r="BL291" s="52"/>
      <c r="BM291" s="52"/>
      <c r="BN291" s="52"/>
      <c r="BO291" s="52"/>
      <c r="BP291" s="52"/>
      <c r="BQ291" s="52"/>
      <c r="BR291" s="52"/>
      <c r="BS291" s="52"/>
      <c r="BT291" s="52"/>
      <c r="BU291" s="53"/>
      <c r="BV291" s="54">
        <f t="shared" si="124"/>
        <v>110243980</v>
      </c>
      <c r="BW291" s="55"/>
    </row>
    <row r="292" spans="1:80" ht="25.5" customHeight="1" x14ac:dyDescent="0.25">
      <c r="A292" s="23"/>
      <c r="B292" s="217"/>
      <c r="C292" s="34"/>
      <c r="D292" s="34"/>
      <c r="E292" s="37"/>
      <c r="F292" s="34"/>
      <c r="G292" s="34"/>
      <c r="H292" s="37"/>
      <c r="I292" s="34"/>
      <c r="J292" s="34"/>
      <c r="K292" s="34"/>
      <c r="L292" s="34"/>
      <c r="M292" s="58">
        <v>34</v>
      </c>
      <c r="N292" s="58">
        <v>4003</v>
      </c>
      <c r="O292" s="59" t="s">
        <v>52</v>
      </c>
      <c r="P292" s="58"/>
      <c r="Q292" s="60"/>
      <c r="R292" s="60"/>
      <c r="S292" s="60"/>
      <c r="T292" s="60"/>
      <c r="U292" s="60"/>
      <c r="V292" s="60"/>
      <c r="W292" s="43"/>
      <c r="X292" s="43"/>
      <c r="Y292" s="44"/>
      <c r="Z292" s="44"/>
      <c r="AA292" s="44"/>
      <c r="AB292" s="44"/>
      <c r="AC292" s="41"/>
      <c r="AD292" s="45">
        <f>SUM(AD293:AD298)</f>
        <v>7192702877.1199999</v>
      </c>
      <c r="AE292" s="45">
        <f t="shared" ref="AE292:AX292" si="125">SUM(AE293:AE298)</f>
        <v>30000000</v>
      </c>
      <c r="AF292" s="45">
        <f t="shared" si="125"/>
        <v>476050000</v>
      </c>
      <c r="AG292" s="45">
        <f t="shared" si="125"/>
        <v>0</v>
      </c>
      <c r="AH292" s="45">
        <f t="shared" si="125"/>
        <v>0</v>
      </c>
      <c r="AI292" s="45">
        <f t="shared" si="125"/>
        <v>2686652877.1199999</v>
      </c>
      <c r="AJ292" s="45">
        <f t="shared" si="125"/>
        <v>0</v>
      </c>
      <c r="AK292" s="45">
        <f t="shared" si="125"/>
        <v>4000000000</v>
      </c>
      <c r="AL292" s="45">
        <f t="shared" si="125"/>
        <v>0</v>
      </c>
      <c r="AM292" s="45">
        <f t="shared" si="125"/>
        <v>0</v>
      </c>
      <c r="AN292" s="45">
        <f t="shared" si="125"/>
        <v>0</v>
      </c>
      <c r="AO292" s="45">
        <f t="shared" si="125"/>
        <v>4051236459.1726003</v>
      </c>
      <c r="AP292" s="45">
        <f t="shared" si="125"/>
        <v>0</v>
      </c>
      <c r="AQ292" s="45">
        <f t="shared" si="125"/>
        <v>1300000000</v>
      </c>
      <c r="AR292" s="45">
        <f t="shared" si="125"/>
        <v>0</v>
      </c>
      <c r="AS292" s="45">
        <f t="shared" si="125"/>
        <v>0</v>
      </c>
      <c r="AT292" s="45">
        <f t="shared" si="125"/>
        <v>2751236459.1726003</v>
      </c>
      <c r="AU292" s="45">
        <f t="shared" si="125"/>
        <v>0</v>
      </c>
      <c r="AV292" s="45">
        <f t="shared" si="125"/>
        <v>0</v>
      </c>
      <c r="AW292" s="45">
        <f t="shared" si="125"/>
        <v>0</v>
      </c>
      <c r="AX292" s="45">
        <f t="shared" si="125"/>
        <v>0</v>
      </c>
      <c r="AY292" s="45">
        <f t="shared" ref="AY292:BV292" si="126">SUM(AY293:AY298)</f>
        <v>0</v>
      </c>
      <c r="AZ292" s="45">
        <f t="shared" si="126"/>
        <v>4133773552.9477782</v>
      </c>
      <c r="BA292" s="45">
        <f t="shared" si="126"/>
        <v>0</v>
      </c>
      <c r="BB292" s="45">
        <f t="shared" si="126"/>
        <v>1300000000</v>
      </c>
      <c r="BC292" s="45">
        <f t="shared" si="126"/>
        <v>0</v>
      </c>
      <c r="BD292" s="45">
        <f t="shared" si="126"/>
        <v>0</v>
      </c>
      <c r="BE292" s="45">
        <f t="shared" si="126"/>
        <v>2833773552.9477782</v>
      </c>
      <c r="BF292" s="45">
        <f t="shared" si="126"/>
        <v>0</v>
      </c>
      <c r="BG292" s="45">
        <f t="shared" si="126"/>
        <v>0</v>
      </c>
      <c r="BH292" s="45">
        <f t="shared" si="126"/>
        <v>0</v>
      </c>
      <c r="BI292" s="45">
        <f t="shared" si="126"/>
        <v>0</v>
      </c>
      <c r="BJ292" s="45">
        <f t="shared" si="126"/>
        <v>0</v>
      </c>
      <c r="BK292" s="45">
        <f t="shared" si="126"/>
        <v>4218786759.536212</v>
      </c>
      <c r="BL292" s="45">
        <f t="shared" si="126"/>
        <v>0</v>
      </c>
      <c r="BM292" s="45">
        <f t="shared" si="126"/>
        <v>1300000000</v>
      </c>
      <c r="BN292" s="45">
        <f t="shared" si="126"/>
        <v>0</v>
      </c>
      <c r="BO292" s="45">
        <f t="shared" si="126"/>
        <v>0</v>
      </c>
      <c r="BP292" s="45">
        <f t="shared" si="126"/>
        <v>2918786759.536212</v>
      </c>
      <c r="BQ292" s="45">
        <f t="shared" si="126"/>
        <v>0</v>
      </c>
      <c r="BR292" s="45">
        <f t="shared" si="126"/>
        <v>0</v>
      </c>
      <c r="BS292" s="45">
        <f t="shared" si="126"/>
        <v>0</v>
      </c>
      <c r="BT292" s="45">
        <f t="shared" si="126"/>
        <v>0</v>
      </c>
      <c r="BU292" s="45">
        <f t="shared" si="126"/>
        <v>0</v>
      </c>
      <c r="BV292" s="45">
        <f t="shared" si="126"/>
        <v>19596499648.776588</v>
      </c>
      <c r="BW292" s="47"/>
    </row>
    <row r="293" spans="1:80" s="190" customFormat="1" ht="78.75" customHeight="1" x14ac:dyDescent="0.2">
      <c r="A293" s="23">
        <v>3</v>
      </c>
      <c r="B293" s="218" t="s">
        <v>41</v>
      </c>
      <c r="C293" s="56" t="s">
        <v>910</v>
      </c>
      <c r="D293" s="56" t="s">
        <v>1621</v>
      </c>
      <c r="E293" s="115">
        <v>0.94</v>
      </c>
      <c r="F293" s="14">
        <v>2019</v>
      </c>
      <c r="G293" s="56" t="s">
        <v>1103</v>
      </c>
      <c r="H293" s="115">
        <v>1</v>
      </c>
      <c r="I293" s="6">
        <v>40</v>
      </c>
      <c r="J293" s="6" t="s">
        <v>1694</v>
      </c>
      <c r="K293" s="15">
        <v>3</v>
      </c>
      <c r="L293" s="6" t="s">
        <v>1105</v>
      </c>
      <c r="M293" s="206">
        <v>34</v>
      </c>
      <c r="N293" s="209">
        <v>4003</v>
      </c>
      <c r="O293" s="212" t="s">
        <v>52</v>
      </c>
      <c r="P293" s="6" t="s">
        <v>1106</v>
      </c>
      <c r="Q293" s="14" t="s">
        <v>53</v>
      </c>
      <c r="R293" s="14" t="s">
        <v>53</v>
      </c>
      <c r="S293" s="56" t="s">
        <v>54</v>
      </c>
      <c r="T293" s="6" t="s">
        <v>1107</v>
      </c>
      <c r="U293" s="14">
        <v>400301802</v>
      </c>
      <c r="V293" s="14">
        <v>400301802</v>
      </c>
      <c r="W293" s="57" t="s">
        <v>1108</v>
      </c>
      <c r="X293" s="14" t="s">
        <v>9</v>
      </c>
      <c r="Y293" s="14">
        <v>2</v>
      </c>
      <c r="Z293" s="14">
        <v>1</v>
      </c>
      <c r="AA293" s="14">
        <v>1</v>
      </c>
      <c r="AB293" s="14"/>
      <c r="AC293" s="14"/>
      <c r="AD293" s="50">
        <f t="shared" ref="AD293:AD298" si="127">AE293+AF293+AG293+AH293+AI293+AJ293+AK293+AL293+AM293+AN293</f>
        <v>588117000</v>
      </c>
      <c r="AE293" s="52"/>
      <c r="AF293" s="52"/>
      <c r="AG293" s="52"/>
      <c r="AH293" s="52"/>
      <c r="AI293" s="52">
        <v>588117000</v>
      </c>
      <c r="AJ293" s="52"/>
      <c r="AK293" s="52"/>
      <c r="AL293" s="52"/>
      <c r="AM293" s="52"/>
      <c r="AN293" s="52"/>
      <c r="AO293" s="52">
        <f t="shared" si="105"/>
        <v>729000000</v>
      </c>
      <c r="AP293" s="52"/>
      <c r="AQ293" s="52"/>
      <c r="AR293" s="52"/>
      <c r="AS293" s="52"/>
      <c r="AT293" s="52">
        <v>729000000</v>
      </c>
      <c r="AU293" s="52"/>
      <c r="AV293" s="52"/>
      <c r="AW293" s="52"/>
      <c r="AX293" s="52"/>
      <c r="AY293" s="52"/>
      <c r="AZ293" s="52">
        <f t="shared" ref="AZ293:AZ298" si="128">BA293+BB293+BC293+BD293+BE293+BF293+BG293+BH293+BI293+BJ293</f>
        <v>0</v>
      </c>
      <c r="BA293" s="52"/>
      <c r="BB293" s="52"/>
      <c r="BC293" s="52"/>
      <c r="BD293" s="52"/>
      <c r="BE293" s="52"/>
      <c r="BF293" s="52"/>
      <c r="BG293" s="52"/>
      <c r="BH293" s="52"/>
      <c r="BI293" s="52"/>
      <c r="BJ293" s="52"/>
      <c r="BK293" s="52">
        <f t="shared" ref="BK293:BK298" si="129">BL293+BM293+BN293+BO293+BP293+BQ293+BR293+BS293+BT293+BU293</f>
        <v>0</v>
      </c>
      <c r="BL293" s="52"/>
      <c r="BM293" s="52"/>
      <c r="BN293" s="52"/>
      <c r="BO293" s="52"/>
      <c r="BP293" s="52"/>
      <c r="BQ293" s="52"/>
      <c r="BR293" s="52"/>
      <c r="BS293" s="52"/>
      <c r="BT293" s="52"/>
      <c r="BU293" s="53"/>
      <c r="BV293" s="54">
        <f t="shared" ref="BV293:BV298" si="130">AD293+AO293+AZ293+BK293</f>
        <v>1317117000</v>
      </c>
      <c r="BW293" s="55"/>
    </row>
    <row r="294" spans="1:80" s="190" customFormat="1" ht="94.5" customHeight="1" x14ac:dyDescent="0.2">
      <c r="A294" s="23">
        <v>3</v>
      </c>
      <c r="B294" s="218" t="s">
        <v>41</v>
      </c>
      <c r="C294" s="56" t="s">
        <v>910</v>
      </c>
      <c r="D294" s="56" t="s">
        <v>1101</v>
      </c>
      <c r="E294" s="115" t="s">
        <v>1102</v>
      </c>
      <c r="F294" s="14" t="s">
        <v>1021</v>
      </c>
      <c r="G294" s="56" t="s">
        <v>1103</v>
      </c>
      <c r="H294" s="115">
        <v>1</v>
      </c>
      <c r="I294" s="83">
        <v>40</v>
      </c>
      <c r="J294" s="6" t="s">
        <v>1694</v>
      </c>
      <c r="K294" s="15">
        <v>3</v>
      </c>
      <c r="L294" s="6" t="s">
        <v>1105</v>
      </c>
      <c r="M294" s="206">
        <v>34</v>
      </c>
      <c r="N294" s="209">
        <v>4003</v>
      </c>
      <c r="O294" s="212" t="s">
        <v>52</v>
      </c>
      <c r="P294" s="6" t="s">
        <v>1109</v>
      </c>
      <c r="Q294" s="14" t="s">
        <v>55</v>
      </c>
      <c r="R294" s="14" t="s">
        <v>55</v>
      </c>
      <c r="S294" s="56" t="s">
        <v>56</v>
      </c>
      <c r="T294" s="6" t="s">
        <v>1110</v>
      </c>
      <c r="U294" s="14">
        <v>400302500</v>
      </c>
      <c r="V294" s="14">
        <v>400302500</v>
      </c>
      <c r="W294" s="57" t="s">
        <v>1111</v>
      </c>
      <c r="X294" s="14" t="s">
        <v>9</v>
      </c>
      <c r="Y294" s="14">
        <v>12</v>
      </c>
      <c r="Z294" s="14">
        <v>1</v>
      </c>
      <c r="AA294" s="14">
        <v>4</v>
      </c>
      <c r="AB294" s="14">
        <v>4</v>
      </c>
      <c r="AC294" s="14">
        <v>3</v>
      </c>
      <c r="AD294" s="50">
        <f t="shared" si="127"/>
        <v>1764585877.1199999</v>
      </c>
      <c r="AE294" s="52"/>
      <c r="AF294" s="52">
        <v>476050000</v>
      </c>
      <c r="AG294" s="52"/>
      <c r="AH294" s="52"/>
      <c r="AI294" s="52">
        <v>1288535877.1199999</v>
      </c>
      <c r="AJ294" s="52"/>
      <c r="AK294" s="52"/>
      <c r="AL294" s="52"/>
      <c r="AM294" s="52"/>
      <c r="AN294" s="52"/>
      <c r="AO294" s="52">
        <f t="shared" si="105"/>
        <v>1529000000</v>
      </c>
      <c r="AP294" s="52"/>
      <c r="AQ294" s="52">
        <v>1300000000</v>
      </c>
      <c r="AR294" s="52"/>
      <c r="AS294" s="52"/>
      <c r="AT294" s="52">
        <v>229000000</v>
      </c>
      <c r="AU294" s="52"/>
      <c r="AV294" s="52"/>
      <c r="AW294" s="52"/>
      <c r="AX294" s="52"/>
      <c r="AY294" s="52"/>
      <c r="AZ294" s="52">
        <f t="shared" si="128"/>
        <v>2111248791.1290712</v>
      </c>
      <c r="BA294" s="52"/>
      <c r="BB294" s="52">
        <v>1300000000</v>
      </c>
      <c r="BC294" s="52"/>
      <c r="BD294" s="52"/>
      <c r="BE294" s="52">
        <v>811248791.12907124</v>
      </c>
      <c r="BF294" s="52"/>
      <c r="BG294" s="52"/>
      <c r="BH294" s="52"/>
      <c r="BI294" s="52"/>
      <c r="BJ294" s="52"/>
      <c r="BK294" s="52">
        <f t="shared" si="129"/>
        <v>2386250000</v>
      </c>
      <c r="BL294" s="52"/>
      <c r="BM294" s="52">
        <v>1300000000</v>
      </c>
      <c r="BN294" s="52"/>
      <c r="BO294" s="52"/>
      <c r="BP294" s="52">
        <v>1086250000</v>
      </c>
      <c r="BQ294" s="52"/>
      <c r="BR294" s="52"/>
      <c r="BS294" s="52"/>
      <c r="BT294" s="52"/>
      <c r="BU294" s="53"/>
      <c r="BV294" s="54">
        <f t="shared" si="130"/>
        <v>7791084668.2490711</v>
      </c>
      <c r="BW294" s="55"/>
    </row>
    <row r="295" spans="1:80" s="190" customFormat="1" ht="110.25" customHeight="1" x14ac:dyDescent="0.2">
      <c r="A295" s="23">
        <v>3</v>
      </c>
      <c r="B295" s="218" t="s">
        <v>41</v>
      </c>
      <c r="C295" s="56" t="s">
        <v>910</v>
      </c>
      <c r="D295" s="56" t="s">
        <v>1101</v>
      </c>
      <c r="E295" s="115" t="s">
        <v>1102</v>
      </c>
      <c r="F295" s="14" t="s">
        <v>1021</v>
      </c>
      <c r="G295" s="56" t="s">
        <v>1103</v>
      </c>
      <c r="H295" s="115">
        <v>1</v>
      </c>
      <c r="I295" s="83">
        <v>40</v>
      </c>
      <c r="J295" s="6" t="s">
        <v>1694</v>
      </c>
      <c r="K295" s="15">
        <v>3</v>
      </c>
      <c r="L295" s="6" t="s">
        <v>1105</v>
      </c>
      <c r="M295" s="206">
        <v>34</v>
      </c>
      <c r="N295" s="209">
        <v>4003</v>
      </c>
      <c r="O295" s="212" t="s">
        <v>52</v>
      </c>
      <c r="P295" s="6" t="s">
        <v>1112</v>
      </c>
      <c r="Q295" s="14" t="s">
        <v>1113</v>
      </c>
      <c r="R295" s="14" t="s">
        <v>1113</v>
      </c>
      <c r="S295" s="56" t="s">
        <v>1114</v>
      </c>
      <c r="T295" s="6" t="s">
        <v>1115</v>
      </c>
      <c r="U295" s="14">
        <v>400302600</v>
      </c>
      <c r="V295" s="14">
        <v>400302600</v>
      </c>
      <c r="W295" s="57" t="s">
        <v>1116</v>
      </c>
      <c r="X295" s="14" t="s">
        <v>9</v>
      </c>
      <c r="Y295" s="14">
        <v>2</v>
      </c>
      <c r="Z295" s="14">
        <v>0.1</v>
      </c>
      <c r="AA295" s="14">
        <v>1</v>
      </c>
      <c r="AB295" s="14">
        <v>0.5</v>
      </c>
      <c r="AC295" s="14">
        <v>0.4</v>
      </c>
      <c r="AD295" s="50">
        <f t="shared" si="127"/>
        <v>4000000000</v>
      </c>
      <c r="AE295" s="52"/>
      <c r="AF295" s="52"/>
      <c r="AG295" s="52"/>
      <c r="AH295" s="52"/>
      <c r="AI295" s="52"/>
      <c r="AJ295" s="52"/>
      <c r="AK295" s="52">
        <v>4000000000</v>
      </c>
      <c r="AL295" s="52"/>
      <c r="AM295" s="52"/>
      <c r="AN295" s="52"/>
      <c r="AO295" s="52">
        <f t="shared" si="105"/>
        <v>785236459.17260015</v>
      </c>
      <c r="AP295" s="52"/>
      <c r="AQ295" s="52"/>
      <c r="AR295" s="52"/>
      <c r="AS295" s="52"/>
      <c r="AT295" s="52">
        <v>785236459.17260015</v>
      </c>
      <c r="AU295" s="52"/>
      <c r="AV295" s="52"/>
      <c r="AW295" s="52"/>
      <c r="AX295" s="52"/>
      <c r="AY295" s="52"/>
      <c r="AZ295" s="52">
        <f t="shared" si="128"/>
        <v>890024761.81870699</v>
      </c>
      <c r="BA295" s="52"/>
      <c r="BB295" s="52"/>
      <c r="BC295" s="52"/>
      <c r="BD295" s="52"/>
      <c r="BE295" s="52">
        <v>890024761.81870699</v>
      </c>
      <c r="BF295" s="52"/>
      <c r="BG295" s="52"/>
      <c r="BH295" s="52"/>
      <c r="BI295" s="52"/>
      <c r="BJ295" s="52"/>
      <c r="BK295" s="52">
        <f t="shared" si="129"/>
        <v>690036759.53621185</v>
      </c>
      <c r="BL295" s="52"/>
      <c r="BM295" s="52"/>
      <c r="BN295" s="52"/>
      <c r="BO295" s="52"/>
      <c r="BP295" s="52">
        <v>690036759.53621185</v>
      </c>
      <c r="BQ295" s="52"/>
      <c r="BR295" s="52"/>
      <c r="BS295" s="52"/>
      <c r="BT295" s="52"/>
      <c r="BU295" s="53"/>
      <c r="BV295" s="54">
        <f t="shared" si="130"/>
        <v>6365297980.5275183</v>
      </c>
      <c r="BW295" s="55"/>
    </row>
    <row r="296" spans="1:80" s="190" customFormat="1" ht="110.25" customHeight="1" x14ac:dyDescent="0.2">
      <c r="A296" s="23">
        <v>3</v>
      </c>
      <c r="B296" s="218" t="s">
        <v>41</v>
      </c>
      <c r="C296" s="56" t="s">
        <v>910</v>
      </c>
      <c r="D296" s="56" t="s">
        <v>1101</v>
      </c>
      <c r="E296" s="115" t="s">
        <v>1102</v>
      </c>
      <c r="F296" s="14" t="s">
        <v>1021</v>
      </c>
      <c r="G296" s="56" t="s">
        <v>1103</v>
      </c>
      <c r="H296" s="115">
        <v>1</v>
      </c>
      <c r="I296" s="83">
        <v>40</v>
      </c>
      <c r="J296" s="6" t="s">
        <v>1694</v>
      </c>
      <c r="K296" s="15">
        <v>3</v>
      </c>
      <c r="L296" s="6" t="s">
        <v>1105</v>
      </c>
      <c r="M296" s="206">
        <v>34</v>
      </c>
      <c r="N296" s="209">
        <v>4003</v>
      </c>
      <c r="O296" s="212" t="s">
        <v>52</v>
      </c>
      <c r="P296" s="6" t="s">
        <v>1117</v>
      </c>
      <c r="Q296" s="14" t="s">
        <v>57</v>
      </c>
      <c r="R296" s="14" t="s">
        <v>57</v>
      </c>
      <c r="S296" s="56" t="s">
        <v>58</v>
      </c>
      <c r="T296" s="6" t="s">
        <v>1118</v>
      </c>
      <c r="U296" s="14">
        <v>400302801</v>
      </c>
      <c r="V296" s="14">
        <v>400302801</v>
      </c>
      <c r="W296" s="57" t="s">
        <v>1119</v>
      </c>
      <c r="X296" s="14" t="s">
        <v>8</v>
      </c>
      <c r="Y296" s="14">
        <v>4</v>
      </c>
      <c r="Z296" s="14">
        <v>4</v>
      </c>
      <c r="AA296" s="14">
        <v>4</v>
      </c>
      <c r="AB296" s="14">
        <v>4</v>
      </c>
      <c r="AC296" s="14">
        <v>4</v>
      </c>
      <c r="AD296" s="50">
        <f t="shared" si="127"/>
        <v>125000000</v>
      </c>
      <c r="AE296" s="52"/>
      <c r="AF296" s="52"/>
      <c r="AG296" s="52"/>
      <c r="AH296" s="52"/>
      <c r="AI296" s="52">
        <v>125000000</v>
      </c>
      <c r="AJ296" s="52"/>
      <c r="AK296" s="52"/>
      <c r="AL296" s="52"/>
      <c r="AM296" s="52"/>
      <c r="AN296" s="52"/>
      <c r="AO296" s="52">
        <f t="shared" si="105"/>
        <v>279000000</v>
      </c>
      <c r="AP296" s="52"/>
      <c r="AQ296" s="52"/>
      <c r="AR296" s="52"/>
      <c r="AS296" s="52"/>
      <c r="AT296" s="52">
        <v>279000000</v>
      </c>
      <c r="AU296" s="52"/>
      <c r="AV296" s="52"/>
      <c r="AW296" s="52"/>
      <c r="AX296" s="52"/>
      <c r="AY296" s="52"/>
      <c r="AZ296" s="52">
        <f t="shared" si="128"/>
        <v>346250000</v>
      </c>
      <c r="BA296" s="52"/>
      <c r="BB296" s="52"/>
      <c r="BC296" s="52"/>
      <c r="BD296" s="52"/>
      <c r="BE296" s="52">
        <v>346250000</v>
      </c>
      <c r="BF296" s="52"/>
      <c r="BG296" s="52"/>
      <c r="BH296" s="52"/>
      <c r="BI296" s="52"/>
      <c r="BJ296" s="52"/>
      <c r="BK296" s="52">
        <f t="shared" si="129"/>
        <v>356250000</v>
      </c>
      <c r="BL296" s="52"/>
      <c r="BM296" s="52"/>
      <c r="BN296" s="52"/>
      <c r="BO296" s="52"/>
      <c r="BP296" s="52">
        <v>356250000</v>
      </c>
      <c r="BQ296" s="52"/>
      <c r="BR296" s="52"/>
      <c r="BS296" s="52"/>
      <c r="BT296" s="52"/>
      <c r="BU296" s="53"/>
      <c r="BV296" s="54">
        <f t="shared" si="130"/>
        <v>1106500000</v>
      </c>
      <c r="BW296" s="55"/>
    </row>
    <row r="297" spans="1:80" s="190" customFormat="1" ht="63" customHeight="1" x14ac:dyDescent="0.2">
      <c r="A297" s="23">
        <v>3</v>
      </c>
      <c r="B297" s="218" t="s">
        <v>41</v>
      </c>
      <c r="C297" s="56" t="s">
        <v>910</v>
      </c>
      <c r="D297" s="56" t="s">
        <v>1101</v>
      </c>
      <c r="E297" s="115" t="s">
        <v>1102</v>
      </c>
      <c r="F297" s="14" t="s">
        <v>1021</v>
      </c>
      <c r="G297" s="56" t="s">
        <v>1103</v>
      </c>
      <c r="H297" s="115">
        <v>1</v>
      </c>
      <c r="I297" s="83">
        <v>40</v>
      </c>
      <c r="J297" s="6" t="s">
        <v>1694</v>
      </c>
      <c r="K297" s="15">
        <v>3</v>
      </c>
      <c r="L297" s="6" t="s">
        <v>1105</v>
      </c>
      <c r="M297" s="206">
        <v>34</v>
      </c>
      <c r="N297" s="209">
        <v>4003</v>
      </c>
      <c r="O297" s="212" t="s">
        <v>52</v>
      </c>
      <c r="P297" s="6" t="s">
        <v>1120</v>
      </c>
      <c r="Q297" s="14">
        <v>4003042</v>
      </c>
      <c r="R297" s="14">
        <v>4003042</v>
      </c>
      <c r="S297" s="56" t="s">
        <v>59</v>
      </c>
      <c r="T297" s="6" t="s">
        <v>1121</v>
      </c>
      <c r="U297" s="14">
        <v>400304200</v>
      </c>
      <c r="V297" s="14">
        <v>400304200</v>
      </c>
      <c r="W297" s="57" t="s">
        <v>1122</v>
      </c>
      <c r="X297" s="14" t="s">
        <v>9</v>
      </c>
      <c r="Y297" s="14">
        <v>8</v>
      </c>
      <c r="Z297" s="14">
        <v>1</v>
      </c>
      <c r="AA297" s="14">
        <v>3</v>
      </c>
      <c r="AB297" s="14">
        <v>2</v>
      </c>
      <c r="AC297" s="14">
        <v>2</v>
      </c>
      <c r="AD297" s="50">
        <f t="shared" si="127"/>
        <v>685000000</v>
      </c>
      <c r="AE297" s="52"/>
      <c r="AF297" s="52"/>
      <c r="AG297" s="52"/>
      <c r="AH297" s="52"/>
      <c r="AI297" s="52">
        <v>685000000</v>
      </c>
      <c r="AJ297" s="52"/>
      <c r="AK297" s="52"/>
      <c r="AL297" s="52"/>
      <c r="AM297" s="52"/>
      <c r="AN297" s="52"/>
      <c r="AO297" s="52">
        <f t="shared" si="105"/>
        <v>729000000</v>
      </c>
      <c r="AP297" s="52"/>
      <c r="AQ297" s="52"/>
      <c r="AR297" s="52"/>
      <c r="AS297" s="52"/>
      <c r="AT297" s="52">
        <v>729000000</v>
      </c>
      <c r="AU297" s="52"/>
      <c r="AV297" s="52"/>
      <c r="AW297" s="52"/>
      <c r="AX297" s="52"/>
      <c r="AY297" s="52"/>
      <c r="AZ297" s="52">
        <f t="shared" si="128"/>
        <v>786250000</v>
      </c>
      <c r="BA297" s="52"/>
      <c r="BB297" s="52"/>
      <c r="BC297" s="52"/>
      <c r="BD297" s="52"/>
      <c r="BE297" s="52">
        <v>786250000</v>
      </c>
      <c r="BF297" s="52"/>
      <c r="BG297" s="52"/>
      <c r="BH297" s="52"/>
      <c r="BI297" s="52"/>
      <c r="BJ297" s="52"/>
      <c r="BK297" s="52">
        <f t="shared" si="129"/>
        <v>786250000</v>
      </c>
      <c r="BL297" s="52"/>
      <c r="BM297" s="52"/>
      <c r="BN297" s="52"/>
      <c r="BO297" s="52"/>
      <c r="BP297" s="52">
        <v>786250000</v>
      </c>
      <c r="BQ297" s="52"/>
      <c r="BR297" s="52"/>
      <c r="BS297" s="52"/>
      <c r="BT297" s="52"/>
      <c r="BU297" s="53"/>
      <c r="BV297" s="54">
        <f t="shared" si="130"/>
        <v>2986500000</v>
      </c>
      <c r="BW297" s="55"/>
    </row>
    <row r="298" spans="1:80" s="190" customFormat="1" ht="173.25" customHeight="1" x14ac:dyDescent="0.2">
      <c r="A298" s="23">
        <v>3</v>
      </c>
      <c r="B298" s="218" t="s">
        <v>41</v>
      </c>
      <c r="C298" s="56" t="s">
        <v>910</v>
      </c>
      <c r="D298" s="56" t="s">
        <v>1620</v>
      </c>
      <c r="E298" s="115" t="s">
        <v>1102</v>
      </c>
      <c r="F298" s="14" t="s">
        <v>1021</v>
      </c>
      <c r="G298" s="56" t="s">
        <v>1103</v>
      </c>
      <c r="H298" s="115">
        <v>1</v>
      </c>
      <c r="I298" s="6">
        <v>40</v>
      </c>
      <c r="J298" s="6" t="s">
        <v>1694</v>
      </c>
      <c r="K298" s="15">
        <v>3</v>
      </c>
      <c r="L298" s="6" t="s">
        <v>1105</v>
      </c>
      <c r="M298" s="206">
        <v>34</v>
      </c>
      <c r="N298" s="210">
        <v>4003</v>
      </c>
      <c r="O298" s="212" t="s">
        <v>52</v>
      </c>
      <c r="P298" s="83" t="s">
        <v>1558</v>
      </c>
      <c r="Q298" s="14" t="s">
        <v>1616</v>
      </c>
      <c r="R298" s="14">
        <v>4003006</v>
      </c>
      <c r="S298" s="17" t="s">
        <v>1559</v>
      </c>
      <c r="T298" s="83" t="s">
        <v>1560</v>
      </c>
      <c r="U298" s="83" t="s">
        <v>1616</v>
      </c>
      <c r="V298" s="14">
        <v>400300600</v>
      </c>
      <c r="W298" s="48" t="s">
        <v>1561</v>
      </c>
      <c r="X298" s="6" t="s">
        <v>8</v>
      </c>
      <c r="Y298" s="83">
        <v>1</v>
      </c>
      <c r="Z298" s="14">
        <v>1</v>
      </c>
      <c r="AA298" s="14">
        <v>1</v>
      </c>
      <c r="AB298" s="56"/>
      <c r="AC298" s="56"/>
      <c r="AD298" s="50">
        <f t="shared" si="127"/>
        <v>30000000</v>
      </c>
      <c r="AE298" s="107">
        <v>30000000</v>
      </c>
      <c r="AF298" s="93"/>
      <c r="AG298" s="93"/>
      <c r="AH298" s="93"/>
      <c r="AI298" s="93"/>
      <c r="AJ298" s="93"/>
      <c r="AK298" s="134"/>
      <c r="AL298" s="93"/>
      <c r="AM298" s="93"/>
      <c r="AN298" s="93"/>
      <c r="AO298" s="52">
        <f t="shared" si="105"/>
        <v>0</v>
      </c>
      <c r="AP298" s="135"/>
      <c r="AQ298" s="135"/>
      <c r="AR298" s="135"/>
      <c r="AS298" s="135"/>
      <c r="AT298" s="135"/>
      <c r="AU298" s="135"/>
      <c r="AV298" s="135"/>
      <c r="AW298" s="135"/>
      <c r="AX298" s="135"/>
      <c r="AY298" s="135"/>
      <c r="AZ298" s="52">
        <f t="shared" si="128"/>
        <v>0</v>
      </c>
      <c r="BA298" s="135"/>
      <c r="BB298" s="135"/>
      <c r="BC298" s="135"/>
      <c r="BD298" s="135"/>
      <c r="BE298" s="135"/>
      <c r="BF298" s="135"/>
      <c r="BG298" s="135"/>
      <c r="BH298" s="135"/>
      <c r="BI298" s="135"/>
      <c r="BJ298" s="135"/>
      <c r="BK298" s="52">
        <f t="shared" si="129"/>
        <v>0</v>
      </c>
      <c r="BL298" s="135"/>
      <c r="BM298" s="135"/>
      <c r="BN298" s="135"/>
      <c r="BO298" s="135"/>
      <c r="BP298" s="135"/>
      <c r="BQ298" s="135"/>
      <c r="BR298" s="135"/>
      <c r="BS298" s="135"/>
      <c r="BT298" s="135"/>
      <c r="BU298" s="136"/>
      <c r="BV298" s="54">
        <f t="shared" si="130"/>
        <v>30000000</v>
      </c>
      <c r="BW298" s="55"/>
    </row>
    <row r="299" spans="1:80" ht="25.5" customHeight="1" x14ac:dyDescent="0.25">
      <c r="A299" s="23"/>
      <c r="B299" s="217"/>
      <c r="C299" s="34"/>
      <c r="D299" s="34"/>
      <c r="E299" s="37"/>
      <c r="F299" s="34"/>
      <c r="G299" s="34"/>
      <c r="H299" s="37"/>
      <c r="I299" s="34"/>
      <c r="J299" s="34"/>
      <c r="K299" s="34"/>
      <c r="L299" s="34"/>
      <c r="M299" s="58">
        <v>43</v>
      </c>
      <c r="N299" s="58">
        <v>4503</v>
      </c>
      <c r="O299" s="59" t="s">
        <v>1658</v>
      </c>
      <c r="P299" s="58"/>
      <c r="Q299" s="60"/>
      <c r="R299" s="60"/>
      <c r="S299" s="60"/>
      <c r="T299" s="60"/>
      <c r="U299" s="60"/>
      <c r="V299" s="60"/>
      <c r="W299" s="43"/>
      <c r="X299" s="43"/>
      <c r="Y299" s="44"/>
      <c r="Z299" s="44"/>
      <c r="AA299" s="44"/>
      <c r="AB299" s="44"/>
      <c r="AC299" s="41"/>
      <c r="AD299" s="45">
        <f>SUM(AD300:AD302)</f>
        <v>128229610</v>
      </c>
      <c r="AE299" s="45">
        <f t="shared" ref="AE299:AX299" si="131">SUM(AE300:AE302)</f>
        <v>128229610</v>
      </c>
      <c r="AF299" s="45">
        <f t="shared" si="131"/>
        <v>0</v>
      </c>
      <c r="AG299" s="45">
        <f t="shared" si="131"/>
        <v>0</v>
      </c>
      <c r="AH299" s="45">
        <f t="shared" si="131"/>
        <v>0</v>
      </c>
      <c r="AI299" s="45">
        <f t="shared" si="131"/>
        <v>0</v>
      </c>
      <c r="AJ299" s="45">
        <f t="shared" si="131"/>
        <v>0</v>
      </c>
      <c r="AK299" s="45">
        <f t="shared" si="131"/>
        <v>0</v>
      </c>
      <c r="AL299" s="45">
        <f t="shared" si="131"/>
        <v>0</v>
      </c>
      <c r="AM299" s="45">
        <f t="shared" si="131"/>
        <v>0</v>
      </c>
      <c r="AN299" s="45">
        <f t="shared" si="131"/>
        <v>0</v>
      </c>
      <c r="AO299" s="45">
        <f t="shared" si="131"/>
        <v>147250000</v>
      </c>
      <c r="AP299" s="45">
        <f t="shared" si="131"/>
        <v>147250000</v>
      </c>
      <c r="AQ299" s="45">
        <f t="shared" si="131"/>
        <v>0</v>
      </c>
      <c r="AR299" s="45">
        <f t="shared" si="131"/>
        <v>0</v>
      </c>
      <c r="AS299" s="45">
        <f t="shared" si="131"/>
        <v>0</v>
      </c>
      <c r="AT299" s="45">
        <f t="shared" si="131"/>
        <v>0</v>
      </c>
      <c r="AU299" s="45">
        <f t="shared" si="131"/>
        <v>0</v>
      </c>
      <c r="AV299" s="45">
        <f t="shared" si="131"/>
        <v>0</v>
      </c>
      <c r="AW299" s="45">
        <f t="shared" si="131"/>
        <v>0</v>
      </c>
      <c r="AX299" s="45">
        <f t="shared" si="131"/>
        <v>0</v>
      </c>
      <c r="AY299" s="45">
        <f t="shared" ref="AY299:BV299" si="132">SUM(AY300:AY302)</f>
        <v>0</v>
      </c>
      <c r="AZ299" s="45">
        <f t="shared" si="132"/>
        <v>282707396.61000001</v>
      </c>
      <c r="BA299" s="45">
        <f t="shared" si="132"/>
        <v>282707396.61000001</v>
      </c>
      <c r="BB299" s="45">
        <f t="shared" si="132"/>
        <v>0</v>
      </c>
      <c r="BC299" s="45">
        <f t="shared" si="132"/>
        <v>0</v>
      </c>
      <c r="BD299" s="45">
        <f t="shared" si="132"/>
        <v>0</v>
      </c>
      <c r="BE299" s="45">
        <f t="shared" si="132"/>
        <v>0</v>
      </c>
      <c r="BF299" s="45">
        <f t="shared" si="132"/>
        <v>0</v>
      </c>
      <c r="BG299" s="45">
        <f t="shared" si="132"/>
        <v>0</v>
      </c>
      <c r="BH299" s="45">
        <f t="shared" si="132"/>
        <v>0</v>
      </c>
      <c r="BI299" s="45">
        <f t="shared" si="132"/>
        <v>0</v>
      </c>
      <c r="BJ299" s="45">
        <f t="shared" si="132"/>
        <v>0</v>
      </c>
      <c r="BK299" s="45">
        <f t="shared" si="132"/>
        <v>633118500</v>
      </c>
      <c r="BL299" s="45">
        <f t="shared" si="132"/>
        <v>633118500</v>
      </c>
      <c r="BM299" s="45">
        <f t="shared" si="132"/>
        <v>0</v>
      </c>
      <c r="BN299" s="45">
        <f t="shared" si="132"/>
        <v>0</v>
      </c>
      <c r="BO299" s="45">
        <f t="shared" si="132"/>
        <v>0</v>
      </c>
      <c r="BP299" s="45">
        <f t="shared" si="132"/>
        <v>0</v>
      </c>
      <c r="BQ299" s="45">
        <f t="shared" si="132"/>
        <v>0</v>
      </c>
      <c r="BR299" s="45">
        <f t="shared" si="132"/>
        <v>0</v>
      </c>
      <c r="BS299" s="45">
        <f t="shared" si="132"/>
        <v>0</v>
      </c>
      <c r="BT299" s="45">
        <f t="shared" si="132"/>
        <v>0</v>
      </c>
      <c r="BU299" s="45">
        <f t="shared" si="132"/>
        <v>0</v>
      </c>
      <c r="BV299" s="45">
        <f t="shared" si="132"/>
        <v>1191305506.6100001</v>
      </c>
      <c r="BW299" s="47"/>
    </row>
    <row r="300" spans="1:80" s="190" customFormat="1" ht="78.75" customHeight="1" x14ac:dyDescent="0.2">
      <c r="A300" s="23">
        <v>3</v>
      </c>
      <c r="B300" s="218" t="s">
        <v>41</v>
      </c>
      <c r="C300" s="17" t="s">
        <v>1331</v>
      </c>
      <c r="D300" s="17" t="s">
        <v>85</v>
      </c>
      <c r="E300" s="88">
        <v>4.2900000000000001E-2</v>
      </c>
      <c r="F300" s="6">
        <v>2019</v>
      </c>
      <c r="G300" s="17" t="s">
        <v>1332</v>
      </c>
      <c r="H300" s="88">
        <v>6.8699999999999997E-2</v>
      </c>
      <c r="I300" s="6">
        <v>45</v>
      </c>
      <c r="J300" s="6" t="s">
        <v>1294</v>
      </c>
      <c r="K300" s="15">
        <v>12</v>
      </c>
      <c r="L300" s="6" t="s">
        <v>944</v>
      </c>
      <c r="M300" s="206">
        <v>43</v>
      </c>
      <c r="N300" s="206">
        <v>4503</v>
      </c>
      <c r="O300" s="207" t="s">
        <v>1658</v>
      </c>
      <c r="P300" s="6" t="s">
        <v>1333</v>
      </c>
      <c r="Q300" s="6">
        <v>4503002</v>
      </c>
      <c r="R300" s="6">
        <v>4503002</v>
      </c>
      <c r="S300" s="17" t="s">
        <v>86</v>
      </c>
      <c r="T300" s="6" t="s">
        <v>1334</v>
      </c>
      <c r="U300" s="6">
        <v>450300200</v>
      </c>
      <c r="V300" s="6">
        <v>450300200</v>
      </c>
      <c r="W300" s="48" t="s">
        <v>543</v>
      </c>
      <c r="X300" s="6" t="s">
        <v>9</v>
      </c>
      <c r="Y300" s="6">
        <v>15000</v>
      </c>
      <c r="Z300" s="6">
        <v>1000</v>
      </c>
      <c r="AA300" s="6">
        <v>4000</v>
      </c>
      <c r="AB300" s="6">
        <v>5000</v>
      </c>
      <c r="AC300" s="6">
        <v>5000</v>
      </c>
      <c r="AD300" s="50">
        <f>AE300+AF300+AG300+AH300+AI300+AJ300+AK300+AL300+AM300+AN300</f>
        <v>5000000</v>
      </c>
      <c r="AE300" s="52">
        <v>5000000</v>
      </c>
      <c r="AF300" s="52"/>
      <c r="AG300" s="52"/>
      <c r="AH300" s="52"/>
      <c r="AI300" s="52"/>
      <c r="AJ300" s="52"/>
      <c r="AK300" s="52"/>
      <c r="AL300" s="52"/>
      <c r="AM300" s="52"/>
      <c r="AN300" s="52"/>
      <c r="AO300" s="52">
        <f t="shared" si="105"/>
        <v>5000000</v>
      </c>
      <c r="AP300" s="52">
        <v>5000000</v>
      </c>
      <c r="AQ300" s="52"/>
      <c r="AR300" s="52"/>
      <c r="AS300" s="52"/>
      <c r="AT300" s="52"/>
      <c r="AU300" s="52"/>
      <c r="AV300" s="52"/>
      <c r="AW300" s="52"/>
      <c r="AX300" s="52"/>
      <c r="AY300" s="52"/>
      <c r="AZ300" s="52">
        <f>BA300+BB300+BC300+BD300+BE300+BF300+BG300+BH300+BI300+BJ300</f>
        <v>30000000</v>
      </c>
      <c r="BA300" s="52">
        <f>10000000+20000000</f>
        <v>30000000</v>
      </c>
      <c r="BB300" s="52"/>
      <c r="BC300" s="52"/>
      <c r="BD300" s="52"/>
      <c r="BE300" s="52"/>
      <c r="BF300" s="52"/>
      <c r="BG300" s="52"/>
      <c r="BH300" s="52"/>
      <c r="BI300" s="52"/>
      <c r="BJ300" s="52"/>
      <c r="BK300" s="52">
        <f>BL300+BM300+BN300+BO300+BP300+BQ300+BR300+BS300+BT300+BU300</f>
        <v>50000000</v>
      </c>
      <c r="BL300" s="52">
        <v>50000000</v>
      </c>
      <c r="BM300" s="52"/>
      <c r="BN300" s="52"/>
      <c r="BO300" s="52"/>
      <c r="BP300" s="52"/>
      <c r="BQ300" s="52"/>
      <c r="BR300" s="52"/>
      <c r="BS300" s="52"/>
      <c r="BT300" s="52"/>
      <c r="BU300" s="53"/>
      <c r="BV300" s="54">
        <f>AD300+AO300+AZ300+BK300</f>
        <v>90000000</v>
      </c>
      <c r="BW300" s="55"/>
    </row>
    <row r="301" spans="1:80" s="190" customFormat="1" ht="78.75" customHeight="1" x14ac:dyDescent="0.2">
      <c r="A301" s="23">
        <v>3</v>
      </c>
      <c r="B301" s="218" t="s">
        <v>41</v>
      </c>
      <c r="C301" s="17" t="s">
        <v>1331</v>
      </c>
      <c r="D301" s="17" t="s">
        <v>87</v>
      </c>
      <c r="E301" s="82">
        <v>1</v>
      </c>
      <c r="F301" s="6">
        <v>2019</v>
      </c>
      <c r="G301" s="17" t="s">
        <v>1332</v>
      </c>
      <c r="H301" s="82">
        <v>1</v>
      </c>
      <c r="I301" s="6">
        <v>45</v>
      </c>
      <c r="J301" s="6" t="s">
        <v>1294</v>
      </c>
      <c r="K301" s="15">
        <v>12</v>
      </c>
      <c r="L301" s="6" t="s">
        <v>944</v>
      </c>
      <c r="M301" s="206">
        <v>43</v>
      </c>
      <c r="N301" s="206">
        <v>4503</v>
      </c>
      <c r="O301" s="207" t="s">
        <v>1658</v>
      </c>
      <c r="P301" s="6" t="s">
        <v>1335</v>
      </c>
      <c r="Q301" s="6">
        <v>4503003</v>
      </c>
      <c r="R301" s="6">
        <v>4503003</v>
      </c>
      <c r="S301" s="17" t="s">
        <v>83</v>
      </c>
      <c r="T301" s="6" t="s">
        <v>1336</v>
      </c>
      <c r="U301" s="6">
        <v>450300300</v>
      </c>
      <c r="V301" s="6">
        <v>450300300</v>
      </c>
      <c r="W301" s="48" t="s">
        <v>1337</v>
      </c>
      <c r="X301" s="6" t="s">
        <v>8</v>
      </c>
      <c r="Y301" s="6">
        <v>12</v>
      </c>
      <c r="Z301" s="6">
        <v>12</v>
      </c>
      <c r="AA301" s="6">
        <v>12</v>
      </c>
      <c r="AB301" s="6">
        <v>12</v>
      </c>
      <c r="AC301" s="6">
        <v>12</v>
      </c>
      <c r="AD301" s="50">
        <f>AE301+AF301+AG301+AH301+AI301+AJ301+AK301+AL301+AM301+AN301</f>
        <v>110000000</v>
      </c>
      <c r="AE301" s="52">
        <f>123229610-13229610</f>
        <v>110000000</v>
      </c>
      <c r="AF301" s="52"/>
      <c r="AG301" s="52"/>
      <c r="AH301" s="52"/>
      <c r="AI301" s="52"/>
      <c r="AJ301" s="52"/>
      <c r="AK301" s="52"/>
      <c r="AL301" s="52"/>
      <c r="AM301" s="52"/>
      <c r="AN301" s="52"/>
      <c r="AO301" s="52">
        <f t="shared" si="105"/>
        <v>112250000</v>
      </c>
      <c r="AP301" s="52">
        <v>112250000</v>
      </c>
      <c r="AQ301" s="52"/>
      <c r="AR301" s="52"/>
      <c r="AS301" s="52"/>
      <c r="AT301" s="52"/>
      <c r="AU301" s="52"/>
      <c r="AV301" s="52"/>
      <c r="AW301" s="52"/>
      <c r="AX301" s="52"/>
      <c r="AY301" s="52"/>
      <c r="AZ301" s="52">
        <f>BA301+BB301+BC301+BD301+BE301+BF301+BG301+BH301+BI301+BJ301</f>
        <v>150743006.61000001</v>
      </c>
      <c r="BA301" s="52">
        <f>105743006.61+45000000</f>
        <v>150743006.61000001</v>
      </c>
      <c r="BB301" s="52"/>
      <c r="BC301" s="52"/>
      <c r="BD301" s="52"/>
      <c r="BE301" s="52"/>
      <c r="BF301" s="52"/>
      <c r="BG301" s="52"/>
      <c r="BH301" s="52"/>
      <c r="BI301" s="52"/>
      <c r="BJ301" s="52"/>
      <c r="BK301" s="52">
        <f>BL301+BM301+BN301+BO301+BP301+BQ301+BR301+BS301+BT301+BU301</f>
        <v>398118500</v>
      </c>
      <c r="BL301" s="52">
        <f>298118500+100000000</f>
        <v>398118500</v>
      </c>
      <c r="BM301" s="52"/>
      <c r="BN301" s="52"/>
      <c r="BO301" s="52"/>
      <c r="BP301" s="52"/>
      <c r="BQ301" s="52"/>
      <c r="BR301" s="52"/>
      <c r="BS301" s="52"/>
      <c r="BT301" s="52"/>
      <c r="BU301" s="53"/>
      <c r="BV301" s="54">
        <f>AD301+AO301+AZ301+BK301</f>
        <v>771111506.61000001</v>
      </c>
      <c r="BW301" s="55"/>
    </row>
    <row r="302" spans="1:80" s="190" customFormat="1" ht="94.5" customHeight="1" x14ac:dyDescent="0.2">
      <c r="A302" s="23">
        <v>3</v>
      </c>
      <c r="B302" s="218" t="s">
        <v>41</v>
      </c>
      <c r="C302" s="17" t="s">
        <v>1331</v>
      </c>
      <c r="D302" s="17" t="s">
        <v>87</v>
      </c>
      <c r="E302" s="82">
        <v>1</v>
      </c>
      <c r="F302" s="6">
        <v>2019</v>
      </c>
      <c r="G302" s="17" t="s">
        <v>1332</v>
      </c>
      <c r="H302" s="82">
        <v>1</v>
      </c>
      <c r="I302" s="6">
        <v>45</v>
      </c>
      <c r="J302" s="6" t="s">
        <v>1294</v>
      </c>
      <c r="K302" s="15">
        <v>12</v>
      </c>
      <c r="L302" s="6" t="s">
        <v>944</v>
      </c>
      <c r="M302" s="206">
        <v>43</v>
      </c>
      <c r="N302" s="206">
        <v>4503</v>
      </c>
      <c r="O302" s="207" t="s">
        <v>1658</v>
      </c>
      <c r="P302" s="6" t="s">
        <v>1338</v>
      </c>
      <c r="Q302" s="6">
        <v>4503004</v>
      </c>
      <c r="R302" s="6">
        <v>4503016</v>
      </c>
      <c r="S302" s="17" t="s">
        <v>1660</v>
      </c>
      <c r="T302" s="6" t="s">
        <v>1339</v>
      </c>
      <c r="U302" s="6" t="s">
        <v>1616</v>
      </c>
      <c r="V302" s="6">
        <v>450301600</v>
      </c>
      <c r="W302" s="48" t="s">
        <v>1340</v>
      </c>
      <c r="X302" s="6" t="s">
        <v>8</v>
      </c>
      <c r="Y302" s="6">
        <v>1</v>
      </c>
      <c r="Z302" s="6">
        <v>1</v>
      </c>
      <c r="AA302" s="6">
        <v>1</v>
      </c>
      <c r="AB302" s="6">
        <v>1</v>
      </c>
      <c r="AC302" s="6">
        <v>1</v>
      </c>
      <c r="AD302" s="50">
        <f>AE302+AF302+AG302+AH302+AI302+AJ302+AK302+AL302+AM302+AN302</f>
        <v>13229610</v>
      </c>
      <c r="AE302" s="52">
        <v>13229610</v>
      </c>
      <c r="AF302" s="52"/>
      <c r="AG302" s="52"/>
      <c r="AH302" s="52"/>
      <c r="AI302" s="52"/>
      <c r="AJ302" s="52"/>
      <c r="AK302" s="52"/>
      <c r="AL302" s="52"/>
      <c r="AM302" s="52"/>
      <c r="AN302" s="52"/>
      <c r="AO302" s="52">
        <f t="shared" si="105"/>
        <v>30000000</v>
      </c>
      <c r="AP302" s="52">
        <v>30000000</v>
      </c>
      <c r="AQ302" s="52"/>
      <c r="AR302" s="52"/>
      <c r="AS302" s="52"/>
      <c r="AT302" s="52"/>
      <c r="AU302" s="52"/>
      <c r="AV302" s="52"/>
      <c r="AW302" s="52"/>
      <c r="AX302" s="52"/>
      <c r="AY302" s="52"/>
      <c r="AZ302" s="52">
        <f>BA302+BB302+BC302+BD302+BE302+BF302+BG302+BH302+BI302+BJ302</f>
        <v>101964390</v>
      </c>
      <c r="BA302" s="52">
        <f>36964390+65000000</f>
        <v>101964390</v>
      </c>
      <c r="BB302" s="52"/>
      <c r="BC302" s="52"/>
      <c r="BD302" s="52"/>
      <c r="BE302" s="52"/>
      <c r="BF302" s="52"/>
      <c r="BG302" s="52"/>
      <c r="BH302" s="52"/>
      <c r="BI302" s="52"/>
      <c r="BJ302" s="52"/>
      <c r="BK302" s="52">
        <f>BL302+BM302+BN302+BO302+BP302+BQ302+BR302+BS302+BT302+BU302</f>
        <v>185000000</v>
      </c>
      <c r="BL302" s="52">
        <f>85000000+100000000</f>
        <v>185000000</v>
      </c>
      <c r="BM302" s="52"/>
      <c r="BN302" s="52"/>
      <c r="BO302" s="52"/>
      <c r="BP302" s="52"/>
      <c r="BQ302" s="52"/>
      <c r="BR302" s="52"/>
      <c r="BS302" s="52"/>
      <c r="BT302" s="52"/>
      <c r="BU302" s="53"/>
      <c r="BV302" s="54">
        <f>AD302+AO302+AZ302+BK302</f>
        <v>330194000</v>
      </c>
      <c r="BW302" s="55"/>
    </row>
    <row r="303" spans="1:80" s="182" customFormat="1" ht="25.5" customHeight="1" x14ac:dyDescent="0.25">
      <c r="A303" s="24">
        <v>4</v>
      </c>
      <c r="B303" s="117" t="s">
        <v>6</v>
      </c>
      <c r="C303" s="24"/>
      <c r="D303" s="24"/>
      <c r="E303" s="118"/>
      <c r="F303" s="24"/>
      <c r="G303" s="24"/>
      <c r="H303" s="118"/>
      <c r="I303" s="24"/>
      <c r="J303" s="24"/>
      <c r="K303" s="24"/>
      <c r="L303" s="24"/>
      <c r="M303" s="24"/>
      <c r="N303" s="24"/>
      <c r="O303" s="24"/>
      <c r="P303" s="24"/>
      <c r="Q303" s="119"/>
      <c r="R303" s="119"/>
      <c r="S303" s="119"/>
      <c r="T303" s="119"/>
      <c r="U303" s="119"/>
      <c r="V303" s="119"/>
      <c r="W303" s="30"/>
      <c r="X303" s="30"/>
      <c r="Y303" s="27"/>
      <c r="Z303" s="27"/>
      <c r="AA303" s="27"/>
      <c r="AB303" s="27"/>
      <c r="AC303" s="31"/>
      <c r="AD303" s="32">
        <f t="shared" ref="AD303:AJ303" si="133">AD304+AD311+AD327</f>
        <v>6141996598.6400003</v>
      </c>
      <c r="AE303" s="32">
        <f t="shared" si="133"/>
        <v>5642159950.6400003</v>
      </c>
      <c r="AF303" s="32">
        <f t="shared" si="133"/>
        <v>250000000</v>
      </c>
      <c r="AG303" s="32">
        <f t="shared" si="133"/>
        <v>0</v>
      </c>
      <c r="AH303" s="32">
        <f t="shared" si="133"/>
        <v>0</v>
      </c>
      <c r="AI303" s="32">
        <f t="shared" si="133"/>
        <v>0</v>
      </c>
      <c r="AJ303" s="32">
        <f t="shared" si="133"/>
        <v>0</v>
      </c>
      <c r="AK303" s="32">
        <f t="shared" ref="AK303:AW303" si="134">AK304+AK311+AK327</f>
        <v>0</v>
      </c>
      <c r="AL303" s="32">
        <f t="shared" si="134"/>
        <v>0</v>
      </c>
      <c r="AM303" s="32">
        <f t="shared" si="134"/>
        <v>0</v>
      </c>
      <c r="AN303" s="32">
        <f t="shared" si="134"/>
        <v>249836648</v>
      </c>
      <c r="AO303" s="32">
        <f t="shared" si="134"/>
        <v>4215762977.6452599</v>
      </c>
      <c r="AP303" s="32">
        <f t="shared" si="134"/>
        <v>3834339233.8852601</v>
      </c>
      <c r="AQ303" s="32">
        <f t="shared" si="134"/>
        <v>186423743.75999999</v>
      </c>
      <c r="AR303" s="32">
        <f t="shared" si="134"/>
        <v>0</v>
      </c>
      <c r="AS303" s="32">
        <f t="shared" si="134"/>
        <v>0</v>
      </c>
      <c r="AT303" s="32">
        <f t="shared" si="134"/>
        <v>0</v>
      </c>
      <c r="AU303" s="32">
        <f t="shared" si="134"/>
        <v>0</v>
      </c>
      <c r="AV303" s="32">
        <f t="shared" si="134"/>
        <v>195000000</v>
      </c>
      <c r="AW303" s="32">
        <f t="shared" si="134"/>
        <v>0</v>
      </c>
      <c r="AX303" s="32">
        <f t="shared" ref="AX303:BV303" si="135">AX304+AX311+AX327</f>
        <v>0</v>
      </c>
      <c r="AY303" s="32">
        <f t="shared" si="135"/>
        <v>0</v>
      </c>
      <c r="AZ303" s="32">
        <f t="shared" si="135"/>
        <v>13413163827.791836</v>
      </c>
      <c r="BA303" s="32">
        <f t="shared" si="135"/>
        <v>6002145314.8818359</v>
      </c>
      <c r="BB303" s="32">
        <f t="shared" si="135"/>
        <v>216018512.91</v>
      </c>
      <c r="BC303" s="32">
        <f t="shared" si="135"/>
        <v>0</v>
      </c>
      <c r="BD303" s="32">
        <f t="shared" si="135"/>
        <v>0</v>
      </c>
      <c r="BE303" s="32">
        <f t="shared" si="135"/>
        <v>0</v>
      </c>
      <c r="BF303" s="32">
        <f t="shared" si="135"/>
        <v>0</v>
      </c>
      <c r="BG303" s="32">
        <f t="shared" si="135"/>
        <v>7195000000</v>
      </c>
      <c r="BH303" s="32">
        <f t="shared" si="135"/>
        <v>0</v>
      </c>
      <c r="BI303" s="32">
        <f t="shared" si="135"/>
        <v>0</v>
      </c>
      <c r="BJ303" s="32">
        <f t="shared" si="135"/>
        <v>0</v>
      </c>
      <c r="BK303" s="32">
        <f t="shared" si="135"/>
        <v>25628131333.331947</v>
      </c>
      <c r="BL303" s="32">
        <f t="shared" si="135"/>
        <v>8680908526.2763901</v>
      </c>
      <c r="BM303" s="32">
        <f t="shared" si="135"/>
        <v>247221187.055556</v>
      </c>
      <c r="BN303" s="32">
        <f t="shared" si="135"/>
        <v>0</v>
      </c>
      <c r="BO303" s="32">
        <f t="shared" si="135"/>
        <v>0</v>
      </c>
      <c r="BP303" s="32">
        <f t="shared" si="135"/>
        <v>0</v>
      </c>
      <c r="BQ303" s="32">
        <f t="shared" si="135"/>
        <v>0</v>
      </c>
      <c r="BR303" s="32">
        <f t="shared" si="135"/>
        <v>16700001620</v>
      </c>
      <c r="BS303" s="32">
        <f t="shared" si="135"/>
        <v>0</v>
      </c>
      <c r="BT303" s="32">
        <f t="shared" si="135"/>
        <v>0</v>
      </c>
      <c r="BU303" s="32">
        <f t="shared" si="135"/>
        <v>0</v>
      </c>
      <c r="BV303" s="32">
        <f t="shared" si="135"/>
        <v>49399054737.40905</v>
      </c>
      <c r="BW303" s="120"/>
      <c r="CB303" s="173"/>
    </row>
    <row r="304" spans="1:80" ht="25.5" customHeight="1" x14ac:dyDescent="0.25">
      <c r="A304" s="34"/>
      <c r="B304" s="121"/>
      <c r="C304" s="34"/>
      <c r="D304" s="34"/>
      <c r="E304" s="37"/>
      <c r="F304" s="34"/>
      <c r="G304" s="34"/>
      <c r="H304" s="37"/>
      <c r="I304" s="34"/>
      <c r="J304" s="34"/>
      <c r="K304" s="34"/>
      <c r="L304" s="34"/>
      <c r="M304" s="111">
        <v>17</v>
      </c>
      <c r="N304" s="58">
        <v>2302</v>
      </c>
      <c r="O304" s="59" t="s">
        <v>282</v>
      </c>
      <c r="P304" s="58"/>
      <c r="Q304" s="60"/>
      <c r="R304" s="60"/>
      <c r="S304" s="60"/>
      <c r="T304" s="60"/>
      <c r="U304" s="60"/>
      <c r="V304" s="60"/>
      <c r="W304" s="43"/>
      <c r="X304" s="43"/>
      <c r="Y304" s="44"/>
      <c r="Z304" s="44"/>
      <c r="AA304" s="44"/>
      <c r="AB304" s="44"/>
      <c r="AC304" s="41"/>
      <c r="AD304" s="45">
        <f t="shared" ref="AD304:AJ304" si="136">SUM(AD305:AD310)</f>
        <v>203721000</v>
      </c>
      <c r="AE304" s="45">
        <f t="shared" si="136"/>
        <v>203721000</v>
      </c>
      <c r="AF304" s="45">
        <f t="shared" si="136"/>
        <v>0</v>
      </c>
      <c r="AG304" s="45">
        <f t="shared" si="136"/>
        <v>0</v>
      </c>
      <c r="AH304" s="45">
        <f t="shared" si="136"/>
        <v>0</v>
      </c>
      <c r="AI304" s="45">
        <f t="shared" si="136"/>
        <v>0</v>
      </c>
      <c r="AJ304" s="45">
        <f t="shared" si="136"/>
        <v>0</v>
      </c>
      <c r="AK304" s="45">
        <f t="shared" ref="AK304:AW304" si="137">SUM(AK305:AK310)</f>
        <v>0</v>
      </c>
      <c r="AL304" s="45">
        <f t="shared" si="137"/>
        <v>0</v>
      </c>
      <c r="AM304" s="45">
        <f t="shared" si="137"/>
        <v>0</v>
      </c>
      <c r="AN304" s="45">
        <f t="shared" si="137"/>
        <v>0</v>
      </c>
      <c r="AO304" s="45">
        <f t="shared" si="137"/>
        <v>311475045</v>
      </c>
      <c r="AP304" s="45">
        <f t="shared" si="137"/>
        <v>116475045</v>
      </c>
      <c r="AQ304" s="45">
        <f t="shared" si="137"/>
        <v>0</v>
      </c>
      <c r="AR304" s="45">
        <f t="shared" si="137"/>
        <v>0</v>
      </c>
      <c r="AS304" s="45">
        <f t="shared" si="137"/>
        <v>0</v>
      </c>
      <c r="AT304" s="45">
        <f t="shared" si="137"/>
        <v>0</v>
      </c>
      <c r="AU304" s="45">
        <f t="shared" si="137"/>
        <v>0</v>
      </c>
      <c r="AV304" s="45">
        <f t="shared" si="137"/>
        <v>195000000</v>
      </c>
      <c r="AW304" s="45">
        <f t="shared" si="137"/>
        <v>0</v>
      </c>
      <c r="AX304" s="45">
        <f t="shared" ref="AX304:BV304" si="138">SUM(AX305:AX310)</f>
        <v>0</v>
      </c>
      <c r="AY304" s="45">
        <f t="shared" si="138"/>
        <v>0</v>
      </c>
      <c r="AZ304" s="45">
        <f t="shared" si="138"/>
        <v>390760784.34873617</v>
      </c>
      <c r="BA304" s="45">
        <f t="shared" si="138"/>
        <v>195760784.3487362</v>
      </c>
      <c r="BB304" s="45">
        <f t="shared" si="138"/>
        <v>0</v>
      </c>
      <c r="BC304" s="45">
        <f t="shared" si="138"/>
        <v>0</v>
      </c>
      <c r="BD304" s="45">
        <f t="shared" si="138"/>
        <v>0</v>
      </c>
      <c r="BE304" s="45">
        <f t="shared" si="138"/>
        <v>0</v>
      </c>
      <c r="BF304" s="45">
        <f t="shared" si="138"/>
        <v>0</v>
      </c>
      <c r="BG304" s="45">
        <f t="shared" si="138"/>
        <v>195000000</v>
      </c>
      <c r="BH304" s="45">
        <f t="shared" si="138"/>
        <v>0</v>
      </c>
      <c r="BI304" s="45">
        <f t="shared" si="138"/>
        <v>0</v>
      </c>
      <c r="BJ304" s="45">
        <f t="shared" si="138"/>
        <v>0</v>
      </c>
      <c r="BK304" s="45">
        <f t="shared" si="138"/>
        <v>547788863</v>
      </c>
      <c r="BL304" s="45">
        <f t="shared" si="138"/>
        <v>222788863</v>
      </c>
      <c r="BM304" s="45">
        <f t="shared" si="138"/>
        <v>0</v>
      </c>
      <c r="BN304" s="45">
        <f t="shared" si="138"/>
        <v>0</v>
      </c>
      <c r="BO304" s="45">
        <f t="shared" si="138"/>
        <v>0</v>
      </c>
      <c r="BP304" s="45">
        <f t="shared" si="138"/>
        <v>0</v>
      </c>
      <c r="BQ304" s="45">
        <f t="shared" si="138"/>
        <v>0</v>
      </c>
      <c r="BR304" s="45">
        <f t="shared" si="138"/>
        <v>325000000</v>
      </c>
      <c r="BS304" s="45">
        <f t="shared" si="138"/>
        <v>0</v>
      </c>
      <c r="BT304" s="45">
        <f t="shared" si="138"/>
        <v>0</v>
      </c>
      <c r="BU304" s="45">
        <f t="shared" si="138"/>
        <v>0</v>
      </c>
      <c r="BV304" s="45">
        <f t="shared" si="138"/>
        <v>1453745692.3487363</v>
      </c>
      <c r="BW304" s="47"/>
    </row>
    <row r="305" spans="1:75" s="190" customFormat="1" ht="141.75" customHeight="1" x14ac:dyDescent="0.2">
      <c r="A305" s="23">
        <v>4</v>
      </c>
      <c r="B305" s="218" t="s">
        <v>6</v>
      </c>
      <c r="C305" s="17" t="s">
        <v>860</v>
      </c>
      <c r="D305" s="17" t="s">
        <v>290</v>
      </c>
      <c r="E305" s="88">
        <v>0.41870000000000002</v>
      </c>
      <c r="F305" s="6">
        <v>2018</v>
      </c>
      <c r="G305" s="17" t="s">
        <v>887</v>
      </c>
      <c r="H305" s="88">
        <v>0.72909999999999997</v>
      </c>
      <c r="I305" s="6">
        <v>23</v>
      </c>
      <c r="J305" s="17" t="s">
        <v>829</v>
      </c>
      <c r="K305" s="15">
        <v>17</v>
      </c>
      <c r="L305" s="6" t="s">
        <v>888</v>
      </c>
      <c r="M305" s="208">
        <v>17</v>
      </c>
      <c r="N305" s="206">
        <v>2302</v>
      </c>
      <c r="O305" s="207" t="s">
        <v>282</v>
      </c>
      <c r="P305" s="63" t="s">
        <v>889</v>
      </c>
      <c r="Q305" s="6">
        <v>2302003</v>
      </c>
      <c r="R305" s="6">
        <v>2302003</v>
      </c>
      <c r="S305" s="17" t="s">
        <v>291</v>
      </c>
      <c r="T305" s="63" t="s">
        <v>890</v>
      </c>
      <c r="U305" s="6">
        <v>230200300</v>
      </c>
      <c r="V305" s="6">
        <v>230200300</v>
      </c>
      <c r="W305" s="48" t="s">
        <v>891</v>
      </c>
      <c r="X305" s="6" t="s">
        <v>9</v>
      </c>
      <c r="Y305" s="6">
        <v>8</v>
      </c>
      <c r="Z305" s="6">
        <v>0</v>
      </c>
      <c r="AA305" s="6">
        <v>2</v>
      </c>
      <c r="AB305" s="6">
        <v>3</v>
      </c>
      <c r="AC305" s="6">
        <v>3</v>
      </c>
      <c r="AD305" s="50">
        <f>AE305+AF304+AG304+AH304+AI304+AJ304+AK304+AL304+AM304+AN304</f>
        <v>0</v>
      </c>
      <c r="AE305" s="52">
        <v>0</v>
      </c>
      <c r="AF305" s="52"/>
      <c r="AG305" s="52"/>
      <c r="AH305" s="52"/>
      <c r="AI305" s="52"/>
      <c r="AJ305" s="52"/>
      <c r="AK305" s="52"/>
      <c r="AL305" s="52"/>
      <c r="AM305" s="52"/>
      <c r="AN305" s="52"/>
      <c r="AO305" s="52">
        <f t="shared" ref="AO305:AO310" si="139">AP305+AQ305+AR305+AS305+AT305+AU305+AV305+AW305+AX305+AY305</f>
        <v>127971586</v>
      </c>
      <c r="AP305" s="52">
        <f>28971586+24000000</f>
        <v>52971586</v>
      </c>
      <c r="AQ305" s="52"/>
      <c r="AR305" s="52"/>
      <c r="AS305" s="52"/>
      <c r="AT305" s="52"/>
      <c r="AU305" s="52"/>
      <c r="AV305" s="52">
        <v>75000000</v>
      </c>
      <c r="AW305" s="52"/>
      <c r="AX305" s="52"/>
      <c r="AY305" s="52"/>
      <c r="AZ305" s="52">
        <f t="shared" ref="AZ305:AZ310" si="140">BA305+BB305+BC305+BD305+BE305+BF305+BG305+BH305+BI305+BJ305</f>
        <v>160286303</v>
      </c>
      <c r="BA305" s="52">
        <f>55286303+30000000</f>
        <v>85286303</v>
      </c>
      <c r="BB305" s="52"/>
      <c r="BC305" s="52"/>
      <c r="BD305" s="52"/>
      <c r="BE305" s="52"/>
      <c r="BF305" s="52"/>
      <c r="BG305" s="52">
        <v>75000000</v>
      </c>
      <c r="BH305" s="52"/>
      <c r="BI305" s="52"/>
      <c r="BJ305" s="52"/>
      <c r="BK305" s="52">
        <f t="shared" ref="BK305:BK310" si="141">BL305+BM305+BN305+BO305+BP305+BQ305+BR305+BS305+BT305+BU305</f>
        <v>212727572</v>
      </c>
      <c r="BL305" s="52">
        <f>67727572+20000000</f>
        <v>87727572</v>
      </c>
      <c r="BM305" s="52"/>
      <c r="BN305" s="52"/>
      <c r="BO305" s="52"/>
      <c r="BP305" s="52"/>
      <c r="BQ305" s="52"/>
      <c r="BR305" s="52">
        <v>125000000</v>
      </c>
      <c r="BS305" s="52"/>
      <c r="BT305" s="52"/>
      <c r="BU305" s="53"/>
      <c r="BV305" s="54">
        <f t="shared" ref="BV305:BV310" si="142">AD305+AO305+AZ305+BK305</f>
        <v>500985461</v>
      </c>
      <c r="BW305" s="55"/>
    </row>
    <row r="306" spans="1:75" s="190" customFormat="1" ht="141.75" customHeight="1" x14ac:dyDescent="0.2">
      <c r="A306" s="23">
        <v>4</v>
      </c>
      <c r="B306" s="218" t="s">
        <v>6</v>
      </c>
      <c r="C306" s="17" t="s">
        <v>860</v>
      </c>
      <c r="D306" s="17" t="s">
        <v>290</v>
      </c>
      <c r="E306" s="88">
        <v>0.41870000000000002</v>
      </c>
      <c r="F306" s="6">
        <v>2018</v>
      </c>
      <c r="G306" s="17" t="s">
        <v>887</v>
      </c>
      <c r="H306" s="16" t="s">
        <v>892</v>
      </c>
      <c r="I306" s="6">
        <v>23</v>
      </c>
      <c r="J306" s="17" t="s">
        <v>829</v>
      </c>
      <c r="K306" s="15">
        <v>13</v>
      </c>
      <c r="L306" s="15" t="s">
        <v>346</v>
      </c>
      <c r="M306" s="208">
        <v>17</v>
      </c>
      <c r="N306" s="206">
        <v>2302</v>
      </c>
      <c r="O306" s="207" t="s">
        <v>282</v>
      </c>
      <c r="P306" s="63" t="s">
        <v>893</v>
      </c>
      <c r="Q306" s="6">
        <v>2302004</v>
      </c>
      <c r="R306" s="6">
        <v>2302004</v>
      </c>
      <c r="S306" s="17" t="s">
        <v>894</v>
      </c>
      <c r="T306" s="63" t="s">
        <v>895</v>
      </c>
      <c r="U306" s="6">
        <v>230200403</v>
      </c>
      <c r="V306" s="6">
        <v>230200403</v>
      </c>
      <c r="W306" s="48" t="s">
        <v>896</v>
      </c>
      <c r="X306" s="6" t="s">
        <v>8</v>
      </c>
      <c r="Y306" s="6">
        <v>1</v>
      </c>
      <c r="Z306" s="6">
        <v>0</v>
      </c>
      <c r="AA306" s="6">
        <v>1</v>
      </c>
      <c r="AB306" s="6">
        <v>1</v>
      </c>
      <c r="AC306" s="6">
        <v>1</v>
      </c>
      <c r="AD306" s="50">
        <f>AE306+AF306+AG306+AH306+AI306+AJ306+AK306+AL306+AM306+AN306</f>
        <v>0</v>
      </c>
      <c r="AE306" s="52"/>
      <c r="AF306" s="52"/>
      <c r="AG306" s="52"/>
      <c r="AH306" s="52"/>
      <c r="AI306" s="52"/>
      <c r="AJ306" s="52"/>
      <c r="AK306" s="52"/>
      <c r="AL306" s="52"/>
      <c r="AM306" s="52"/>
      <c r="AN306" s="52"/>
      <c r="AO306" s="52">
        <f t="shared" si="139"/>
        <v>26549951</v>
      </c>
      <c r="AP306" s="52">
        <v>11549951</v>
      </c>
      <c r="AQ306" s="52"/>
      <c r="AR306" s="52"/>
      <c r="AS306" s="52"/>
      <c r="AT306" s="52"/>
      <c r="AU306" s="52"/>
      <c r="AV306" s="52">
        <v>15000000</v>
      </c>
      <c r="AW306" s="52"/>
      <c r="AX306" s="52"/>
      <c r="AY306" s="52"/>
      <c r="AZ306" s="52">
        <f t="shared" si="140"/>
        <v>40000000</v>
      </c>
      <c r="BA306" s="52">
        <v>25000000</v>
      </c>
      <c r="BB306" s="52"/>
      <c r="BC306" s="52"/>
      <c r="BD306" s="52"/>
      <c r="BE306" s="52"/>
      <c r="BF306" s="52"/>
      <c r="BG306" s="52">
        <v>15000000</v>
      </c>
      <c r="BH306" s="52"/>
      <c r="BI306" s="52"/>
      <c r="BJ306" s="52"/>
      <c r="BK306" s="52">
        <f t="shared" si="141"/>
        <v>47248932</v>
      </c>
      <c r="BL306" s="52">
        <v>22248932</v>
      </c>
      <c r="BM306" s="52"/>
      <c r="BN306" s="52"/>
      <c r="BO306" s="52"/>
      <c r="BP306" s="52"/>
      <c r="BQ306" s="52"/>
      <c r="BR306" s="52">
        <v>25000000</v>
      </c>
      <c r="BS306" s="52"/>
      <c r="BT306" s="52"/>
      <c r="BU306" s="53"/>
      <c r="BV306" s="54">
        <f t="shared" si="142"/>
        <v>113798883</v>
      </c>
      <c r="BW306" s="55"/>
    </row>
    <row r="307" spans="1:75" s="190" customFormat="1" ht="189" customHeight="1" x14ac:dyDescent="0.2">
      <c r="A307" s="23">
        <v>4</v>
      </c>
      <c r="B307" s="218" t="s">
        <v>6</v>
      </c>
      <c r="C307" s="17" t="s">
        <v>860</v>
      </c>
      <c r="D307" s="17" t="s">
        <v>290</v>
      </c>
      <c r="E307" s="88">
        <v>0.41870000000000002</v>
      </c>
      <c r="F307" s="6">
        <v>2018</v>
      </c>
      <c r="G307" s="17" t="s">
        <v>887</v>
      </c>
      <c r="H307" s="16" t="s">
        <v>892</v>
      </c>
      <c r="I307" s="6">
        <v>23</v>
      </c>
      <c r="J307" s="17" t="s">
        <v>829</v>
      </c>
      <c r="K307" s="15">
        <v>13</v>
      </c>
      <c r="L307" s="15" t="s">
        <v>346</v>
      </c>
      <c r="M307" s="206">
        <v>17</v>
      </c>
      <c r="N307" s="206">
        <v>2302</v>
      </c>
      <c r="O307" s="207" t="s">
        <v>282</v>
      </c>
      <c r="P307" s="78" t="s">
        <v>897</v>
      </c>
      <c r="Q307" s="6">
        <v>2302007</v>
      </c>
      <c r="R307" s="6">
        <v>2302007</v>
      </c>
      <c r="S307" s="17" t="s">
        <v>898</v>
      </c>
      <c r="T307" s="78" t="s">
        <v>899</v>
      </c>
      <c r="U307" s="6">
        <v>230200701</v>
      </c>
      <c r="V307" s="6">
        <v>230200701</v>
      </c>
      <c r="W307" s="48" t="s">
        <v>900</v>
      </c>
      <c r="X307" s="6" t="s">
        <v>8</v>
      </c>
      <c r="Y307" s="6">
        <v>1</v>
      </c>
      <c r="Z307" s="6">
        <v>0</v>
      </c>
      <c r="AA307" s="6">
        <v>1</v>
      </c>
      <c r="AB307" s="6">
        <v>1</v>
      </c>
      <c r="AC307" s="6">
        <v>1</v>
      </c>
      <c r="AD307" s="50">
        <f>AE307+AF307+AG307+AH307+AI307+AJ307+AK307+AL307+AM307+AN307</f>
        <v>0</v>
      </c>
      <c r="AE307" s="52"/>
      <c r="AF307" s="52"/>
      <c r="AG307" s="52"/>
      <c r="AH307" s="52"/>
      <c r="AI307" s="52"/>
      <c r="AJ307" s="52"/>
      <c r="AK307" s="52"/>
      <c r="AL307" s="52"/>
      <c r="AM307" s="52"/>
      <c r="AN307" s="52"/>
      <c r="AO307" s="52">
        <f t="shared" si="139"/>
        <v>26552204</v>
      </c>
      <c r="AP307" s="52">
        <v>11552204</v>
      </c>
      <c r="AQ307" s="52"/>
      <c r="AR307" s="52"/>
      <c r="AS307" s="52"/>
      <c r="AT307" s="52"/>
      <c r="AU307" s="52"/>
      <c r="AV307" s="52">
        <v>15000000</v>
      </c>
      <c r="AW307" s="52"/>
      <c r="AX307" s="52"/>
      <c r="AY307" s="52"/>
      <c r="AZ307" s="52">
        <f t="shared" si="140"/>
        <v>40474480.879999995</v>
      </c>
      <c r="BA307" s="52">
        <v>25474480.879999999</v>
      </c>
      <c r="BB307" s="52"/>
      <c r="BC307" s="52"/>
      <c r="BD307" s="52"/>
      <c r="BE307" s="52"/>
      <c r="BF307" s="52"/>
      <c r="BG307" s="52">
        <v>15000000</v>
      </c>
      <c r="BH307" s="52"/>
      <c r="BI307" s="52"/>
      <c r="BJ307" s="52"/>
      <c r="BK307" s="52">
        <f t="shared" si="141"/>
        <v>47254794</v>
      </c>
      <c r="BL307" s="52">
        <v>22254794</v>
      </c>
      <c r="BM307" s="52"/>
      <c r="BN307" s="52"/>
      <c r="BO307" s="52"/>
      <c r="BP307" s="52"/>
      <c r="BQ307" s="52"/>
      <c r="BR307" s="52">
        <v>25000000</v>
      </c>
      <c r="BS307" s="52"/>
      <c r="BT307" s="52"/>
      <c r="BU307" s="53"/>
      <c r="BV307" s="54">
        <f t="shared" si="142"/>
        <v>114281478.88</v>
      </c>
      <c r="BW307" s="55"/>
    </row>
    <row r="308" spans="1:75" s="190" customFormat="1" ht="141.75" customHeight="1" x14ac:dyDescent="0.2">
      <c r="A308" s="23">
        <v>4</v>
      </c>
      <c r="B308" s="218" t="s">
        <v>6</v>
      </c>
      <c r="C308" s="17" t="s">
        <v>860</v>
      </c>
      <c r="D308" s="17" t="s">
        <v>290</v>
      </c>
      <c r="E308" s="88">
        <v>0.41870000000000002</v>
      </c>
      <c r="F308" s="6">
        <v>2018</v>
      </c>
      <c r="G308" s="17" t="s">
        <v>887</v>
      </c>
      <c r="H308" s="16" t="s">
        <v>892</v>
      </c>
      <c r="I308" s="6">
        <v>23</v>
      </c>
      <c r="J308" s="17" t="s">
        <v>829</v>
      </c>
      <c r="K308" s="15">
        <v>17</v>
      </c>
      <c r="L308" s="6" t="s">
        <v>888</v>
      </c>
      <c r="M308" s="206">
        <v>17</v>
      </c>
      <c r="N308" s="206">
        <v>2302</v>
      </c>
      <c r="O308" s="207" t="s">
        <v>282</v>
      </c>
      <c r="P308" s="79" t="s">
        <v>901</v>
      </c>
      <c r="Q308" s="6">
        <v>2302033</v>
      </c>
      <c r="R308" s="6">
        <v>2302033</v>
      </c>
      <c r="S308" s="17" t="s">
        <v>902</v>
      </c>
      <c r="T308" s="79" t="s">
        <v>903</v>
      </c>
      <c r="U308" s="6">
        <v>230203300</v>
      </c>
      <c r="V308" s="6">
        <v>230203300</v>
      </c>
      <c r="W308" s="48" t="s">
        <v>904</v>
      </c>
      <c r="X308" s="6" t="s">
        <v>8</v>
      </c>
      <c r="Y308" s="6">
        <v>100</v>
      </c>
      <c r="Z308" s="6">
        <v>100</v>
      </c>
      <c r="AA308" s="6">
        <v>100</v>
      </c>
      <c r="AB308" s="6">
        <v>100</v>
      </c>
      <c r="AC308" s="6">
        <v>100</v>
      </c>
      <c r="AD308" s="50">
        <f>AE308+AF308+AG308+AH308+AI308+AJ308+AK308+AL308+AM308+AN308</f>
        <v>189401000</v>
      </c>
      <c r="AE308" s="52">
        <f>161909132+27491868</f>
        <v>189401000</v>
      </c>
      <c r="AF308" s="52"/>
      <c r="AG308" s="52"/>
      <c r="AH308" s="52"/>
      <c r="AI308" s="52"/>
      <c r="AJ308" s="52"/>
      <c r="AK308" s="52"/>
      <c r="AL308" s="52"/>
      <c r="AM308" s="52"/>
      <c r="AN308" s="52"/>
      <c r="AO308" s="52">
        <f t="shared" si="139"/>
        <v>50626703</v>
      </c>
      <c r="AP308" s="52">
        <v>20626703</v>
      </c>
      <c r="AQ308" s="52"/>
      <c r="AR308" s="52"/>
      <c r="AS308" s="52"/>
      <c r="AT308" s="52"/>
      <c r="AU308" s="52"/>
      <c r="AV308" s="52">
        <v>30000000</v>
      </c>
      <c r="AW308" s="52"/>
      <c r="AX308" s="52"/>
      <c r="AY308" s="52"/>
      <c r="AZ308" s="52">
        <f t="shared" si="140"/>
        <v>60000000</v>
      </c>
      <c r="BA308" s="52">
        <v>30000000</v>
      </c>
      <c r="BB308" s="52"/>
      <c r="BC308" s="52"/>
      <c r="BD308" s="52"/>
      <c r="BE308" s="52"/>
      <c r="BF308" s="52"/>
      <c r="BG308" s="52">
        <v>30000000</v>
      </c>
      <c r="BH308" s="52"/>
      <c r="BI308" s="52"/>
      <c r="BJ308" s="52"/>
      <c r="BK308" s="52">
        <f t="shared" si="141"/>
        <v>93868720</v>
      </c>
      <c r="BL308" s="52">
        <v>43868720</v>
      </c>
      <c r="BM308" s="52"/>
      <c r="BN308" s="52"/>
      <c r="BO308" s="52"/>
      <c r="BP308" s="52"/>
      <c r="BQ308" s="52"/>
      <c r="BR308" s="52">
        <v>50000000</v>
      </c>
      <c r="BS308" s="52"/>
      <c r="BT308" s="52"/>
      <c r="BU308" s="53"/>
      <c r="BV308" s="54">
        <f t="shared" si="142"/>
        <v>393896423</v>
      </c>
      <c r="BW308" s="55"/>
    </row>
    <row r="309" spans="1:75" s="190" customFormat="1" ht="141.75" customHeight="1" x14ac:dyDescent="0.2">
      <c r="A309" s="23">
        <v>4</v>
      </c>
      <c r="B309" s="215" t="s">
        <v>6</v>
      </c>
      <c r="C309" s="17" t="s">
        <v>860</v>
      </c>
      <c r="D309" s="17" t="s">
        <v>290</v>
      </c>
      <c r="E309" s="88">
        <v>0.41870000000000002</v>
      </c>
      <c r="F309" s="6">
        <v>2018</v>
      </c>
      <c r="G309" s="17" t="s">
        <v>887</v>
      </c>
      <c r="H309" s="88">
        <v>0.72909999999999997</v>
      </c>
      <c r="I309" s="6">
        <v>23</v>
      </c>
      <c r="J309" s="17" t="s">
        <v>829</v>
      </c>
      <c r="K309" s="15">
        <v>17</v>
      </c>
      <c r="L309" s="6" t="s">
        <v>888</v>
      </c>
      <c r="M309" s="206">
        <v>17</v>
      </c>
      <c r="N309" s="206">
        <v>2302</v>
      </c>
      <c r="O309" s="207" t="s">
        <v>282</v>
      </c>
      <c r="P309" s="79" t="s">
        <v>905</v>
      </c>
      <c r="Q309" s="6">
        <v>2302066</v>
      </c>
      <c r="R309" s="6">
        <v>2302066</v>
      </c>
      <c r="S309" s="17" t="s">
        <v>292</v>
      </c>
      <c r="T309" s="79" t="s">
        <v>906</v>
      </c>
      <c r="U309" s="6">
        <v>230206600</v>
      </c>
      <c r="V309" s="6">
        <v>230206600</v>
      </c>
      <c r="W309" s="48" t="s">
        <v>907</v>
      </c>
      <c r="X309" s="6" t="s">
        <v>9</v>
      </c>
      <c r="Y309" s="6">
        <v>200</v>
      </c>
      <c r="Z309" s="6">
        <v>30</v>
      </c>
      <c r="AA309" s="6">
        <v>50</v>
      </c>
      <c r="AB309" s="6">
        <v>60</v>
      </c>
      <c r="AC309" s="6">
        <v>60</v>
      </c>
      <c r="AD309" s="50">
        <f>AE309+AF309+AG309+AH309+AI309+AJ309+AK309+AL309+AM309+AN309</f>
        <v>14320000</v>
      </c>
      <c r="AE309" s="52">
        <v>14320000</v>
      </c>
      <c r="AF309" s="52"/>
      <c r="AG309" s="52"/>
      <c r="AH309" s="52"/>
      <c r="AI309" s="52"/>
      <c r="AJ309" s="52"/>
      <c r="AK309" s="52"/>
      <c r="AL309" s="52"/>
      <c r="AM309" s="52"/>
      <c r="AN309" s="52"/>
      <c r="AO309" s="52">
        <f>AP309+AQ309+AR309+AS309+AT309+AU309+AV309+AW309+AX309+AY309</f>
        <v>60217434</v>
      </c>
      <c r="AP309" s="52">
        <v>15217434</v>
      </c>
      <c r="AQ309" s="52"/>
      <c r="AR309" s="52"/>
      <c r="AS309" s="52"/>
      <c r="AT309" s="52"/>
      <c r="AU309" s="52"/>
      <c r="AV309" s="52">
        <v>45000000</v>
      </c>
      <c r="AW309" s="52"/>
      <c r="AX309" s="52"/>
      <c r="AY309" s="52"/>
      <c r="AZ309" s="52">
        <f>BA309+BB309+BC309+BD309+BE309+BF309+BG309+BH309+BI309+BJ309</f>
        <v>66701787</v>
      </c>
      <c r="BA309" s="52">
        <v>21701787</v>
      </c>
      <c r="BB309" s="52"/>
      <c r="BC309" s="52"/>
      <c r="BD309" s="52"/>
      <c r="BE309" s="52"/>
      <c r="BF309" s="52"/>
      <c r="BG309" s="52">
        <v>45000000</v>
      </c>
      <c r="BH309" s="52"/>
      <c r="BI309" s="52"/>
      <c r="BJ309" s="52"/>
      <c r="BK309" s="52">
        <f>BL309+BM309+BN309+BO309+BP309+BQ309+BR309+BS309+BT309+BU309</f>
        <v>105792563</v>
      </c>
      <c r="BL309" s="52">
        <v>30792563</v>
      </c>
      <c r="BM309" s="52"/>
      <c r="BN309" s="52"/>
      <c r="BO309" s="52"/>
      <c r="BP309" s="52"/>
      <c r="BQ309" s="52"/>
      <c r="BR309" s="52">
        <v>75000000</v>
      </c>
      <c r="BS309" s="52"/>
      <c r="BT309" s="52"/>
      <c r="BU309" s="53"/>
      <c r="BV309" s="54">
        <f t="shared" si="142"/>
        <v>247031784</v>
      </c>
      <c r="BW309" s="55"/>
    </row>
    <row r="310" spans="1:75" s="190" customFormat="1" ht="141.75" customHeight="1" x14ac:dyDescent="0.2">
      <c r="A310" s="23">
        <v>4</v>
      </c>
      <c r="B310" s="218" t="s">
        <v>6</v>
      </c>
      <c r="C310" s="17" t="s">
        <v>860</v>
      </c>
      <c r="D310" s="17" t="s">
        <v>290</v>
      </c>
      <c r="E310" s="88">
        <v>0.41870000000000002</v>
      </c>
      <c r="F310" s="6">
        <v>2018</v>
      </c>
      <c r="G310" s="17" t="s">
        <v>887</v>
      </c>
      <c r="H310" s="88">
        <v>0.72909999999999997</v>
      </c>
      <c r="I310" s="6">
        <v>23</v>
      </c>
      <c r="J310" s="17" t="s">
        <v>829</v>
      </c>
      <c r="K310" s="15">
        <v>13</v>
      </c>
      <c r="L310" s="15" t="s">
        <v>346</v>
      </c>
      <c r="M310" s="206">
        <v>17</v>
      </c>
      <c r="N310" s="206">
        <v>2302</v>
      </c>
      <c r="O310" s="207" t="s">
        <v>282</v>
      </c>
      <c r="P310" s="79" t="s">
        <v>908</v>
      </c>
      <c r="Q310" s="6">
        <v>2302083</v>
      </c>
      <c r="R310" s="6">
        <v>2302083</v>
      </c>
      <c r="S310" s="17" t="s">
        <v>123</v>
      </c>
      <c r="T310" s="79" t="s">
        <v>909</v>
      </c>
      <c r="U310" s="6">
        <v>230208300</v>
      </c>
      <c r="V310" s="6">
        <v>230208300</v>
      </c>
      <c r="W310" s="48" t="s">
        <v>430</v>
      </c>
      <c r="X310" s="6" t="s">
        <v>8</v>
      </c>
      <c r="Y310" s="6">
        <v>1</v>
      </c>
      <c r="Z310" s="6">
        <v>0</v>
      </c>
      <c r="AA310" s="6">
        <v>1</v>
      </c>
      <c r="AB310" s="6">
        <v>1</v>
      </c>
      <c r="AC310" s="6">
        <v>1</v>
      </c>
      <c r="AD310" s="50">
        <f>AE310+AF310+AG310+AH310+AI310+AJ310+AK310+AL310+AM310+AN310</f>
        <v>0</v>
      </c>
      <c r="AE310" s="52"/>
      <c r="AF310" s="52"/>
      <c r="AG310" s="52"/>
      <c r="AH310" s="52"/>
      <c r="AI310" s="52"/>
      <c r="AJ310" s="52"/>
      <c r="AK310" s="52"/>
      <c r="AL310" s="52"/>
      <c r="AM310" s="52"/>
      <c r="AN310" s="52"/>
      <c r="AO310" s="52">
        <f t="shared" si="139"/>
        <v>19557167</v>
      </c>
      <c r="AP310" s="52">
        <v>4557167</v>
      </c>
      <c r="AQ310" s="52"/>
      <c r="AR310" s="52"/>
      <c r="AS310" s="52"/>
      <c r="AT310" s="52"/>
      <c r="AU310" s="52"/>
      <c r="AV310" s="52">
        <v>15000000</v>
      </c>
      <c r="AW310" s="52"/>
      <c r="AX310" s="52"/>
      <c r="AY310" s="52"/>
      <c r="AZ310" s="52">
        <f t="shared" si="140"/>
        <v>23298213.468736202</v>
      </c>
      <c r="BA310" s="52">
        <v>8298213.4687361997</v>
      </c>
      <c r="BB310" s="52"/>
      <c r="BC310" s="52"/>
      <c r="BD310" s="52"/>
      <c r="BE310" s="52"/>
      <c r="BF310" s="52"/>
      <c r="BG310" s="52">
        <v>15000000</v>
      </c>
      <c r="BH310" s="52"/>
      <c r="BI310" s="52"/>
      <c r="BJ310" s="52"/>
      <c r="BK310" s="52">
        <f t="shared" si="141"/>
        <v>40896282</v>
      </c>
      <c r="BL310" s="52">
        <v>15896282</v>
      </c>
      <c r="BM310" s="52"/>
      <c r="BN310" s="52"/>
      <c r="BO310" s="52"/>
      <c r="BP310" s="52"/>
      <c r="BQ310" s="52"/>
      <c r="BR310" s="52">
        <v>25000000</v>
      </c>
      <c r="BS310" s="52"/>
      <c r="BT310" s="52"/>
      <c r="BU310" s="53"/>
      <c r="BV310" s="54">
        <f t="shared" si="142"/>
        <v>83751662.468736202</v>
      </c>
      <c r="BW310" s="55"/>
    </row>
    <row r="311" spans="1:75" ht="24.75" customHeight="1" x14ac:dyDescent="0.25">
      <c r="A311" s="23"/>
      <c r="B311" s="217"/>
      <c r="C311" s="34"/>
      <c r="D311" s="34"/>
      <c r="E311" s="37"/>
      <c r="F311" s="34"/>
      <c r="G311" s="34"/>
      <c r="H311" s="37"/>
      <c r="I311" s="34"/>
      <c r="J311" s="34"/>
      <c r="K311" s="34"/>
      <c r="L311" s="34"/>
      <c r="M311" s="58">
        <v>42</v>
      </c>
      <c r="N311" s="58">
        <v>4502</v>
      </c>
      <c r="O311" s="59" t="s">
        <v>1640</v>
      </c>
      <c r="P311" s="58"/>
      <c r="Q311" s="60"/>
      <c r="R311" s="60"/>
      <c r="S311" s="60"/>
      <c r="T311" s="60"/>
      <c r="U311" s="60"/>
      <c r="V311" s="60"/>
      <c r="W311" s="43"/>
      <c r="X311" s="43"/>
      <c r="Y311" s="44"/>
      <c r="Z311" s="44"/>
      <c r="AA311" s="44"/>
      <c r="AB311" s="44"/>
      <c r="AC311" s="41"/>
      <c r="AD311" s="45">
        <f>SUM(AD312:AD326)</f>
        <v>1405947292.76</v>
      </c>
      <c r="AE311" s="45">
        <f t="shared" ref="AE311:AX311" si="143">SUM(AE312:AE326)</f>
        <v>1405947292.76</v>
      </c>
      <c r="AF311" s="45">
        <f t="shared" si="143"/>
        <v>0</v>
      </c>
      <c r="AG311" s="45">
        <f t="shared" si="143"/>
        <v>0</v>
      </c>
      <c r="AH311" s="45">
        <f t="shared" si="143"/>
        <v>0</v>
      </c>
      <c r="AI311" s="45">
        <f t="shared" si="143"/>
        <v>0</v>
      </c>
      <c r="AJ311" s="45">
        <f t="shared" si="143"/>
        <v>0</v>
      </c>
      <c r="AK311" s="45">
        <f t="shared" si="143"/>
        <v>0</v>
      </c>
      <c r="AL311" s="45">
        <f t="shared" si="143"/>
        <v>0</v>
      </c>
      <c r="AM311" s="45">
        <f t="shared" si="143"/>
        <v>0</v>
      </c>
      <c r="AN311" s="45">
        <f t="shared" si="143"/>
        <v>0</v>
      </c>
      <c r="AO311" s="45">
        <f t="shared" si="143"/>
        <v>940988940.45226002</v>
      </c>
      <c r="AP311" s="45">
        <f t="shared" si="143"/>
        <v>940988940.45226002</v>
      </c>
      <c r="AQ311" s="45">
        <f t="shared" si="143"/>
        <v>0</v>
      </c>
      <c r="AR311" s="45">
        <f t="shared" si="143"/>
        <v>0</v>
      </c>
      <c r="AS311" s="45">
        <f t="shared" si="143"/>
        <v>0</v>
      </c>
      <c r="AT311" s="45">
        <f t="shared" si="143"/>
        <v>0</v>
      </c>
      <c r="AU311" s="45">
        <f t="shared" si="143"/>
        <v>0</v>
      </c>
      <c r="AV311" s="45">
        <f t="shared" si="143"/>
        <v>0</v>
      </c>
      <c r="AW311" s="45">
        <f t="shared" si="143"/>
        <v>0</v>
      </c>
      <c r="AX311" s="45">
        <f t="shared" si="143"/>
        <v>0</v>
      </c>
      <c r="AY311" s="45">
        <f t="shared" ref="AY311:BV311" si="144">SUM(AY312:AY326)</f>
        <v>0</v>
      </c>
      <c r="AZ311" s="45">
        <f t="shared" si="144"/>
        <v>8797110317.2311001</v>
      </c>
      <c r="BA311" s="45">
        <f t="shared" si="144"/>
        <v>1797110317.2310998</v>
      </c>
      <c r="BB311" s="45">
        <f t="shared" si="144"/>
        <v>0</v>
      </c>
      <c r="BC311" s="45">
        <f t="shared" si="144"/>
        <v>0</v>
      </c>
      <c r="BD311" s="45">
        <f t="shared" si="144"/>
        <v>0</v>
      </c>
      <c r="BE311" s="45">
        <f t="shared" si="144"/>
        <v>0</v>
      </c>
      <c r="BF311" s="45">
        <f t="shared" si="144"/>
        <v>0</v>
      </c>
      <c r="BG311" s="45">
        <f t="shared" si="144"/>
        <v>7000000000</v>
      </c>
      <c r="BH311" s="45">
        <f t="shared" si="144"/>
        <v>0</v>
      </c>
      <c r="BI311" s="45">
        <f t="shared" si="144"/>
        <v>0</v>
      </c>
      <c r="BJ311" s="45">
        <f t="shared" si="144"/>
        <v>0</v>
      </c>
      <c r="BK311" s="45">
        <f t="shared" si="144"/>
        <v>2666369697.1353998</v>
      </c>
      <c r="BL311" s="45">
        <f t="shared" si="144"/>
        <v>2666369697.1353998</v>
      </c>
      <c r="BM311" s="45">
        <f t="shared" si="144"/>
        <v>0</v>
      </c>
      <c r="BN311" s="45">
        <f t="shared" si="144"/>
        <v>0</v>
      </c>
      <c r="BO311" s="45">
        <f t="shared" si="144"/>
        <v>0</v>
      </c>
      <c r="BP311" s="45">
        <f t="shared" si="144"/>
        <v>0</v>
      </c>
      <c r="BQ311" s="45">
        <f t="shared" si="144"/>
        <v>0</v>
      </c>
      <c r="BR311" s="45">
        <f t="shared" si="144"/>
        <v>0</v>
      </c>
      <c r="BS311" s="45">
        <f t="shared" si="144"/>
        <v>0</v>
      </c>
      <c r="BT311" s="45">
        <f t="shared" si="144"/>
        <v>0</v>
      </c>
      <c r="BU311" s="45">
        <f t="shared" si="144"/>
        <v>0</v>
      </c>
      <c r="BV311" s="45">
        <f t="shared" si="144"/>
        <v>13810416247.57876</v>
      </c>
      <c r="BW311" s="47"/>
    </row>
    <row r="312" spans="1:75" s="190" customFormat="1" ht="99" customHeight="1" x14ac:dyDescent="0.2">
      <c r="A312" s="23">
        <v>4</v>
      </c>
      <c r="B312" s="218" t="s">
        <v>6</v>
      </c>
      <c r="C312" s="114" t="s">
        <v>860</v>
      </c>
      <c r="D312" s="17" t="s">
        <v>4</v>
      </c>
      <c r="E312" s="88">
        <v>0.53720000000000001</v>
      </c>
      <c r="F312" s="6">
        <v>2019</v>
      </c>
      <c r="G312" s="17" t="s">
        <v>1310</v>
      </c>
      <c r="H312" s="82">
        <v>0.55000000000000004</v>
      </c>
      <c r="I312" s="6">
        <v>45</v>
      </c>
      <c r="J312" s="6" t="s">
        <v>1294</v>
      </c>
      <c r="K312" s="15">
        <v>16</v>
      </c>
      <c r="L312" s="6" t="s">
        <v>398</v>
      </c>
      <c r="M312" s="206">
        <v>42</v>
      </c>
      <c r="N312" s="206">
        <v>4502</v>
      </c>
      <c r="O312" s="207" t="s">
        <v>1640</v>
      </c>
      <c r="P312" s="63" t="s">
        <v>1311</v>
      </c>
      <c r="Q312" s="6" t="s">
        <v>77</v>
      </c>
      <c r="R312" s="6">
        <v>4502001</v>
      </c>
      <c r="S312" s="114" t="s">
        <v>1312</v>
      </c>
      <c r="T312" s="74" t="s">
        <v>1313</v>
      </c>
      <c r="U312" s="6" t="s">
        <v>77</v>
      </c>
      <c r="V312" s="6">
        <v>450200101</v>
      </c>
      <c r="W312" s="85" t="s">
        <v>1314</v>
      </c>
      <c r="X312" s="83" t="s">
        <v>8</v>
      </c>
      <c r="Y312" s="6">
        <v>12</v>
      </c>
      <c r="Z312" s="6" t="s">
        <v>1570</v>
      </c>
      <c r="AA312" s="6">
        <v>12</v>
      </c>
      <c r="AB312" s="6">
        <v>12</v>
      </c>
      <c r="AC312" s="6">
        <v>12</v>
      </c>
      <c r="AD312" s="50">
        <f t="shared" ref="AD312:AD326" si="145">AE312+AF312+AG312+AH312+AI312+AJ312+AK312+AL312+AM312+AN312</f>
        <v>0</v>
      </c>
      <c r="AE312" s="52"/>
      <c r="AF312" s="52"/>
      <c r="AG312" s="52"/>
      <c r="AH312" s="52"/>
      <c r="AI312" s="52"/>
      <c r="AJ312" s="52"/>
      <c r="AK312" s="52"/>
      <c r="AL312" s="52"/>
      <c r="AM312" s="52"/>
      <c r="AN312" s="52"/>
      <c r="AO312" s="52">
        <f t="shared" ref="AO312:AO326" si="146">AP312+AQ312+AR312+AS312+AT312+AU312+AV312+AW312+AX312+AY312</f>
        <v>12000000</v>
      </c>
      <c r="AP312" s="52">
        <v>12000000</v>
      </c>
      <c r="AQ312" s="52"/>
      <c r="AR312" s="52"/>
      <c r="AS312" s="52"/>
      <c r="AT312" s="52"/>
      <c r="AU312" s="52"/>
      <c r="AV312" s="52"/>
      <c r="AW312" s="52"/>
      <c r="AX312" s="52"/>
      <c r="AY312" s="52"/>
      <c r="AZ312" s="52">
        <f t="shared" ref="AZ312:AZ326" si="147">BA312+BB312+BC312+BD312+BE312+BF312+BG312+BH312+BI312+BJ312</f>
        <v>20000000</v>
      </c>
      <c r="BA312" s="52">
        <v>20000000</v>
      </c>
      <c r="BB312" s="52"/>
      <c r="BC312" s="52"/>
      <c r="BD312" s="52"/>
      <c r="BE312" s="52"/>
      <c r="BF312" s="52"/>
      <c r="BG312" s="52"/>
      <c r="BH312" s="52"/>
      <c r="BI312" s="52"/>
      <c r="BJ312" s="52"/>
      <c r="BK312" s="52">
        <f t="shared" ref="BK312:BK326" si="148">BL312+BM312+BN312+BO312+BP312+BQ312+BR312+BS312+BT312+BU312</f>
        <v>0</v>
      </c>
      <c r="BL312" s="52"/>
      <c r="BM312" s="52"/>
      <c r="BN312" s="52"/>
      <c r="BO312" s="52"/>
      <c r="BP312" s="52"/>
      <c r="BQ312" s="52"/>
      <c r="BR312" s="52"/>
      <c r="BS312" s="52"/>
      <c r="BT312" s="52"/>
      <c r="BU312" s="53"/>
      <c r="BV312" s="54">
        <f t="shared" ref="BV312:BV326" si="149">AD312+AO312+AZ312+BK312</f>
        <v>32000000</v>
      </c>
      <c r="BW312" s="55"/>
    </row>
    <row r="313" spans="1:75" s="190" customFormat="1" ht="90" x14ac:dyDescent="0.2">
      <c r="A313" s="23">
        <v>4</v>
      </c>
      <c r="B313" s="218" t="s">
        <v>6</v>
      </c>
      <c r="C313" s="114" t="s">
        <v>860</v>
      </c>
      <c r="D313" s="17" t="s">
        <v>4</v>
      </c>
      <c r="E313" s="88">
        <v>0.53720000000000001</v>
      </c>
      <c r="F313" s="6">
        <v>2019</v>
      </c>
      <c r="G313" s="17" t="s">
        <v>1310</v>
      </c>
      <c r="H313" s="82">
        <v>0.55000000000000004</v>
      </c>
      <c r="I313" s="6">
        <v>45</v>
      </c>
      <c r="J313" s="6" t="s">
        <v>1294</v>
      </c>
      <c r="K313" s="15">
        <v>16</v>
      </c>
      <c r="L313" s="6" t="s">
        <v>398</v>
      </c>
      <c r="M313" s="206">
        <v>42</v>
      </c>
      <c r="N313" s="206">
        <v>4502</v>
      </c>
      <c r="O313" s="207" t="s">
        <v>1640</v>
      </c>
      <c r="P313" s="6" t="s">
        <v>1315</v>
      </c>
      <c r="Q313" s="6" t="s">
        <v>77</v>
      </c>
      <c r="R313" s="6">
        <v>4502001</v>
      </c>
      <c r="S313" s="114" t="s">
        <v>7</v>
      </c>
      <c r="T313" s="6" t="s">
        <v>1316</v>
      </c>
      <c r="U313" s="6" t="s">
        <v>77</v>
      </c>
      <c r="V313" s="6">
        <v>450200100</v>
      </c>
      <c r="W313" s="85" t="s">
        <v>1317</v>
      </c>
      <c r="X313" s="83" t="s">
        <v>8</v>
      </c>
      <c r="Y313" s="6">
        <v>1</v>
      </c>
      <c r="Z313" s="6">
        <v>1</v>
      </c>
      <c r="AA313" s="6">
        <v>1</v>
      </c>
      <c r="AB313" s="6">
        <v>1</v>
      </c>
      <c r="AC313" s="6">
        <v>1</v>
      </c>
      <c r="AD313" s="50">
        <f t="shared" si="145"/>
        <v>200000000</v>
      </c>
      <c r="AE313" s="52">
        <v>200000000</v>
      </c>
      <c r="AF313" s="52"/>
      <c r="AG313" s="52"/>
      <c r="AH313" s="52"/>
      <c r="AI313" s="52"/>
      <c r="AJ313" s="52"/>
      <c r="AK313" s="52"/>
      <c r="AL313" s="52"/>
      <c r="AM313" s="52"/>
      <c r="AN313" s="52"/>
      <c r="AO313" s="52">
        <f t="shared" si="146"/>
        <v>141527405.78999999</v>
      </c>
      <c r="AP313" s="52">
        <v>141527405.78999999</v>
      </c>
      <c r="AQ313" s="52"/>
      <c r="AR313" s="52"/>
      <c r="AS313" s="52"/>
      <c r="AT313" s="52"/>
      <c r="AU313" s="52"/>
      <c r="AV313" s="52"/>
      <c r="AW313" s="52"/>
      <c r="AX313" s="52"/>
      <c r="AY313" s="52"/>
      <c r="AZ313" s="52">
        <f t="shared" si="147"/>
        <v>171299168.20999998</v>
      </c>
      <c r="BA313" s="52">
        <f>471299168.21-300000000</f>
        <v>171299168.20999998</v>
      </c>
      <c r="BB313" s="52"/>
      <c r="BC313" s="52"/>
      <c r="BD313" s="52"/>
      <c r="BE313" s="52"/>
      <c r="BF313" s="52"/>
      <c r="BG313" s="52"/>
      <c r="BH313" s="52"/>
      <c r="BI313" s="52"/>
      <c r="BJ313" s="52"/>
      <c r="BK313" s="52">
        <f t="shared" si="148"/>
        <v>183676715.73000002</v>
      </c>
      <c r="BL313" s="52">
        <f>733676715.73-550000000</f>
        <v>183676715.73000002</v>
      </c>
      <c r="BM313" s="52"/>
      <c r="BN313" s="52"/>
      <c r="BO313" s="52"/>
      <c r="BP313" s="52"/>
      <c r="BQ313" s="52"/>
      <c r="BR313" s="52"/>
      <c r="BS313" s="52"/>
      <c r="BT313" s="52"/>
      <c r="BU313" s="53"/>
      <c r="BV313" s="54">
        <f t="shared" si="149"/>
        <v>696503289.73000002</v>
      </c>
      <c r="BW313" s="55"/>
    </row>
    <row r="314" spans="1:75" s="190" customFormat="1" ht="157.5" customHeight="1" x14ac:dyDescent="0.2">
      <c r="A314" s="23">
        <v>4</v>
      </c>
      <c r="B314" s="218" t="s">
        <v>6</v>
      </c>
      <c r="C314" s="114" t="s">
        <v>860</v>
      </c>
      <c r="D314" s="17" t="s">
        <v>4</v>
      </c>
      <c r="E314" s="88">
        <v>0.53720000000000001</v>
      </c>
      <c r="F314" s="6">
        <v>2019</v>
      </c>
      <c r="G314" s="17" t="s">
        <v>1310</v>
      </c>
      <c r="H314" s="82">
        <v>0.55000000000000004</v>
      </c>
      <c r="I314" s="6">
        <v>45</v>
      </c>
      <c r="J314" s="6" t="s">
        <v>1294</v>
      </c>
      <c r="K314" s="15">
        <v>16</v>
      </c>
      <c r="L314" s="6" t="s">
        <v>398</v>
      </c>
      <c r="M314" s="206">
        <v>42</v>
      </c>
      <c r="N314" s="206">
        <v>4502</v>
      </c>
      <c r="O314" s="207" t="s">
        <v>1640</v>
      </c>
      <c r="P314" s="6" t="s">
        <v>1318</v>
      </c>
      <c r="Q314" s="6" t="s">
        <v>77</v>
      </c>
      <c r="R314" s="6">
        <v>4502033</v>
      </c>
      <c r="S314" s="114" t="s">
        <v>5</v>
      </c>
      <c r="T314" s="6" t="s">
        <v>1319</v>
      </c>
      <c r="U314" s="6" t="s">
        <v>77</v>
      </c>
      <c r="V314" s="6">
        <v>450203300</v>
      </c>
      <c r="W314" s="85" t="s">
        <v>1320</v>
      </c>
      <c r="X314" s="83" t="s">
        <v>8</v>
      </c>
      <c r="Y314" s="6">
        <v>1</v>
      </c>
      <c r="Z314" s="6">
        <v>1</v>
      </c>
      <c r="AA314" s="6">
        <v>1</v>
      </c>
      <c r="AB314" s="6">
        <v>1</v>
      </c>
      <c r="AC314" s="6">
        <v>1</v>
      </c>
      <c r="AD314" s="50">
        <f t="shared" si="145"/>
        <v>55122927.600000001</v>
      </c>
      <c r="AE314" s="52">
        <v>55122927.600000001</v>
      </c>
      <c r="AF314" s="52"/>
      <c r="AG314" s="52"/>
      <c r="AH314" s="52"/>
      <c r="AI314" s="52"/>
      <c r="AJ314" s="52"/>
      <c r="AK314" s="52"/>
      <c r="AL314" s="52"/>
      <c r="AM314" s="52"/>
      <c r="AN314" s="52"/>
      <c r="AO314" s="52">
        <f t="shared" si="146"/>
        <v>35136514.094499998</v>
      </c>
      <c r="AP314" s="52">
        <v>35136514.094499998</v>
      </c>
      <c r="AQ314" s="52"/>
      <c r="AR314" s="52"/>
      <c r="AS314" s="52"/>
      <c r="AT314" s="52"/>
      <c r="AU314" s="52"/>
      <c r="AV314" s="52"/>
      <c r="AW314" s="52"/>
      <c r="AX314" s="52"/>
      <c r="AY314" s="52"/>
      <c r="AZ314" s="52">
        <f t="shared" si="147"/>
        <v>60175438.151100002</v>
      </c>
      <c r="BA314" s="52">
        <v>60175438.151100002</v>
      </c>
      <c r="BB314" s="52"/>
      <c r="BC314" s="52"/>
      <c r="BD314" s="52"/>
      <c r="BE314" s="52"/>
      <c r="BF314" s="52"/>
      <c r="BG314" s="52"/>
      <c r="BH314" s="52"/>
      <c r="BI314" s="52"/>
      <c r="BJ314" s="52"/>
      <c r="BK314" s="52">
        <f t="shared" si="148"/>
        <v>93675781.405399993</v>
      </c>
      <c r="BL314" s="52">
        <v>93675781.405399993</v>
      </c>
      <c r="BM314" s="52"/>
      <c r="BN314" s="52"/>
      <c r="BO314" s="52"/>
      <c r="BP314" s="52"/>
      <c r="BQ314" s="52"/>
      <c r="BR314" s="52"/>
      <c r="BS314" s="52"/>
      <c r="BT314" s="52"/>
      <c r="BU314" s="53"/>
      <c r="BV314" s="54">
        <f t="shared" si="149"/>
        <v>244110661.25099999</v>
      </c>
      <c r="BW314" s="55"/>
    </row>
    <row r="315" spans="1:75" s="190" customFormat="1" ht="126" customHeight="1" x14ac:dyDescent="0.2">
      <c r="A315" s="23">
        <v>4</v>
      </c>
      <c r="B315" s="218" t="s">
        <v>6</v>
      </c>
      <c r="C315" s="114" t="s">
        <v>860</v>
      </c>
      <c r="D315" s="17" t="s">
        <v>4</v>
      </c>
      <c r="E315" s="88">
        <v>0.53720000000000001</v>
      </c>
      <c r="F315" s="6">
        <v>2019</v>
      </c>
      <c r="G315" s="17" t="s">
        <v>1310</v>
      </c>
      <c r="H315" s="82">
        <v>0.55000000000000004</v>
      </c>
      <c r="I315" s="6">
        <v>45</v>
      </c>
      <c r="J315" s="6" t="s">
        <v>1294</v>
      </c>
      <c r="K315" s="15">
        <v>16</v>
      </c>
      <c r="L315" s="6" t="s">
        <v>398</v>
      </c>
      <c r="M315" s="206">
        <v>42</v>
      </c>
      <c r="N315" s="206">
        <v>4502</v>
      </c>
      <c r="O315" s="207" t="s">
        <v>1640</v>
      </c>
      <c r="P315" s="6" t="s">
        <v>1321</v>
      </c>
      <c r="Q315" s="6" t="s">
        <v>77</v>
      </c>
      <c r="R315" s="6">
        <v>4502001</v>
      </c>
      <c r="S315" s="114" t="s">
        <v>146</v>
      </c>
      <c r="T315" s="6" t="s">
        <v>1322</v>
      </c>
      <c r="U315" s="6" t="s">
        <v>77</v>
      </c>
      <c r="V315" s="6">
        <v>450200100</v>
      </c>
      <c r="W315" s="85" t="s">
        <v>1323</v>
      </c>
      <c r="X315" s="83" t="s">
        <v>8</v>
      </c>
      <c r="Y315" s="6">
        <v>30</v>
      </c>
      <c r="Z315" s="6">
        <v>30</v>
      </c>
      <c r="AA315" s="6">
        <v>30</v>
      </c>
      <c r="AB315" s="6">
        <v>30</v>
      </c>
      <c r="AC315" s="6">
        <v>30</v>
      </c>
      <c r="AD315" s="50">
        <f t="shared" si="145"/>
        <v>250000000</v>
      </c>
      <c r="AE315" s="52">
        <f>200000000+50000000</f>
        <v>250000000</v>
      </c>
      <c r="AF315" s="52"/>
      <c r="AG315" s="52"/>
      <c r="AH315" s="52"/>
      <c r="AI315" s="52"/>
      <c r="AJ315" s="52"/>
      <c r="AK315" s="52"/>
      <c r="AL315" s="52"/>
      <c r="AM315" s="52"/>
      <c r="AN315" s="52"/>
      <c r="AO315" s="52">
        <f t="shared" si="146"/>
        <v>146762454.65000001</v>
      </c>
      <c r="AP315" s="52">
        <f>100000000+46762454.65</f>
        <v>146762454.65000001</v>
      </c>
      <c r="AQ315" s="52"/>
      <c r="AR315" s="52"/>
      <c r="AS315" s="52"/>
      <c r="AT315" s="52"/>
      <c r="AU315" s="52"/>
      <c r="AV315" s="52"/>
      <c r="AW315" s="52"/>
      <c r="AX315" s="52"/>
      <c r="AY315" s="52"/>
      <c r="AZ315" s="52">
        <f t="shared" si="147"/>
        <v>350386793.86000001</v>
      </c>
      <c r="BA315" s="52">
        <f>300000000+50386793.86</f>
        <v>350386793.86000001</v>
      </c>
      <c r="BB315" s="52"/>
      <c r="BC315" s="52"/>
      <c r="BD315" s="52"/>
      <c r="BE315" s="52"/>
      <c r="BF315" s="52"/>
      <c r="BG315" s="52"/>
      <c r="BH315" s="52"/>
      <c r="BI315" s="52"/>
      <c r="BJ315" s="52"/>
      <c r="BK315" s="52">
        <f t="shared" si="148"/>
        <v>650000000</v>
      </c>
      <c r="BL315" s="52">
        <f>550000000+100000000</f>
        <v>650000000</v>
      </c>
      <c r="BM315" s="52"/>
      <c r="BN315" s="52"/>
      <c r="BO315" s="52"/>
      <c r="BP315" s="52"/>
      <c r="BQ315" s="52"/>
      <c r="BR315" s="52"/>
      <c r="BS315" s="52"/>
      <c r="BT315" s="52"/>
      <c r="BU315" s="53"/>
      <c r="BV315" s="54">
        <f t="shared" si="149"/>
        <v>1397149248.51</v>
      </c>
      <c r="BW315" s="55"/>
    </row>
    <row r="316" spans="1:75" s="190" customFormat="1" ht="141.75" customHeight="1" x14ac:dyDescent="0.2">
      <c r="A316" s="23">
        <v>4</v>
      </c>
      <c r="B316" s="218" t="s">
        <v>6</v>
      </c>
      <c r="C316" s="17" t="s">
        <v>1324</v>
      </c>
      <c r="D316" s="17" t="s">
        <v>4</v>
      </c>
      <c r="E316" s="88">
        <v>0.53720000000000001</v>
      </c>
      <c r="F316" s="6">
        <v>2019</v>
      </c>
      <c r="G316" s="17" t="s">
        <v>1310</v>
      </c>
      <c r="H316" s="82">
        <v>0.55000000000000004</v>
      </c>
      <c r="I316" s="6">
        <v>45</v>
      </c>
      <c r="J316" s="6" t="s">
        <v>1294</v>
      </c>
      <c r="K316" s="15">
        <v>16</v>
      </c>
      <c r="L316" s="6" t="s">
        <v>398</v>
      </c>
      <c r="M316" s="206">
        <v>42</v>
      </c>
      <c r="N316" s="206">
        <v>4502</v>
      </c>
      <c r="O316" s="207" t="s">
        <v>1640</v>
      </c>
      <c r="P316" s="6" t="s">
        <v>1325</v>
      </c>
      <c r="Q316" s="6" t="s">
        <v>77</v>
      </c>
      <c r="R316" s="6">
        <v>4502001</v>
      </c>
      <c r="S316" s="17" t="s">
        <v>90</v>
      </c>
      <c r="T316" s="6" t="s">
        <v>1326</v>
      </c>
      <c r="U316" s="6" t="s">
        <v>77</v>
      </c>
      <c r="V316" s="6">
        <v>450200109</v>
      </c>
      <c r="W316" s="137" t="s">
        <v>1327</v>
      </c>
      <c r="X316" s="138" t="s">
        <v>8</v>
      </c>
      <c r="Y316" s="6">
        <v>12</v>
      </c>
      <c r="Z316" s="6">
        <v>12</v>
      </c>
      <c r="AA316" s="6">
        <v>12</v>
      </c>
      <c r="AB316" s="6">
        <v>12</v>
      </c>
      <c r="AC316" s="6">
        <v>12</v>
      </c>
      <c r="AD316" s="50">
        <f t="shared" si="145"/>
        <v>40000000</v>
      </c>
      <c r="AE316" s="52">
        <f>40000000+10000000-10000000</f>
        <v>40000000</v>
      </c>
      <c r="AF316" s="52"/>
      <c r="AG316" s="52"/>
      <c r="AH316" s="52"/>
      <c r="AI316" s="52"/>
      <c r="AJ316" s="52"/>
      <c r="AK316" s="52"/>
      <c r="AL316" s="52"/>
      <c r="AM316" s="52"/>
      <c r="AN316" s="52"/>
      <c r="AO316" s="52">
        <f t="shared" si="146"/>
        <v>35000000</v>
      </c>
      <c r="AP316" s="52">
        <f>25000000+10000000</f>
        <v>35000000</v>
      </c>
      <c r="AQ316" s="52"/>
      <c r="AR316" s="52"/>
      <c r="AS316" s="52"/>
      <c r="AT316" s="52"/>
      <c r="AU316" s="52"/>
      <c r="AV316" s="52"/>
      <c r="AW316" s="52"/>
      <c r="AX316" s="52"/>
      <c r="AY316" s="52"/>
      <c r="AZ316" s="52">
        <f t="shared" si="147"/>
        <v>50000000</v>
      </c>
      <c r="BA316" s="52">
        <f>30000000+20000000</f>
        <v>50000000</v>
      </c>
      <c r="BB316" s="52"/>
      <c r="BC316" s="52"/>
      <c r="BD316" s="52"/>
      <c r="BE316" s="52"/>
      <c r="BF316" s="52"/>
      <c r="BG316" s="52"/>
      <c r="BH316" s="52"/>
      <c r="BI316" s="52"/>
      <c r="BJ316" s="52"/>
      <c r="BK316" s="52">
        <f t="shared" si="148"/>
        <v>70000000</v>
      </c>
      <c r="BL316" s="52">
        <f>40000000+30000000</f>
        <v>70000000</v>
      </c>
      <c r="BM316" s="52"/>
      <c r="BN316" s="52"/>
      <c r="BO316" s="52"/>
      <c r="BP316" s="52"/>
      <c r="BQ316" s="52"/>
      <c r="BR316" s="52"/>
      <c r="BS316" s="52"/>
      <c r="BT316" s="52"/>
      <c r="BU316" s="53"/>
      <c r="BV316" s="54">
        <f t="shared" si="149"/>
        <v>195000000</v>
      </c>
      <c r="BW316" s="55"/>
    </row>
    <row r="317" spans="1:75" s="190" customFormat="1" ht="220.5" customHeight="1" x14ac:dyDescent="0.2">
      <c r="A317" s="23">
        <v>4</v>
      </c>
      <c r="B317" s="218" t="s">
        <v>6</v>
      </c>
      <c r="C317" s="17" t="s">
        <v>453</v>
      </c>
      <c r="D317" s="17" t="s">
        <v>81</v>
      </c>
      <c r="E317" s="16" t="s">
        <v>951</v>
      </c>
      <c r="F317" s="6">
        <v>2019</v>
      </c>
      <c r="G317" s="17" t="s">
        <v>1302</v>
      </c>
      <c r="H317" s="82">
        <v>1</v>
      </c>
      <c r="I317" s="6">
        <v>45</v>
      </c>
      <c r="J317" s="6" t="s">
        <v>1294</v>
      </c>
      <c r="K317" s="15">
        <v>18</v>
      </c>
      <c r="L317" s="6" t="s">
        <v>330</v>
      </c>
      <c r="M317" s="206">
        <v>41</v>
      </c>
      <c r="N317" s="206">
        <v>4502</v>
      </c>
      <c r="O317" s="207" t="s">
        <v>1640</v>
      </c>
      <c r="P317" s="14" t="s">
        <v>1295</v>
      </c>
      <c r="Q317" s="6">
        <v>4501024</v>
      </c>
      <c r="R317" s="6">
        <v>4502024</v>
      </c>
      <c r="S317" s="17" t="s">
        <v>82</v>
      </c>
      <c r="T317" s="14" t="s">
        <v>1303</v>
      </c>
      <c r="U317" s="6">
        <v>450102400</v>
      </c>
      <c r="V317" s="6" t="s">
        <v>1664</v>
      </c>
      <c r="W317" s="48" t="s">
        <v>1304</v>
      </c>
      <c r="X317" s="49" t="s">
        <v>8</v>
      </c>
      <c r="Y317" s="6">
        <v>10</v>
      </c>
      <c r="Z317" s="6">
        <v>10</v>
      </c>
      <c r="AA317" s="6">
        <v>10</v>
      </c>
      <c r="AB317" s="6">
        <v>10</v>
      </c>
      <c r="AC317" s="6">
        <v>10</v>
      </c>
      <c r="AD317" s="50">
        <f t="shared" si="145"/>
        <v>94000000</v>
      </c>
      <c r="AE317" s="52">
        <v>94000000</v>
      </c>
      <c r="AF317" s="52"/>
      <c r="AG317" s="52"/>
      <c r="AH317" s="52"/>
      <c r="AI317" s="52"/>
      <c r="AJ317" s="52"/>
      <c r="AK317" s="52"/>
      <c r="AL317" s="52"/>
      <c r="AM317" s="52"/>
      <c r="AN317" s="52"/>
      <c r="AO317" s="52">
        <f>AP317+AQ317+AR317+AS317+AT317+AU317+AV317+AW317+AX317+AY317</f>
        <v>48165852.25</v>
      </c>
      <c r="AP317" s="52">
        <v>48165852.25</v>
      </c>
      <c r="AQ317" s="52"/>
      <c r="AR317" s="52"/>
      <c r="AS317" s="52"/>
      <c r="AT317" s="52"/>
      <c r="AU317" s="52"/>
      <c r="AV317" s="52"/>
      <c r="AW317" s="52"/>
      <c r="AX317" s="52"/>
      <c r="AY317" s="52"/>
      <c r="AZ317" s="52">
        <f>BA317+BB317+BC317+BD317+BE317+BF317+BG317+BH317+BI317+BJ317</f>
        <v>50722416.810000002</v>
      </c>
      <c r="BA317" s="52">
        <v>50722416.810000002</v>
      </c>
      <c r="BB317" s="52"/>
      <c r="BC317" s="52"/>
      <c r="BD317" s="52"/>
      <c r="BE317" s="52"/>
      <c r="BF317" s="52"/>
      <c r="BG317" s="52"/>
      <c r="BH317" s="52"/>
      <c r="BI317" s="52"/>
      <c r="BJ317" s="52"/>
      <c r="BK317" s="52">
        <f>BL317+BM317+BN317+BO317+BP317+BQ317+BR317+BS317+BT317+BU317</f>
        <v>98131000</v>
      </c>
      <c r="BL317" s="52">
        <v>98131000</v>
      </c>
      <c r="BM317" s="52"/>
      <c r="BN317" s="52"/>
      <c r="BO317" s="52"/>
      <c r="BP317" s="52"/>
      <c r="BQ317" s="52"/>
      <c r="BR317" s="52"/>
      <c r="BS317" s="52"/>
      <c r="BT317" s="52"/>
      <c r="BU317" s="53"/>
      <c r="BV317" s="54">
        <f t="shared" si="149"/>
        <v>291019269.06</v>
      </c>
      <c r="BW317" s="55"/>
    </row>
    <row r="318" spans="1:75" s="190" customFormat="1" ht="110.25" customHeight="1" x14ac:dyDescent="0.2">
      <c r="A318" s="23">
        <v>4</v>
      </c>
      <c r="B318" s="218" t="s">
        <v>6</v>
      </c>
      <c r="C318" s="17" t="s">
        <v>1324</v>
      </c>
      <c r="D318" s="17" t="s">
        <v>4</v>
      </c>
      <c r="E318" s="88">
        <v>0.53720000000000001</v>
      </c>
      <c r="F318" s="6">
        <v>2019</v>
      </c>
      <c r="G318" s="17" t="s">
        <v>1310</v>
      </c>
      <c r="H318" s="82">
        <v>0.55000000000000004</v>
      </c>
      <c r="I318" s="6">
        <v>45</v>
      </c>
      <c r="J318" s="6" t="s">
        <v>1294</v>
      </c>
      <c r="K318" s="15">
        <v>16</v>
      </c>
      <c r="L318" s="6" t="s">
        <v>398</v>
      </c>
      <c r="M318" s="206">
        <v>42</v>
      </c>
      <c r="N318" s="206">
        <v>4502</v>
      </c>
      <c r="O318" s="207" t="s">
        <v>1640</v>
      </c>
      <c r="P318" s="6" t="s">
        <v>1328</v>
      </c>
      <c r="Q318" s="6" t="s">
        <v>77</v>
      </c>
      <c r="R318" s="6">
        <v>4502035</v>
      </c>
      <c r="S318" s="17" t="s">
        <v>91</v>
      </c>
      <c r="T318" s="6" t="s">
        <v>1329</v>
      </c>
      <c r="U318" s="6" t="s">
        <v>77</v>
      </c>
      <c r="V318" s="6">
        <v>450203501</v>
      </c>
      <c r="W318" s="48" t="s">
        <v>1330</v>
      </c>
      <c r="X318" s="6" t="s">
        <v>9</v>
      </c>
      <c r="Y318" s="6">
        <v>1</v>
      </c>
      <c r="Z318" s="6">
        <v>0.2</v>
      </c>
      <c r="AA318" s="6">
        <v>0.4</v>
      </c>
      <c r="AB318" s="6">
        <v>0.2</v>
      </c>
      <c r="AC318" s="6">
        <v>0.2</v>
      </c>
      <c r="AD318" s="50">
        <f t="shared" si="145"/>
        <v>10000000</v>
      </c>
      <c r="AE318" s="52">
        <v>10000000</v>
      </c>
      <c r="AF318" s="52"/>
      <c r="AG318" s="52"/>
      <c r="AH318" s="52"/>
      <c r="AI318" s="52"/>
      <c r="AJ318" s="52"/>
      <c r="AK318" s="52"/>
      <c r="AL318" s="52"/>
      <c r="AM318" s="52"/>
      <c r="AN318" s="52"/>
      <c r="AO318" s="52">
        <f t="shared" si="146"/>
        <v>25000000</v>
      </c>
      <c r="AP318" s="52">
        <v>25000000</v>
      </c>
      <c r="AQ318" s="52"/>
      <c r="AR318" s="52"/>
      <c r="AS318" s="52"/>
      <c r="AT318" s="52"/>
      <c r="AU318" s="52"/>
      <c r="AV318" s="52"/>
      <c r="AW318" s="52"/>
      <c r="AX318" s="52"/>
      <c r="AY318" s="52"/>
      <c r="AZ318" s="52">
        <f t="shared" si="147"/>
        <v>20000000</v>
      </c>
      <c r="BA318" s="52">
        <v>20000000</v>
      </c>
      <c r="BB318" s="52"/>
      <c r="BC318" s="52"/>
      <c r="BD318" s="52"/>
      <c r="BE318" s="52"/>
      <c r="BF318" s="52"/>
      <c r="BG318" s="52"/>
      <c r="BH318" s="52"/>
      <c r="BI318" s="52"/>
      <c r="BJ318" s="52"/>
      <c r="BK318" s="52">
        <f t="shared" si="148"/>
        <v>30000000</v>
      </c>
      <c r="BL318" s="52">
        <v>30000000</v>
      </c>
      <c r="BM318" s="52"/>
      <c r="BN318" s="52"/>
      <c r="BO318" s="52"/>
      <c r="BP318" s="52"/>
      <c r="BQ318" s="52"/>
      <c r="BR318" s="52"/>
      <c r="BS318" s="52"/>
      <c r="BT318" s="52"/>
      <c r="BU318" s="53"/>
      <c r="BV318" s="54">
        <f t="shared" si="149"/>
        <v>85000000</v>
      </c>
      <c r="BW318" s="55"/>
    </row>
    <row r="319" spans="1:75" s="190" customFormat="1" ht="78.75" customHeight="1" x14ac:dyDescent="0.2">
      <c r="A319" s="23">
        <v>4</v>
      </c>
      <c r="B319" s="218" t="s">
        <v>6</v>
      </c>
      <c r="C319" s="56" t="s">
        <v>1540</v>
      </c>
      <c r="D319" s="17" t="s">
        <v>4</v>
      </c>
      <c r="E319" s="88">
        <v>0.53720000000000001</v>
      </c>
      <c r="F319" s="6">
        <v>2019</v>
      </c>
      <c r="G319" s="17" t="s">
        <v>1310</v>
      </c>
      <c r="H319" s="82">
        <v>0.55000000000000004</v>
      </c>
      <c r="I319" s="6">
        <v>45</v>
      </c>
      <c r="J319" s="6" t="s">
        <v>1294</v>
      </c>
      <c r="K319" s="15">
        <v>16</v>
      </c>
      <c r="L319" s="6" t="s">
        <v>398</v>
      </c>
      <c r="M319" s="206">
        <v>42</v>
      </c>
      <c r="N319" s="209">
        <v>4502</v>
      </c>
      <c r="O319" s="207" t="s">
        <v>1640</v>
      </c>
      <c r="P319" s="83" t="s">
        <v>1541</v>
      </c>
      <c r="Q319" s="14">
        <v>4502003</v>
      </c>
      <c r="R319" s="14">
        <v>4502003</v>
      </c>
      <c r="S319" s="56" t="s">
        <v>60</v>
      </c>
      <c r="T319" s="83" t="s">
        <v>1542</v>
      </c>
      <c r="U319" s="14">
        <v>450200300</v>
      </c>
      <c r="V319" s="14">
        <v>450200300</v>
      </c>
      <c r="W319" s="57" t="s">
        <v>60</v>
      </c>
      <c r="X319" s="14" t="s">
        <v>9</v>
      </c>
      <c r="Y319" s="83">
        <v>8</v>
      </c>
      <c r="Z319" s="6">
        <v>2</v>
      </c>
      <c r="AA319" s="6">
        <v>2</v>
      </c>
      <c r="AB319" s="6">
        <v>2</v>
      </c>
      <c r="AC319" s="6">
        <v>2</v>
      </c>
      <c r="AD319" s="50">
        <f t="shared" si="145"/>
        <v>24027729.16</v>
      </c>
      <c r="AE319" s="52">
        <f>12013864.58+12013864.58</f>
        <v>24027729.16</v>
      </c>
      <c r="AF319" s="52"/>
      <c r="AG319" s="52"/>
      <c r="AH319" s="52"/>
      <c r="AI319" s="52"/>
      <c r="AJ319" s="52"/>
      <c r="AK319" s="52"/>
      <c r="AL319" s="52"/>
      <c r="AM319" s="52"/>
      <c r="AN319" s="52"/>
      <c r="AO319" s="52">
        <f t="shared" si="146"/>
        <v>38000000</v>
      </c>
      <c r="AP319" s="52">
        <f>14250000+23750000</f>
        <v>38000000</v>
      </c>
      <c r="AQ319" s="52"/>
      <c r="AR319" s="52"/>
      <c r="AS319" s="52"/>
      <c r="AT319" s="52"/>
      <c r="AU319" s="52"/>
      <c r="AV319" s="52"/>
      <c r="AW319" s="52"/>
      <c r="AX319" s="52"/>
      <c r="AY319" s="52"/>
      <c r="AZ319" s="52">
        <f t="shared" si="147"/>
        <v>38604000</v>
      </c>
      <c r="BA319" s="52">
        <f>24127500+14476500</f>
        <v>38604000</v>
      </c>
      <c r="BB319" s="52"/>
      <c r="BC319" s="52"/>
      <c r="BD319" s="52"/>
      <c r="BE319" s="52"/>
      <c r="BF319" s="52"/>
      <c r="BG319" s="52"/>
      <c r="BH319" s="52"/>
      <c r="BI319" s="52"/>
      <c r="BJ319" s="52"/>
      <c r="BK319" s="52">
        <f t="shared" si="148"/>
        <v>19466000</v>
      </c>
      <c r="BL319" s="52">
        <v>19466000</v>
      </c>
      <c r="BM319" s="52"/>
      <c r="BN319" s="52"/>
      <c r="BO319" s="52"/>
      <c r="BP319" s="52"/>
      <c r="BQ319" s="52"/>
      <c r="BR319" s="52"/>
      <c r="BS319" s="52"/>
      <c r="BT319" s="52"/>
      <c r="BU319" s="53"/>
      <c r="BV319" s="54">
        <f t="shared" si="149"/>
        <v>120097729.16</v>
      </c>
      <c r="BW319" s="55"/>
    </row>
    <row r="320" spans="1:75" s="190" customFormat="1" ht="126" customHeight="1" x14ac:dyDescent="0.2">
      <c r="A320" s="23">
        <v>4</v>
      </c>
      <c r="B320" s="218" t="s">
        <v>6</v>
      </c>
      <c r="C320" s="114" t="s">
        <v>860</v>
      </c>
      <c r="D320" s="17" t="s">
        <v>4</v>
      </c>
      <c r="E320" s="139">
        <v>0.53720000000000001</v>
      </c>
      <c r="F320" s="6">
        <v>2019</v>
      </c>
      <c r="G320" s="17" t="s">
        <v>1310</v>
      </c>
      <c r="H320" s="82">
        <v>0.55000000000000004</v>
      </c>
      <c r="I320" s="6">
        <v>45</v>
      </c>
      <c r="J320" s="6" t="s">
        <v>1294</v>
      </c>
      <c r="K320" s="83">
        <v>16</v>
      </c>
      <c r="L320" s="6" t="s">
        <v>398</v>
      </c>
      <c r="M320" s="210">
        <v>42</v>
      </c>
      <c r="N320" s="206">
        <v>4502</v>
      </c>
      <c r="O320" s="207" t="s">
        <v>1640</v>
      </c>
      <c r="P320" s="83" t="s">
        <v>1543</v>
      </c>
      <c r="Q320" s="83">
        <v>4502001</v>
      </c>
      <c r="R320" s="83">
        <v>4502001</v>
      </c>
      <c r="S320" s="17" t="s">
        <v>88</v>
      </c>
      <c r="T320" s="83" t="s">
        <v>1565</v>
      </c>
      <c r="U320" s="83">
        <v>450200100</v>
      </c>
      <c r="V320" s="83">
        <v>450200100</v>
      </c>
      <c r="W320" s="48" t="s">
        <v>1566</v>
      </c>
      <c r="X320" s="6" t="s">
        <v>8</v>
      </c>
      <c r="Y320" s="83">
        <v>3</v>
      </c>
      <c r="Z320" s="6">
        <v>3</v>
      </c>
      <c r="AA320" s="6">
        <v>3</v>
      </c>
      <c r="AB320" s="6">
        <v>3</v>
      </c>
      <c r="AC320" s="6">
        <v>3</v>
      </c>
      <c r="AD320" s="50">
        <f t="shared" si="145"/>
        <v>257796636</v>
      </c>
      <c r="AE320" s="140">
        <v>257796636</v>
      </c>
      <c r="AF320" s="52"/>
      <c r="AG320" s="52"/>
      <c r="AH320" s="52"/>
      <c r="AI320" s="52"/>
      <c r="AJ320" s="52"/>
      <c r="AK320" s="52"/>
      <c r="AL320" s="52"/>
      <c r="AM320" s="52"/>
      <c r="AN320" s="140"/>
      <c r="AO320" s="52">
        <f t="shared" si="146"/>
        <v>129999999.99776001</v>
      </c>
      <c r="AP320" s="140">
        <f>6245295.25+22851956+902.41776-12000000+100000000+30000000-17098153.67</f>
        <v>129999999.99776001</v>
      </c>
      <c r="AQ320" s="52"/>
      <c r="AR320" s="52"/>
      <c r="AS320" s="52"/>
      <c r="AT320" s="52"/>
      <c r="AU320" s="52"/>
      <c r="AV320" s="52"/>
      <c r="AW320" s="52"/>
      <c r="AX320" s="52"/>
      <c r="AY320" s="140"/>
      <c r="AZ320" s="52">
        <f t="shared" si="147"/>
        <v>436933533.39999992</v>
      </c>
      <c r="BA320" s="140">
        <f>15831378.8+20000000+869088+516933533.4-80000000-36700466.8</f>
        <v>436933533.39999992</v>
      </c>
      <c r="BB320" s="52"/>
      <c r="BC320" s="52"/>
      <c r="BD320" s="52"/>
      <c r="BE320" s="52"/>
      <c r="BF320" s="52"/>
      <c r="BG320" s="52"/>
      <c r="BH320" s="52"/>
      <c r="BI320" s="52"/>
      <c r="BJ320" s="140"/>
      <c r="BK320" s="52">
        <f t="shared" si="148"/>
        <v>434247000</v>
      </c>
      <c r="BL320" s="140">
        <f>433118500-115000000-156201500+504247000-70000000-161917000</f>
        <v>434247000</v>
      </c>
      <c r="BM320" s="52"/>
      <c r="BN320" s="52"/>
      <c r="BO320" s="52"/>
      <c r="BP320" s="52"/>
      <c r="BQ320" s="52"/>
      <c r="BR320" s="52"/>
      <c r="BS320" s="108"/>
      <c r="BT320" s="108"/>
      <c r="BU320" s="141"/>
      <c r="BV320" s="54">
        <f t="shared" si="149"/>
        <v>1258977169.3977599</v>
      </c>
      <c r="BW320" s="77"/>
    </row>
    <row r="321" spans="1:75" s="190" customFormat="1" ht="173.25" customHeight="1" x14ac:dyDescent="0.2">
      <c r="A321" s="23">
        <v>4</v>
      </c>
      <c r="B321" s="218" t="s">
        <v>6</v>
      </c>
      <c r="C321" s="105" t="s">
        <v>860</v>
      </c>
      <c r="D321" s="105" t="s">
        <v>219</v>
      </c>
      <c r="E321" s="88">
        <v>0.19600000000000001</v>
      </c>
      <c r="F321" s="6">
        <v>2019</v>
      </c>
      <c r="G321" s="16" t="s">
        <v>1293</v>
      </c>
      <c r="H321" s="81">
        <v>21</v>
      </c>
      <c r="I321" s="6">
        <v>45</v>
      </c>
      <c r="J321" s="6" t="s">
        <v>1294</v>
      </c>
      <c r="K321" s="15">
        <v>16</v>
      </c>
      <c r="L321" s="6" t="s">
        <v>398</v>
      </c>
      <c r="M321" s="206">
        <v>42</v>
      </c>
      <c r="N321" s="209">
        <v>4502</v>
      </c>
      <c r="O321" s="207" t="s">
        <v>1640</v>
      </c>
      <c r="P321" s="83" t="s">
        <v>1543</v>
      </c>
      <c r="Q321" s="14" t="s">
        <v>1544</v>
      </c>
      <c r="R321" s="14" t="s">
        <v>1544</v>
      </c>
      <c r="S321" s="17" t="s">
        <v>88</v>
      </c>
      <c r="T321" s="83" t="s">
        <v>1545</v>
      </c>
      <c r="U321" s="105" t="s">
        <v>77</v>
      </c>
      <c r="V321" s="14">
        <v>450200108</v>
      </c>
      <c r="W321" s="48" t="s">
        <v>1546</v>
      </c>
      <c r="X321" s="6" t="s">
        <v>9</v>
      </c>
      <c r="Y321" s="142">
        <v>4</v>
      </c>
      <c r="Z321" s="6">
        <v>1</v>
      </c>
      <c r="AA321" s="6">
        <v>1</v>
      </c>
      <c r="AB321" s="6">
        <v>1</v>
      </c>
      <c r="AC321" s="6">
        <v>1</v>
      </c>
      <c r="AD321" s="50">
        <f t="shared" si="145"/>
        <v>15000000</v>
      </c>
      <c r="AE321" s="107">
        <v>15000000</v>
      </c>
      <c r="AF321" s="140"/>
      <c r="AG321" s="140"/>
      <c r="AH321" s="140"/>
      <c r="AI321" s="140"/>
      <c r="AJ321" s="140"/>
      <c r="AK321" s="140"/>
      <c r="AL321" s="140"/>
      <c r="AM321" s="140"/>
      <c r="AN321" s="140"/>
      <c r="AO321" s="52">
        <f t="shared" si="146"/>
        <v>17098153.670000002</v>
      </c>
      <c r="AP321" s="107">
        <v>17098153.670000002</v>
      </c>
      <c r="AQ321" s="140"/>
      <c r="AR321" s="140"/>
      <c r="AS321" s="140"/>
      <c r="AT321" s="140"/>
      <c r="AU321" s="140"/>
      <c r="AV321" s="140"/>
      <c r="AW321" s="140"/>
      <c r="AX321" s="140"/>
      <c r="AY321" s="140"/>
      <c r="AZ321" s="52">
        <f t="shared" si="147"/>
        <v>36700466.799999997</v>
      </c>
      <c r="BA321" s="107">
        <v>36700466.799999997</v>
      </c>
      <c r="BB321" s="140"/>
      <c r="BC321" s="140"/>
      <c r="BD321" s="140"/>
      <c r="BE321" s="140"/>
      <c r="BF321" s="140"/>
      <c r="BG321" s="140"/>
      <c r="BH321" s="140"/>
      <c r="BI321" s="140"/>
      <c r="BJ321" s="140"/>
      <c r="BK321" s="52">
        <f t="shared" si="148"/>
        <v>161917000</v>
      </c>
      <c r="BL321" s="107">
        <v>161917000</v>
      </c>
      <c r="BM321" s="140"/>
      <c r="BN321" s="140"/>
      <c r="BO321" s="140"/>
      <c r="BP321" s="140"/>
      <c r="BQ321" s="140"/>
      <c r="BR321" s="140"/>
      <c r="BS321" s="140"/>
      <c r="BT321" s="140"/>
      <c r="BU321" s="143"/>
      <c r="BV321" s="54">
        <f t="shared" si="149"/>
        <v>230715620.47</v>
      </c>
      <c r="BW321" s="77"/>
    </row>
    <row r="322" spans="1:75" s="190" customFormat="1" ht="157.5" customHeight="1" x14ac:dyDescent="0.2">
      <c r="A322" s="23">
        <v>4</v>
      </c>
      <c r="B322" s="218" t="s">
        <v>6</v>
      </c>
      <c r="C322" s="17" t="s">
        <v>212</v>
      </c>
      <c r="D322" s="17" t="s">
        <v>206</v>
      </c>
      <c r="E322" s="16" t="s">
        <v>1241</v>
      </c>
      <c r="F322" s="6" t="s">
        <v>1242</v>
      </c>
      <c r="G322" s="17" t="s">
        <v>1243</v>
      </c>
      <c r="H322" s="16" t="s">
        <v>1244</v>
      </c>
      <c r="I322" s="6">
        <v>45</v>
      </c>
      <c r="J322" s="6" t="s">
        <v>1294</v>
      </c>
      <c r="K322" s="15">
        <v>14</v>
      </c>
      <c r="L322" s="6" t="s">
        <v>1084</v>
      </c>
      <c r="M322" s="206">
        <v>38</v>
      </c>
      <c r="N322" s="209">
        <v>4502</v>
      </c>
      <c r="O322" s="207" t="s">
        <v>1640</v>
      </c>
      <c r="P322" s="14" t="s">
        <v>1245</v>
      </c>
      <c r="Q322" s="6" t="s">
        <v>77</v>
      </c>
      <c r="R322" s="6">
        <v>4502038</v>
      </c>
      <c r="S322" s="17" t="s">
        <v>1669</v>
      </c>
      <c r="T322" s="14" t="s">
        <v>1246</v>
      </c>
      <c r="U322" s="6" t="s">
        <v>77</v>
      </c>
      <c r="V322" s="6">
        <v>450203800</v>
      </c>
      <c r="W322" s="48" t="s">
        <v>1670</v>
      </c>
      <c r="X322" s="49" t="s">
        <v>8</v>
      </c>
      <c r="Y322" s="6">
        <v>1</v>
      </c>
      <c r="Z322" s="6">
        <v>1</v>
      </c>
      <c r="AA322" s="6">
        <v>1</v>
      </c>
      <c r="AB322" s="6">
        <v>1</v>
      </c>
      <c r="AC322" s="6">
        <v>1</v>
      </c>
      <c r="AD322" s="50">
        <f t="shared" si="145"/>
        <v>170000000</v>
      </c>
      <c r="AE322" s="52">
        <v>170000000</v>
      </c>
      <c r="AF322" s="52"/>
      <c r="AG322" s="52"/>
      <c r="AH322" s="52"/>
      <c r="AI322" s="52"/>
      <c r="AJ322" s="52"/>
      <c r="AK322" s="52"/>
      <c r="AL322" s="52"/>
      <c r="AM322" s="52"/>
      <c r="AN322" s="52"/>
      <c r="AO322" s="52">
        <f>AP322+AQ322+AR322+AS322+AT322+AU322+AV322+AW322+AX322+AY322</f>
        <v>95000000</v>
      </c>
      <c r="AP322" s="52">
        <v>95000000</v>
      </c>
      <c r="AQ322" s="52"/>
      <c r="AR322" s="52"/>
      <c r="AS322" s="52"/>
      <c r="AT322" s="52"/>
      <c r="AU322" s="52"/>
      <c r="AV322" s="52"/>
      <c r="AW322" s="52"/>
      <c r="AX322" s="52"/>
      <c r="AY322" s="52"/>
      <c r="AZ322" s="52">
        <f>BA322+BB322+BC322+BD322+BE322+BF322+BG322+BH322+BI322+BJ322</f>
        <v>195000000</v>
      </c>
      <c r="BA322" s="52">
        <v>195000000</v>
      </c>
      <c r="BB322" s="52"/>
      <c r="BC322" s="52"/>
      <c r="BD322" s="52"/>
      <c r="BE322" s="52"/>
      <c r="BF322" s="52"/>
      <c r="BG322" s="52"/>
      <c r="BH322" s="52"/>
      <c r="BI322" s="52"/>
      <c r="BJ322" s="52"/>
      <c r="BK322" s="52">
        <f>BL322+BM322+BN322+BO322+BP322+BQ322+BR322+BS322+BT322+BU322</f>
        <v>215000000</v>
      </c>
      <c r="BL322" s="52">
        <v>215000000</v>
      </c>
      <c r="BM322" s="52"/>
      <c r="BN322" s="52"/>
      <c r="BO322" s="52"/>
      <c r="BP322" s="52"/>
      <c r="BQ322" s="52"/>
      <c r="BR322" s="52"/>
      <c r="BS322" s="52"/>
      <c r="BT322" s="52"/>
      <c r="BU322" s="53"/>
      <c r="BV322" s="54">
        <f t="shared" si="149"/>
        <v>675000000</v>
      </c>
      <c r="BW322" s="77"/>
    </row>
    <row r="323" spans="1:75" s="190" customFormat="1" ht="157.5" customHeight="1" x14ac:dyDescent="0.2">
      <c r="A323" s="23">
        <v>4</v>
      </c>
      <c r="B323" s="218" t="s">
        <v>6</v>
      </c>
      <c r="C323" s="17" t="s">
        <v>212</v>
      </c>
      <c r="D323" s="17" t="s">
        <v>206</v>
      </c>
      <c r="E323" s="16" t="s">
        <v>1241</v>
      </c>
      <c r="F323" s="6" t="s">
        <v>1242</v>
      </c>
      <c r="G323" s="17" t="s">
        <v>1243</v>
      </c>
      <c r="H323" s="16" t="s">
        <v>1244</v>
      </c>
      <c r="I323" s="6">
        <v>45</v>
      </c>
      <c r="J323" s="6" t="s">
        <v>1294</v>
      </c>
      <c r="K323" s="15">
        <v>14</v>
      </c>
      <c r="L323" s="6" t="s">
        <v>1084</v>
      </c>
      <c r="M323" s="206">
        <v>38</v>
      </c>
      <c r="N323" s="209">
        <v>4502</v>
      </c>
      <c r="O323" s="207" t="s">
        <v>1640</v>
      </c>
      <c r="P323" s="14" t="s">
        <v>1245</v>
      </c>
      <c r="Q323" s="6" t="s">
        <v>77</v>
      </c>
      <c r="R323" s="6">
        <v>4502038</v>
      </c>
      <c r="S323" s="17" t="s">
        <v>1671</v>
      </c>
      <c r="T323" s="14" t="s">
        <v>1252</v>
      </c>
      <c r="U323" s="6" t="s">
        <v>77</v>
      </c>
      <c r="V323" s="6">
        <v>450203800</v>
      </c>
      <c r="W323" s="48" t="s">
        <v>1672</v>
      </c>
      <c r="X323" s="49" t="s">
        <v>8</v>
      </c>
      <c r="Y323" s="6">
        <v>1</v>
      </c>
      <c r="Z323" s="6">
        <v>1</v>
      </c>
      <c r="AA323" s="6">
        <v>1</v>
      </c>
      <c r="AB323" s="6">
        <v>1</v>
      </c>
      <c r="AC323" s="6">
        <v>1</v>
      </c>
      <c r="AD323" s="50">
        <f t="shared" si="145"/>
        <v>140000000</v>
      </c>
      <c r="AE323" s="52">
        <v>140000000</v>
      </c>
      <c r="AF323" s="52"/>
      <c r="AG323" s="52"/>
      <c r="AH323" s="52"/>
      <c r="AI323" s="52"/>
      <c r="AJ323" s="52"/>
      <c r="AK323" s="52"/>
      <c r="AL323" s="52"/>
      <c r="AM323" s="52"/>
      <c r="AN323" s="52"/>
      <c r="AO323" s="52">
        <f>AP323+AQ323+AR323+AS323+AT323+AU323+AV323+AW323+AX323+AY323</f>
        <v>77000000</v>
      </c>
      <c r="AP323" s="52">
        <v>77000000</v>
      </c>
      <c r="AQ323" s="52"/>
      <c r="AR323" s="52"/>
      <c r="AS323" s="52"/>
      <c r="AT323" s="52"/>
      <c r="AU323" s="52"/>
      <c r="AV323" s="52"/>
      <c r="AW323" s="52"/>
      <c r="AX323" s="52"/>
      <c r="AY323" s="52"/>
      <c r="AZ323" s="52">
        <f>BA323+BB323+BC323+BD323+BE323+BF323+BG323+BH323+BI323+BJ323</f>
        <v>157000000</v>
      </c>
      <c r="BA323" s="52">
        <f>157000000</f>
        <v>157000000</v>
      </c>
      <c r="BB323" s="52"/>
      <c r="BC323" s="52"/>
      <c r="BD323" s="52"/>
      <c r="BE323" s="52"/>
      <c r="BF323" s="52"/>
      <c r="BG323" s="52"/>
      <c r="BH323" s="52"/>
      <c r="BI323" s="52"/>
      <c r="BJ323" s="52"/>
      <c r="BK323" s="52">
        <f>BL323+BM323+BN323+BO323+BP323+BQ323+BR323+BS323+BT323+BU323</f>
        <v>195256200</v>
      </c>
      <c r="BL323" s="52">
        <f>195256200</f>
        <v>195256200</v>
      </c>
      <c r="BM323" s="52"/>
      <c r="BN323" s="52"/>
      <c r="BO323" s="52"/>
      <c r="BP323" s="52"/>
      <c r="BQ323" s="52"/>
      <c r="BR323" s="52"/>
      <c r="BS323" s="52"/>
      <c r="BT323" s="52"/>
      <c r="BU323" s="53"/>
      <c r="BV323" s="54">
        <f t="shared" si="149"/>
        <v>569256200</v>
      </c>
      <c r="BW323" s="77"/>
    </row>
    <row r="324" spans="1:75" s="190" customFormat="1" ht="94.5" customHeight="1" x14ac:dyDescent="0.2">
      <c r="A324" s="23">
        <v>4</v>
      </c>
      <c r="B324" s="218" t="s">
        <v>6</v>
      </c>
      <c r="C324" s="17" t="s">
        <v>212</v>
      </c>
      <c r="D324" s="17" t="s">
        <v>1292</v>
      </c>
      <c r="E324" s="88">
        <v>0.19600000000000001</v>
      </c>
      <c r="F324" s="6">
        <v>2019</v>
      </c>
      <c r="G324" s="17" t="s">
        <v>1293</v>
      </c>
      <c r="H324" s="115">
        <v>0.21</v>
      </c>
      <c r="I324" s="6">
        <v>45</v>
      </c>
      <c r="J324" s="6" t="s">
        <v>1294</v>
      </c>
      <c r="K324" s="15">
        <v>16</v>
      </c>
      <c r="L324" s="6" t="s">
        <v>398</v>
      </c>
      <c r="M324" s="206">
        <v>41</v>
      </c>
      <c r="N324" s="209">
        <v>4502</v>
      </c>
      <c r="O324" s="207" t="s">
        <v>1640</v>
      </c>
      <c r="P324" s="14" t="s">
        <v>1295</v>
      </c>
      <c r="Q324" s="14">
        <v>4501024</v>
      </c>
      <c r="R324" s="14">
        <v>4502024</v>
      </c>
      <c r="S324" s="17" t="s">
        <v>82</v>
      </c>
      <c r="T324" s="14" t="s">
        <v>1296</v>
      </c>
      <c r="U324" s="14" t="s">
        <v>77</v>
      </c>
      <c r="V324" s="14">
        <v>450202401</v>
      </c>
      <c r="W324" s="48" t="s">
        <v>1297</v>
      </c>
      <c r="X324" s="49" t="s">
        <v>8</v>
      </c>
      <c r="Y324" s="6">
        <v>1</v>
      </c>
      <c r="Z324" s="6">
        <v>1</v>
      </c>
      <c r="AA324" s="6">
        <v>1</v>
      </c>
      <c r="AB324" s="6">
        <v>1</v>
      </c>
      <c r="AC324" s="6">
        <v>1</v>
      </c>
      <c r="AD324" s="50">
        <f t="shared" si="145"/>
        <v>40000000</v>
      </c>
      <c r="AE324" s="52">
        <v>40000000</v>
      </c>
      <c r="AF324" s="52"/>
      <c r="AG324" s="52"/>
      <c r="AH324" s="52"/>
      <c r="AI324" s="52"/>
      <c r="AJ324" s="52"/>
      <c r="AK324" s="52"/>
      <c r="AL324" s="52"/>
      <c r="AM324" s="52"/>
      <c r="AN324" s="52"/>
      <c r="AO324" s="52">
        <f>AP324+AQ324+AR324+AS324+AT324+AU324+AV324+AW324+AX324+AY324</f>
        <v>33000000</v>
      </c>
      <c r="AP324" s="52">
        <v>33000000</v>
      </c>
      <c r="AQ324" s="52"/>
      <c r="AR324" s="52"/>
      <c r="AS324" s="52"/>
      <c r="AT324" s="52"/>
      <c r="AU324" s="52"/>
      <c r="AV324" s="52"/>
      <c r="AW324" s="52"/>
      <c r="AX324" s="52"/>
      <c r="AY324" s="52"/>
      <c r="AZ324" s="52">
        <f>BA324+BB324+BC324+BD324+BE324+BF324+BG324+BH324+BI324+BJ324</f>
        <v>3548000000</v>
      </c>
      <c r="BA324" s="52">
        <v>48000000</v>
      </c>
      <c r="BB324" s="52"/>
      <c r="BC324" s="52"/>
      <c r="BD324" s="52"/>
      <c r="BE324" s="52"/>
      <c r="BF324" s="52"/>
      <c r="BG324" s="52">
        <v>3500000000</v>
      </c>
      <c r="BH324" s="52"/>
      <c r="BI324" s="52"/>
      <c r="BJ324" s="52"/>
      <c r="BK324" s="52">
        <f>BL324+BM324+BN324+BO324+BP324+BQ324+BR324+BS324+BT324+BU324</f>
        <v>230000000</v>
      </c>
      <c r="BL324" s="52">
        <v>230000000</v>
      </c>
      <c r="BM324" s="52"/>
      <c r="BN324" s="52"/>
      <c r="BO324" s="52"/>
      <c r="BP324" s="52"/>
      <c r="BQ324" s="52"/>
      <c r="BR324" s="52"/>
      <c r="BS324" s="52"/>
      <c r="BT324" s="52"/>
      <c r="BU324" s="53"/>
      <c r="BV324" s="54">
        <f t="shared" si="149"/>
        <v>3851000000</v>
      </c>
      <c r="BW324" s="77"/>
    </row>
    <row r="325" spans="1:75" s="190" customFormat="1" ht="94.5" customHeight="1" x14ac:dyDescent="0.2">
      <c r="A325" s="23">
        <v>4</v>
      </c>
      <c r="B325" s="218" t="s">
        <v>6</v>
      </c>
      <c r="C325" s="17" t="s">
        <v>212</v>
      </c>
      <c r="D325" s="144" t="s">
        <v>1298</v>
      </c>
      <c r="E325" s="16">
        <v>81.5</v>
      </c>
      <c r="F325" s="6">
        <v>2018</v>
      </c>
      <c r="G325" s="17" t="s">
        <v>1299</v>
      </c>
      <c r="H325" s="16">
        <v>71.12</v>
      </c>
      <c r="I325" s="6">
        <v>45</v>
      </c>
      <c r="J325" s="6" t="s">
        <v>1294</v>
      </c>
      <c r="K325" s="15">
        <v>16</v>
      </c>
      <c r="L325" s="6" t="s">
        <v>398</v>
      </c>
      <c r="M325" s="206">
        <v>41</v>
      </c>
      <c r="N325" s="209">
        <v>4502</v>
      </c>
      <c r="O325" s="207" t="s">
        <v>1640</v>
      </c>
      <c r="P325" s="14" t="s">
        <v>1295</v>
      </c>
      <c r="Q325" s="14">
        <v>4501024</v>
      </c>
      <c r="R325" s="14">
        <v>4502024</v>
      </c>
      <c r="S325" s="17" t="s">
        <v>82</v>
      </c>
      <c r="T325" s="14" t="s">
        <v>1300</v>
      </c>
      <c r="U325" s="14" t="s">
        <v>77</v>
      </c>
      <c r="V325" s="14">
        <v>450202401</v>
      </c>
      <c r="W325" s="57" t="s">
        <v>1301</v>
      </c>
      <c r="X325" s="49" t="s">
        <v>8</v>
      </c>
      <c r="Y325" s="6">
        <v>1</v>
      </c>
      <c r="Z325" s="6">
        <v>1</v>
      </c>
      <c r="AA325" s="6">
        <v>1</v>
      </c>
      <c r="AB325" s="6">
        <v>1</v>
      </c>
      <c r="AC325" s="6">
        <v>1</v>
      </c>
      <c r="AD325" s="50">
        <f t="shared" si="145"/>
        <v>40000000</v>
      </c>
      <c r="AE325" s="52">
        <v>40000000</v>
      </c>
      <c r="AF325" s="52"/>
      <c r="AG325" s="52"/>
      <c r="AH325" s="52"/>
      <c r="AI325" s="52"/>
      <c r="AJ325" s="52"/>
      <c r="AK325" s="52"/>
      <c r="AL325" s="52"/>
      <c r="AM325" s="52"/>
      <c r="AN325" s="52"/>
      <c r="AO325" s="52">
        <f>AP325+AQ325+AR325+AS325+AT325+AU325+AV325+AW325+AX325+AY325</f>
        <v>33500000</v>
      </c>
      <c r="AP325" s="52">
        <v>33500000</v>
      </c>
      <c r="AQ325" s="52"/>
      <c r="AR325" s="52"/>
      <c r="AS325" s="52"/>
      <c r="AT325" s="52"/>
      <c r="AU325" s="52"/>
      <c r="AV325" s="52"/>
      <c r="AW325" s="52"/>
      <c r="AX325" s="52"/>
      <c r="AY325" s="52"/>
      <c r="AZ325" s="52">
        <f>BA325+BB325+BC325+BD325+BE325+BF325+BG325+BH325+BI325+BJ325</f>
        <v>3582288500</v>
      </c>
      <c r="BA325" s="52">
        <v>82288500</v>
      </c>
      <c r="BB325" s="52"/>
      <c r="BC325" s="52"/>
      <c r="BD325" s="52"/>
      <c r="BE325" s="52"/>
      <c r="BF325" s="52"/>
      <c r="BG325" s="52">
        <v>3500000000</v>
      </c>
      <c r="BH325" s="52"/>
      <c r="BI325" s="52"/>
      <c r="BJ325" s="52"/>
      <c r="BK325" s="52">
        <f>BL325+BM325+BN325+BO325+BP325+BQ325+BR325+BS325+BT325+BU325</f>
        <v>215000000</v>
      </c>
      <c r="BL325" s="52">
        <v>215000000</v>
      </c>
      <c r="BM325" s="52"/>
      <c r="BN325" s="52"/>
      <c r="BO325" s="52"/>
      <c r="BP325" s="52"/>
      <c r="BQ325" s="52"/>
      <c r="BR325" s="52"/>
      <c r="BS325" s="52"/>
      <c r="BT325" s="52"/>
      <c r="BU325" s="53"/>
      <c r="BV325" s="54">
        <f t="shared" si="149"/>
        <v>3870788500</v>
      </c>
      <c r="BW325" s="77"/>
    </row>
    <row r="326" spans="1:75" s="190" customFormat="1" ht="78.75" customHeight="1" x14ac:dyDescent="0.2">
      <c r="A326" s="23">
        <v>4</v>
      </c>
      <c r="B326" s="218" t="s">
        <v>6</v>
      </c>
      <c r="C326" s="114" t="s">
        <v>860</v>
      </c>
      <c r="D326" s="17" t="s">
        <v>4</v>
      </c>
      <c r="E326" s="88">
        <v>0.53720000000000001</v>
      </c>
      <c r="F326" s="6">
        <v>2019</v>
      </c>
      <c r="G326" s="16" t="s">
        <v>1310</v>
      </c>
      <c r="H326" s="16"/>
      <c r="I326" s="6">
        <v>45</v>
      </c>
      <c r="J326" s="6" t="s">
        <v>1294</v>
      </c>
      <c r="K326" s="15">
        <v>16</v>
      </c>
      <c r="L326" s="6" t="s">
        <v>398</v>
      </c>
      <c r="M326" s="208">
        <v>42</v>
      </c>
      <c r="N326" s="206">
        <v>4502</v>
      </c>
      <c r="O326" s="207" t="s">
        <v>1640</v>
      </c>
      <c r="P326" s="6" t="s">
        <v>1562</v>
      </c>
      <c r="Q326" s="6" t="s">
        <v>77</v>
      </c>
      <c r="R326" s="6">
        <v>4502001</v>
      </c>
      <c r="S326" s="17" t="s">
        <v>89</v>
      </c>
      <c r="T326" s="6" t="s">
        <v>1563</v>
      </c>
      <c r="U326" s="6" t="s">
        <v>77</v>
      </c>
      <c r="V326" s="6">
        <v>450200111</v>
      </c>
      <c r="W326" s="48" t="s">
        <v>1564</v>
      </c>
      <c r="X326" s="6" t="s">
        <v>8</v>
      </c>
      <c r="Y326" s="145">
        <v>1</v>
      </c>
      <c r="Z326" s="145">
        <v>1</v>
      </c>
      <c r="AA326" s="145">
        <v>1</v>
      </c>
      <c r="AB326" s="145">
        <v>1</v>
      </c>
      <c r="AC326" s="145">
        <v>1</v>
      </c>
      <c r="AD326" s="50">
        <f t="shared" si="145"/>
        <v>70000000</v>
      </c>
      <c r="AE326" s="52">
        <v>70000000</v>
      </c>
      <c r="AF326" s="52"/>
      <c r="AG326" s="52"/>
      <c r="AH326" s="52"/>
      <c r="AI326" s="52"/>
      <c r="AJ326" s="52"/>
      <c r="AK326" s="52"/>
      <c r="AL326" s="52"/>
      <c r="AM326" s="52"/>
      <c r="AN326" s="52"/>
      <c r="AO326" s="52">
        <f t="shared" si="146"/>
        <v>73798560</v>
      </c>
      <c r="AP326" s="52">
        <f>10000000-10000000+3798560+70000000</f>
        <v>73798560</v>
      </c>
      <c r="AQ326" s="52"/>
      <c r="AR326" s="52"/>
      <c r="AS326" s="52"/>
      <c r="AT326" s="52"/>
      <c r="AU326" s="52"/>
      <c r="AV326" s="52"/>
      <c r="AW326" s="52"/>
      <c r="AX326" s="52"/>
      <c r="AY326" s="52"/>
      <c r="AZ326" s="52">
        <f t="shared" si="147"/>
        <v>80000000</v>
      </c>
      <c r="BA326" s="52">
        <v>80000000</v>
      </c>
      <c r="BB326" s="52"/>
      <c r="BC326" s="52"/>
      <c r="BD326" s="52"/>
      <c r="BE326" s="52"/>
      <c r="BF326" s="52"/>
      <c r="BG326" s="52"/>
      <c r="BH326" s="52"/>
      <c r="BI326" s="52"/>
      <c r="BJ326" s="52"/>
      <c r="BK326" s="52">
        <f t="shared" si="148"/>
        <v>70000000</v>
      </c>
      <c r="BL326" s="52">
        <v>70000000</v>
      </c>
      <c r="BM326" s="52"/>
      <c r="BN326" s="52"/>
      <c r="BO326" s="52"/>
      <c r="BP326" s="109"/>
      <c r="BQ326" s="93"/>
      <c r="BR326" s="93"/>
      <c r="BS326" s="93"/>
      <c r="BT326" s="93"/>
      <c r="BU326" s="146"/>
      <c r="BV326" s="54">
        <f t="shared" si="149"/>
        <v>293798560</v>
      </c>
      <c r="BW326" s="55"/>
    </row>
    <row r="327" spans="1:75" ht="29.25" customHeight="1" x14ac:dyDescent="0.25">
      <c r="A327" s="23"/>
      <c r="B327" s="217"/>
      <c r="C327" s="34"/>
      <c r="D327" s="34"/>
      <c r="E327" s="37"/>
      <c r="F327" s="34"/>
      <c r="G327" s="34"/>
      <c r="H327" s="37"/>
      <c r="I327" s="34"/>
      <c r="J327" s="34"/>
      <c r="K327" s="34"/>
      <c r="L327" s="34"/>
      <c r="M327" s="58">
        <v>45</v>
      </c>
      <c r="N327" s="58">
        <v>4599</v>
      </c>
      <c r="O327" s="59" t="s">
        <v>1639</v>
      </c>
      <c r="P327" s="58"/>
      <c r="Q327" s="60"/>
      <c r="R327" s="60"/>
      <c r="S327" s="60"/>
      <c r="T327" s="60"/>
      <c r="U327" s="60"/>
      <c r="V327" s="60"/>
      <c r="W327" s="43"/>
      <c r="X327" s="43"/>
      <c r="Y327" s="44"/>
      <c r="Z327" s="44"/>
      <c r="AA327" s="44"/>
      <c r="AB327" s="44"/>
      <c r="AC327" s="41"/>
      <c r="AD327" s="45">
        <f>SUM(AD328:AD347)</f>
        <v>4532328305.8800001</v>
      </c>
      <c r="AE327" s="45">
        <f t="shared" ref="AE327:AX327" si="150">SUM(AE328:AE347)</f>
        <v>4032491657.8800001</v>
      </c>
      <c r="AF327" s="45">
        <f t="shared" si="150"/>
        <v>250000000</v>
      </c>
      <c r="AG327" s="45">
        <f t="shared" si="150"/>
        <v>0</v>
      </c>
      <c r="AH327" s="45">
        <f t="shared" si="150"/>
        <v>0</v>
      </c>
      <c r="AI327" s="45">
        <f t="shared" si="150"/>
        <v>0</v>
      </c>
      <c r="AJ327" s="45">
        <f t="shared" si="150"/>
        <v>0</v>
      </c>
      <c r="AK327" s="45">
        <f t="shared" si="150"/>
        <v>0</v>
      </c>
      <c r="AL327" s="45">
        <f t="shared" si="150"/>
        <v>0</v>
      </c>
      <c r="AM327" s="45">
        <f t="shared" si="150"/>
        <v>0</v>
      </c>
      <c r="AN327" s="45">
        <f t="shared" si="150"/>
        <v>249836648</v>
      </c>
      <c r="AO327" s="45">
        <f t="shared" si="150"/>
        <v>2963298992.1929998</v>
      </c>
      <c r="AP327" s="45">
        <f t="shared" si="150"/>
        <v>2776875248.4330001</v>
      </c>
      <c r="AQ327" s="45">
        <f t="shared" si="150"/>
        <v>186423743.75999999</v>
      </c>
      <c r="AR327" s="45">
        <f t="shared" si="150"/>
        <v>0</v>
      </c>
      <c r="AS327" s="45">
        <f t="shared" si="150"/>
        <v>0</v>
      </c>
      <c r="AT327" s="45">
        <f t="shared" si="150"/>
        <v>0</v>
      </c>
      <c r="AU327" s="45">
        <f t="shared" si="150"/>
        <v>0</v>
      </c>
      <c r="AV327" s="45">
        <f t="shared" si="150"/>
        <v>0</v>
      </c>
      <c r="AW327" s="45">
        <f t="shared" si="150"/>
        <v>0</v>
      </c>
      <c r="AX327" s="45">
        <f t="shared" si="150"/>
        <v>0</v>
      </c>
      <c r="AY327" s="45">
        <f t="shared" ref="AY327:BV327" si="151">SUM(AY328:AY347)</f>
        <v>0</v>
      </c>
      <c r="AZ327" s="45">
        <f t="shared" si="151"/>
        <v>4225292726.2119999</v>
      </c>
      <c r="BA327" s="45">
        <f t="shared" si="151"/>
        <v>4009274213.302</v>
      </c>
      <c r="BB327" s="45">
        <f t="shared" si="151"/>
        <v>216018512.91</v>
      </c>
      <c r="BC327" s="45">
        <f t="shared" si="151"/>
        <v>0</v>
      </c>
      <c r="BD327" s="45">
        <f t="shared" si="151"/>
        <v>0</v>
      </c>
      <c r="BE327" s="45">
        <f t="shared" si="151"/>
        <v>0</v>
      </c>
      <c r="BF327" s="45">
        <f t="shared" si="151"/>
        <v>0</v>
      </c>
      <c r="BG327" s="45">
        <f t="shared" si="151"/>
        <v>0</v>
      </c>
      <c r="BH327" s="45">
        <f t="shared" si="151"/>
        <v>0</v>
      </c>
      <c r="BI327" s="45">
        <f t="shared" si="151"/>
        <v>0</v>
      </c>
      <c r="BJ327" s="45">
        <f t="shared" si="151"/>
        <v>0</v>
      </c>
      <c r="BK327" s="45">
        <f t="shared" si="151"/>
        <v>22413972773.196548</v>
      </c>
      <c r="BL327" s="45">
        <f t="shared" si="151"/>
        <v>5791749966.1409893</v>
      </c>
      <c r="BM327" s="45">
        <f t="shared" si="151"/>
        <v>247221187.055556</v>
      </c>
      <c r="BN327" s="45">
        <f t="shared" si="151"/>
        <v>0</v>
      </c>
      <c r="BO327" s="45">
        <f t="shared" si="151"/>
        <v>0</v>
      </c>
      <c r="BP327" s="45">
        <f t="shared" si="151"/>
        <v>0</v>
      </c>
      <c r="BQ327" s="45">
        <f t="shared" si="151"/>
        <v>0</v>
      </c>
      <c r="BR327" s="45">
        <f t="shared" si="151"/>
        <v>16375001620</v>
      </c>
      <c r="BS327" s="45">
        <f t="shared" si="151"/>
        <v>0</v>
      </c>
      <c r="BT327" s="45">
        <f t="shared" si="151"/>
        <v>0</v>
      </c>
      <c r="BU327" s="45">
        <f t="shared" si="151"/>
        <v>0</v>
      </c>
      <c r="BV327" s="45">
        <f t="shared" si="151"/>
        <v>34134892797.481552</v>
      </c>
      <c r="BW327" s="47"/>
    </row>
    <row r="328" spans="1:75" s="190" customFormat="1" ht="126" customHeight="1" x14ac:dyDescent="0.2">
      <c r="A328" s="23">
        <v>4</v>
      </c>
      <c r="B328" s="218" t="s">
        <v>6</v>
      </c>
      <c r="C328" s="17" t="s">
        <v>212</v>
      </c>
      <c r="D328" s="17" t="s">
        <v>211</v>
      </c>
      <c r="E328" s="16" t="s">
        <v>1235</v>
      </c>
      <c r="F328" s="6" t="s">
        <v>1236</v>
      </c>
      <c r="G328" s="17" t="s">
        <v>1237</v>
      </c>
      <c r="H328" s="16" t="s">
        <v>1238</v>
      </c>
      <c r="I328" s="6">
        <v>45</v>
      </c>
      <c r="J328" s="6" t="s">
        <v>1294</v>
      </c>
      <c r="K328" s="15">
        <v>14</v>
      </c>
      <c r="L328" s="6" t="s">
        <v>1084</v>
      </c>
      <c r="M328" s="206">
        <v>38</v>
      </c>
      <c r="N328" s="206">
        <v>4599</v>
      </c>
      <c r="O328" s="213" t="s">
        <v>1639</v>
      </c>
      <c r="P328" s="6" t="s">
        <v>1239</v>
      </c>
      <c r="Q328" s="6" t="s">
        <v>77</v>
      </c>
      <c r="R328" s="6">
        <v>4599019</v>
      </c>
      <c r="S328" s="17" t="s">
        <v>1674</v>
      </c>
      <c r="T328" s="6" t="s">
        <v>1240</v>
      </c>
      <c r="U328" s="6" t="s">
        <v>77</v>
      </c>
      <c r="V328" s="6">
        <v>459901900</v>
      </c>
      <c r="W328" s="48" t="s">
        <v>1675</v>
      </c>
      <c r="X328" s="49" t="s">
        <v>8</v>
      </c>
      <c r="Y328" s="6">
        <v>1</v>
      </c>
      <c r="Z328" s="6">
        <v>1</v>
      </c>
      <c r="AA328" s="6">
        <v>1</v>
      </c>
      <c r="AB328" s="6"/>
      <c r="AC328" s="6"/>
      <c r="AD328" s="50">
        <f>AE328+AF328+AG328+AH328+AI328+AJ328+AK328+AL328+AM328+AN328</f>
        <v>188546842</v>
      </c>
      <c r="AE328" s="52">
        <v>188546842</v>
      </c>
      <c r="AF328" s="52"/>
      <c r="AG328" s="52"/>
      <c r="AH328" s="52"/>
      <c r="AI328" s="52"/>
      <c r="AJ328" s="52"/>
      <c r="AK328" s="52"/>
      <c r="AL328" s="52"/>
      <c r="AM328" s="52"/>
      <c r="AN328" s="52"/>
      <c r="AO328" s="52">
        <f>AP328+AQ328+AR328+AS328+AT328+AU328+AV328+AW328+AX328+AY328</f>
        <v>90000000</v>
      </c>
      <c r="AP328" s="52">
        <v>90000000</v>
      </c>
      <c r="AQ328" s="52"/>
      <c r="AR328" s="52"/>
      <c r="AS328" s="52"/>
      <c r="AT328" s="52"/>
      <c r="AU328" s="52"/>
      <c r="AV328" s="52"/>
      <c r="AW328" s="52"/>
      <c r="AX328" s="52"/>
      <c r="AY328" s="52"/>
      <c r="AZ328" s="52">
        <f>BA328+BB328+BC328+BD328+BE328+BF328+BG328+BH328+BI328+BJ328</f>
        <v>0</v>
      </c>
      <c r="BA328" s="52"/>
      <c r="BB328" s="52"/>
      <c r="BC328" s="52"/>
      <c r="BD328" s="52"/>
      <c r="BE328" s="52"/>
      <c r="BF328" s="52"/>
      <c r="BG328" s="52"/>
      <c r="BH328" s="52"/>
      <c r="BI328" s="52"/>
      <c r="BJ328" s="52"/>
      <c r="BK328" s="52">
        <f>BL328+BM328+BN328+BO328+BP328+BQ328+BR328+BS328+BT328+BU328</f>
        <v>0</v>
      </c>
      <c r="BL328" s="52"/>
      <c r="BM328" s="52"/>
      <c r="BN328" s="52"/>
      <c r="BO328" s="52"/>
      <c r="BP328" s="52"/>
      <c r="BQ328" s="52"/>
      <c r="BR328" s="52"/>
      <c r="BS328" s="52"/>
      <c r="BT328" s="52"/>
      <c r="BU328" s="53"/>
      <c r="BV328" s="54">
        <f t="shared" ref="BV328:BV347" si="152">AD328+AO328+AZ328+BK328</f>
        <v>278546842</v>
      </c>
      <c r="BW328" s="77"/>
    </row>
    <row r="329" spans="1:75" s="190" customFormat="1" ht="236.25" customHeight="1" x14ac:dyDescent="0.2">
      <c r="A329" s="23">
        <v>4</v>
      </c>
      <c r="B329" s="218" t="s">
        <v>6</v>
      </c>
      <c r="C329" s="17" t="s">
        <v>212</v>
      </c>
      <c r="D329" s="17" t="s">
        <v>207</v>
      </c>
      <c r="E329" s="69" t="s">
        <v>1247</v>
      </c>
      <c r="F329" s="6" t="s">
        <v>1248</v>
      </c>
      <c r="G329" s="17" t="s">
        <v>1249</v>
      </c>
      <c r="H329" s="69" t="s">
        <v>1250</v>
      </c>
      <c r="I329" s="6">
        <v>45</v>
      </c>
      <c r="J329" s="6" t="s">
        <v>1294</v>
      </c>
      <c r="K329" s="15">
        <v>16</v>
      </c>
      <c r="L329" s="6" t="s">
        <v>398</v>
      </c>
      <c r="M329" s="206">
        <v>38</v>
      </c>
      <c r="N329" s="210">
        <v>4599</v>
      </c>
      <c r="O329" s="207" t="s">
        <v>1639</v>
      </c>
      <c r="P329" s="14" t="s">
        <v>1251</v>
      </c>
      <c r="Q329" s="6" t="s">
        <v>77</v>
      </c>
      <c r="R329" s="6">
        <v>4599019</v>
      </c>
      <c r="S329" s="17" t="s">
        <v>208</v>
      </c>
      <c r="T329" s="14" t="s">
        <v>1252</v>
      </c>
      <c r="U329" s="6" t="s">
        <v>77</v>
      </c>
      <c r="V329" s="6">
        <v>459901900</v>
      </c>
      <c r="W329" s="48" t="s">
        <v>1673</v>
      </c>
      <c r="X329" s="49" t="s">
        <v>8</v>
      </c>
      <c r="Y329" s="6">
        <v>1</v>
      </c>
      <c r="Z329" s="6">
        <v>0</v>
      </c>
      <c r="AA329" s="6">
        <v>1</v>
      </c>
      <c r="AB329" s="6"/>
      <c r="AC329" s="6"/>
      <c r="AD329" s="50"/>
      <c r="AE329" s="52"/>
      <c r="AF329" s="52"/>
      <c r="AG329" s="52"/>
      <c r="AH329" s="52"/>
      <c r="AI329" s="52"/>
      <c r="AJ329" s="52"/>
      <c r="AK329" s="52"/>
      <c r="AL329" s="52"/>
      <c r="AM329" s="52"/>
      <c r="AN329" s="52"/>
      <c r="AO329" s="52">
        <f>AP329+AQ329+AR329+AS329+AT329+AU329+AV329+AW329+AX329+AY329</f>
        <v>18000000</v>
      </c>
      <c r="AP329" s="52">
        <v>18000000</v>
      </c>
      <c r="AQ329" s="52"/>
      <c r="AR329" s="52"/>
      <c r="AS329" s="52"/>
      <c r="AT329" s="52"/>
      <c r="AU329" s="52"/>
      <c r="AV329" s="52"/>
      <c r="AW329" s="52"/>
      <c r="AX329" s="52"/>
      <c r="AY329" s="52"/>
      <c r="AZ329" s="52">
        <f>BA329+BB329+BC329+BD329+BE329+BF329+BG329+BH329+BI329+BJ329</f>
        <v>0</v>
      </c>
      <c r="BA329" s="52"/>
      <c r="BB329" s="52"/>
      <c r="BC329" s="52"/>
      <c r="BD329" s="52"/>
      <c r="BE329" s="52"/>
      <c r="BF329" s="52"/>
      <c r="BG329" s="52"/>
      <c r="BH329" s="52"/>
      <c r="BI329" s="52"/>
      <c r="BJ329" s="52"/>
      <c r="BK329" s="52">
        <f>BL329+BM329+BN329+BO329+BP329+BQ329+BR329+BS329+BT329+BU329</f>
        <v>0</v>
      </c>
      <c r="BL329" s="52"/>
      <c r="BM329" s="52"/>
      <c r="BN329" s="52"/>
      <c r="BO329" s="52"/>
      <c r="BP329" s="52"/>
      <c r="BQ329" s="52"/>
      <c r="BR329" s="52"/>
      <c r="BS329" s="52"/>
      <c r="BT329" s="52"/>
      <c r="BU329" s="53"/>
      <c r="BV329" s="54">
        <f t="shared" si="152"/>
        <v>18000000</v>
      </c>
      <c r="BW329" s="77"/>
    </row>
    <row r="330" spans="1:75" s="190" customFormat="1" ht="244.5" customHeight="1" x14ac:dyDescent="0.2">
      <c r="A330" s="23">
        <v>4</v>
      </c>
      <c r="B330" s="218" t="s">
        <v>6</v>
      </c>
      <c r="C330" s="17" t="s">
        <v>212</v>
      </c>
      <c r="D330" s="17" t="s">
        <v>1623</v>
      </c>
      <c r="E330" s="16" t="s">
        <v>1253</v>
      </c>
      <c r="F330" s="6">
        <v>2018</v>
      </c>
      <c r="G330" s="17" t="s">
        <v>1254</v>
      </c>
      <c r="H330" s="16" t="s">
        <v>1255</v>
      </c>
      <c r="I330" s="6">
        <v>45</v>
      </c>
      <c r="J330" s="6" t="s">
        <v>1294</v>
      </c>
      <c r="K330" s="15">
        <v>14</v>
      </c>
      <c r="L330" s="6" t="s">
        <v>1084</v>
      </c>
      <c r="M330" s="206">
        <v>38</v>
      </c>
      <c r="N330" s="206">
        <v>4599</v>
      </c>
      <c r="O330" s="213" t="s">
        <v>1639</v>
      </c>
      <c r="P330" s="14" t="s">
        <v>1256</v>
      </c>
      <c r="Q330" s="6" t="s">
        <v>77</v>
      </c>
      <c r="R330" s="6">
        <v>4599019</v>
      </c>
      <c r="S330" s="17" t="s">
        <v>1257</v>
      </c>
      <c r="T330" s="14" t="s">
        <v>1258</v>
      </c>
      <c r="U330" s="6" t="s">
        <v>77</v>
      </c>
      <c r="V330" s="6">
        <v>459901900</v>
      </c>
      <c r="W330" s="48" t="s">
        <v>1259</v>
      </c>
      <c r="X330" s="49" t="s">
        <v>8</v>
      </c>
      <c r="Y330" s="6">
        <v>1</v>
      </c>
      <c r="Z330" s="6">
        <v>1</v>
      </c>
      <c r="AA330" s="6">
        <v>1</v>
      </c>
      <c r="AB330" s="6"/>
      <c r="AC330" s="6"/>
      <c r="AD330" s="50">
        <f t="shared" ref="AD330:AD347" si="153">AE330+AF330+AG330+AH330+AI330+AJ330+AK330+AL330+AM330+AN330</f>
        <v>95000000</v>
      </c>
      <c r="AE330" s="52">
        <v>95000000</v>
      </c>
      <c r="AF330" s="52"/>
      <c r="AG330" s="52"/>
      <c r="AH330" s="52"/>
      <c r="AI330" s="52"/>
      <c r="AJ330" s="52"/>
      <c r="AK330" s="52"/>
      <c r="AL330" s="52"/>
      <c r="AM330" s="52"/>
      <c r="AN330" s="52"/>
      <c r="AO330" s="52">
        <f>AP330+AQ330+AR330+AS330+AT330+AU330+AV330+AW330+AX330+AY330</f>
        <v>60000000</v>
      </c>
      <c r="AP330" s="52">
        <v>60000000</v>
      </c>
      <c r="AQ330" s="52"/>
      <c r="AR330" s="52"/>
      <c r="AS330" s="52"/>
      <c r="AT330" s="52"/>
      <c r="AU330" s="52"/>
      <c r="AV330" s="52"/>
      <c r="AW330" s="52"/>
      <c r="AX330" s="52"/>
      <c r="AY330" s="52"/>
      <c r="AZ330" s="52">
        <f>BA330+BB330+BC330+BD330+BE330+BF330+BG330+BH330+BI330+BJ330</f>
        <v>0</v>
      </c>
      <c r="BA330" s="52"/>
      <c r="BB330" s="52"/>
      <c r="BC330" s="52"/>
      <c r="BD330" s="52"/>
      <c r="BE330" s="52"/>
      <c r="BF330" s="52"/>
      <c r="BG330" s="52"/>
      <c r="BH330" s="52"/>
      <c r="BI330" s="52"/>
      <c r="BJ330" s="52"/>
      <c r="BK330" s="52">
        <f>BL330+BM330+BN330+BO330+BP330+BQ330+BR330+BS330+BT330+BU330</f>
        <v>0</v>
      </c>
      <c r="BL330" s="52"/>
      <c r="BM330" s="52"/>
      <c r="BN330" s="52"/>
      <c r="BO330" s="52"/>
      <c r="BP330" s="52"/>
      <c r="BQ330" s="52"/>
      <c r="BR330" s="52"/>
      <c r="BS330" s="52"/>
      <c r="BT330" s="52"/>
      <c r="BU330" s="53"/>
      <c r="BV330" s="54">
        <f t="shared" si="152"/>
        <v>155000000</v>
      </c>
      <c r="BW330" s="77"/>
    </row>
    <row r="331" spans="1:75" s="190" customFormat="1" ht="90" x14ac:dyDescent="0.2">
      <c r="A331" s="23">
        <v>4</v>
      </c>
      <c r="B331" s="218" t="s">
        <v>6</v>
      </c>
      <c r="C331" s="114" t="s">
        <v>860</v>
      </c>
      <c r="D331" s="114" t="s">
        <v>1</v>
      </c>
      <c r="E331" s="69">
        <v>71</v>
      </c>
      <c r="F331" s="6">
        <v>2018</v>
      </c>
      <c r="G331" s="17" t="s">
        <v>1487</v>
      </c>
      <c r="H331" s="69">
        <v>80</v>
      </c>
      <c r="I331" s="6">
        <v>45</v>
      </c>
      <c r="J331" s="6" t="s">
        <v>1294</v>
      </c>
      <c r="K331" s="15">
        <v>17</v>
      </c>
      <c r="L331" s="6" t="s">
        <v>888</v>
      </c>
      <c r="M331" s="206">
        <v>45</v>
      </c>
      <c r="N331" s="206">
        <v>4599</v>
      </c>
      <c r="O331" s="213" t="s">
        <v>1639</v>
      </c>
      <c r="P331" s="6" t="s">
        <v>1488</v>
      </c>
      <c r="Q331" s="6" t="s">
        <v>77</v>
      </c>
      <c r="R331" s="6">
        <v>4599023</v>
      </c>
      <c r="S331" s="114" t="s">
        <v>2</v>
      </c>
      <c r="T331" s="6" t="s">
        <v>1489</v>
      </c>
      <c r="U331" s="6" t="s">
        <v>77</v>
      </c>
      <c r="V331" s="6">
        <v>459902300</v>
      </c>
      <c r="W331" s="85" t="s">
        <v>1490</v>
      </c>
      <c r="X331" s="83" t="s">
        <v>8</v>
      </c>
      <c r="Y331" s="6">
        <v>18</v>
      </c>
      <c r="Z331" s="6">
        <v>18</v>
      </c>
      <c r="AA331" s="6">
        <v>18</v>
      </c>
      <c r="AB331" s="6">
        <v>18</v>
      </c>
      <c r="AC331" s="6">
        <v>18</v>
      </c>
      <c r="AD331" s="50">
        <f t="shared" si="153"/>
        <v>133658667</v>
      </c>
      <c r="AE331" s="52">
        <f>73658667+60000000</f>
        <v>133658667</v>
      </c>
      <c r="AF331" s="52"/>
      <c r="AG331" s="52"/>
      <c r="AH331" s="52"/>
      <c r="AI331" s="52"/>
      <c r="AJ331" s="52"/>
      <c r="AK331" s="52"/>
      <c r="AL331" s="52"/>
      <c r="AM331" s="52"/>
      <c r="AN331" s="52"/>
      <c r="AO331" s="52">
        <f t="shared" ref="AO331:AO347" si="154">AP331+AQ331+AR331+AS331+AT331+AU331+AV331+AW331+AX331+AY331</f>
        <v>75521754.340000004</v>
      </c>
      <c r="AP331" s="52">
        <f>25789438.34+49732316</f>
        <v>75521754.340000004</v>
      </c>
      <c r="AQ331" s="52"/>
      <c r="AR331" s="52"/>
      <c r="AS331" s="52"/>
      <c r="AT331" s="52"/>
      <c r="AU331" s="52"/>
      <c r="AV331" s="52"/>
      <c r="AW331" s="52"/>
      <c r="AX331" s="52"/>
      <c r="AY331" s="52"/>
      <c r="AZ331" s="52">
        <f t="shared" ref="AZ331:AZ347" si="155">BA331+BB331+BC331+BD331+BE331+BF331+BG331+BH331+BI331+BJ331</f>
        <v>132505398</v>
      </c>
      <c r="BA331" s="52">
        <f>17505398+115000000</f>
        <v>132505398</v>
      </c>
      <c r="BB331" s="52"/>
      <c r="BC331" s="52"/>
      <c r="BD331" s="52"/>
      <c r="BE331" s="52"/>
      <c r="BF331" s="52"/>
      <c r="BG331" s="52"/>
      <c r="BH331" s="52"/>
      <c r="BI331" s="52"/>
      <c r="BJ331" s="52"/>
      <c r="BK331" s="52">
        <f t="shared" ref="BK331:BK347" si="156">BL331+BM331+BN331+BO331+BP331+BQ331+BR331+BS331+BT331+BU331</f>
        <v>219359891.38999999</v>
      </c>
      <c r="BL331" s="52">
        <f>27236666.39+192123225</f>
        <v>219359891.38999999</v>
      </c>
      <c r="BM331" s="52"/>
      <c r="BN331" s="52"/>
      <c r="BO331" s="52"/>
      <c r="BP331" s="52"/>
      <c r="BQ331" s="52"/>
      <c r="BR331" s="52"/>
      <c r="BS331" s="52"/>
      <c r="BT331" s="52"/>
      <c r="BU331" s="53"/>
      <c r="BV331" s="54">
        <f t="shared" si="152"/>
        <v>561045710.73000002</v>
      </c>
      <c r="BW331" s="147"/>
    </row>
    <row r="332" spans="1:75" s="190" customFormat="1" ht="141.75" customHeight="1" x14ac:dyDescent="0.2">
      <c r="A332" s="23">
        <v>4</v>
      </c>
      <c r="B332" s="218" t="s">
        <v>6</v>
      </c>
      <c r="C332" s="114" t="s">
        <v>860</v>
      </c>
      <c r="D332" s="17" t="s">
        <v>1533</v>
      </c>
      <c r="E332" s="73">
        <v>74.680000000000007</v>
      </c>
      <c r="F332" s="6">
        <v>2017</v>
      </c>
      <c r="G332" s="17" t="s">
        <v>1487</v>
      </c>
      <c r="H332" s="16">
        <v>75</v>
      </c>
      <c r="I332" s="6">
        <v>45</v>
      </c>
      <c r="J332" s="6" t="s">
        <v>1294</v>
      </c>
      <c r="K332" s="15">
        <v>17</v>
      </c>
      <c r="L332" s="6" t="s">
        <v>888</v>
      </c>
      <c r="M332" s="206">
        <v>45</v>
      </c>
      <c r="N332" s="206">
        <v>4599</v>
      </c>
      <c r="O332" s="213" t="s">
        <v>1639</v>
      </c>
      <c r="P332" s="83" t="s">
        <v>1534</v>
      </c>
      <c r="Q332" s="6" t="s">
        <v>77</v>
      </c>
      <c r="R332" s="6">
        <v>4599002</v>
      </c>
      <c r="S332" s="114" t="s">
        <v>17</v>
      </c>
      <c r="T332" s="83" t="s">
        <v>1535</v>
      </c>
      <c r="U332" s="6" t="s">
        <v>77</v>
      </c>
      <c r="V332" s="6">
        <v>459900201</v>
      </c>
      <c r="W332" s="85" t="s">
        <v>1536</v>
      </c>
      <c r="X332" s="83" t="s">
        <v>8</v>
      </c>
      <c r="Y332" s="6">
        <v>1</v>
      </c>
      <c r="Z332" s="6">
        <v>1</v>
      </c>
      <c r="AA332" s="6">
        <v>1</v>
      </c>
      <c r="AB332" s="6">
        <v>1</v>
      </c>
      <c r="AC332" s="6">
        <v>1</v>
      </c>
      <c r="AD332" s="50">
        <f t="shared" si="153"/>
        <v>1720270000</v>
      </c>
      <c r="AE332" s="52">
        <f>1270270000+200000000</f>
        <v>1470270000</v>
      </c>
      <c r="AF332" s="52">
        <v>250000000</v>
      </c>
      <c r="AG332" s="52"/>
      <c r="AH332" s="52"/>
      <c r="AI332" s="52"/>
      <c r="AJ332" s="52"/>
      <c r="AK332" s="52"/>
      <c r="AL332" s="52"/>
      <c r="AM332" s="52"/>
      <c r="AN332" s="52"/>
      <c r="AO332" s="52">
        <f t="shared" si="154"/>
        <v>669677826.73300004</v>
      </c>
      <c r="AP332" s="52">
        <v>669677826.73300004</v>
      </c>
      <c r="AQ332" s="52"/>
      <c r="AR332" s="52"/>
      <c r="AS332" s="52"/>
      <c r="AT332" s="52"/>
      <c r="AU332" s="52"/>
      <c r="AV332" s="52"/>
      <c r="AW332" s="52"/>
      <c r="AX332" s="52"/>
      <c r="AY332" s="52"/>
      <c r="AZ332" s="52">
        <f t="shared" si="155"/>
        <v>161078916.627</v>
      </c>
      <c r="BA332" s="52">
        <v>161078916.627</v>
      </c>
      <c r="BB332" s="52"/>
      <c r="BC332" s="52"/>
      <c r="BD332" s="52"/>
      <c r="BE332" s="52"/>
      <c r="BF332" s="52"/>
      <c r="BG332" s="52"/>
      <c r="BH332" s="52"/>
      <c r="BI332" s="52"/>
      <c r="BJ332" s="52"/>
      <c r="BK332" s="52">
        <f t="shared" si="156"/>
        <v>2306930934.8009901</v>
      </c>
      <c r="BL332" s="52">
        <v>2306930934.8009901</v>
      </c>
      <c r="BM332" s="52"/>
      <c r="BN332" s="52"/>
      <c r="BO332" s="52"/>
      <c r="BP332" s="52"/>
      <c r="BQ332" s="52"/>
      <c r="BR332" s="52"/>
      <c r="BS332" s="52"/>
      <c r="BT332" s="52"/>
      <c r="BU332" s="53"/>
      <c r="BV332" s="54">
        <f t="shared" si="152"/>
        <v>4857957678.1609898</v>
      </c>
      <c r="BW332" s="55"/>
    </row>
    <row r="333" spans="1:75" s="190" customFormat="1" ht="90" x14ac:dyDescent="0.2">
      <c r="A333" s="23">
        <v>4</v>
      </c>
      <c r="B333" s="218" t="s">
        <v>6</v>
      </c>
      <c r="C333" s="114" t="s">
        <v>860</v>
      </c>
      <c r="D333" s="114" t="s">
        <v>1</v>
      </c>
      <c r="E333" s="69">
        <v>71</v>
      </c>
      <c r="F333" s="6">
        <v>2018</v>
      </c>
      <c r="G333" s="17" t="s">
        <v>1487</v>
      </c>
      <c r="H333" s="69">
        <v>80</v>
      </c>
      <c r="I333" s="6">
        <v>45</v>
      </c>
      <c r="J333" s="6" t="s">
        <v>1294</v>
      </c>
      <c r="K333" s="15">
        <v>17</v>
      </c>
      <c r="L333" s="6" t="s">
        <v>888</v>
      </c>
      <c r="M333" s="206">
        <v>45</v>
      </c>
      <c r="N333" s="206">
        <v>4599</v>
      </c>
      <c r="O333" s="213" t="s">
        <v>1639</v>
      </c>
      <c r="P333" s="6" t="s">
        <v>1491</v>
      </c>
      <c r="Q333" s="6" t="s">
        <v>77</v>
      </c>
      <c r="R333" s="6">
        <v>4599025</v>
      </c>
      <c r="S333" s="114" t="s">
        <v>1492</v>
      </c>
      <c r="T333" s="6" t="s">
        <v>1493</v>
      </c>
      <c r="U333" s="6" t="s">
        <v>77</v>
      </c>
      <c r="V333" s="6">
        <v>459902500</v>
      </c>
      <c r="W333" s="85" t="s">
        <v>1494</v>
      </c>
      <c r="X333" s="83" t="s">
        <v>8</v>
      </c>
      <c r="Y333" s="6">
        <v>1</v>
      </c>
      <c r="Z333" s="6">
        <v>1</v>
      </c>
      <c r="AA333" s="6">
        <v>1</v>
      </c>
      <c r="AB333" s="6">
        <v>1</v>
      </c>
      <c r="AC333" s="6">
        <v>1</v>
      </c>
      <c r="AD333" s="50">
        <f t="shared" si="153"/>
        <v>250000000</v>
      </c>
      <c r="AE333" s="52">
        <v>250000000</v>
      </c>
      <c r="AF333" s="52"/>
      <c r="AG333" s="52"/>
      <c r="AH333" s="52"/>
      <c r="AI333" s="52"/>
      <c r="AJ333" s="52"/>
      <c r="AK333" s="52"/>
      <c r="AL333" s="52"/>
      <c r="AM333" s="52"/>
      <c r="AN333" s="52"/>
      <c r="AO333" s="52">
        <f t="shared" si="154"/>
        <v>330526068.39999998</v>
      </c>
      <c r="AP333" s="52">
        <f>180526068.4+150000000</f>
        <v>330526068.39999998</v>
      </c>
      <c r="AQ333" s="52"/>
      <c r="AR333" s="52"/>
      <c r="AS333" s="52"/>
      <c r="AT333" s="52"/>
      <c r="AU333" s="52"/>
      <c r="AV333" s="52"/>
      <c r="AW333" s="52"/>
      <c r="AX333" s="52"/>
      <c r="AY333" s="52"/>
      <c r="AZ333" s="52">
        <f t="shared" si="155"/>
        <v>445075567</v>
      </c>
      <c r="BA333" s="52">
        <f>245075567+200000000</f>
        <v>445075567</v>
      </c>
      <c r="BB333" s="52"/>
      <c r="BC333" s="52"/>
      <c r="BD333" s="52"/>
      <c r="BE333" s="52"/>
      <c r="BF333" s="52"/>
      <c r="BG333" s="52"/>
      <c r="BH333" s="52"/>
      <c r="BI333" s="52"/>
      <c r="BJ333" s="52"/>
      <c r="BK333" s="52">
        <f t="shared" si="156"/>
        <v>450313329.42000002</v>
      </c>
      <c r="BL333" s="52">
        <f>381313329.42+69000000</f>
        <v>450313329.42000002</v>
      </c>
      <c r="BM333" s="52"/>
      <c r="BN333" s="52"/>
      <c r="BO333" s="52"/>
      <c r="BP333" s="52"/>
      <c r="BQ333" s="52"/>
      <c r="BR333" s="52"/>
      <c r="BS333" s="52"/>
      <c r="BT333" s="52"/>
      <c r="BU333" s="53"/>
      <c r="BV333" s="54">
        <f t="shared" si="152"/>
        <v>1475914964.8199999</v>
      </c>
      <c r="BW333" s="55"/>
    </row>
    <row r="334" spans="1:75" s="190" customFormat="1" ht="90" x14ac:dyDescent="0.2">
      <c r="A334" s="23">
        <v>4</v>
      </c>
      <c r="B334" s="218" t="s">
        <v>6</v>
      </c>
      <c r="C334" s="114" t="s">
        <v>860</v>
      </c>
      <c r="D334" s="114" t="s">
        <v>1</v>
      </c>
      <c r="E334" s="69">
        <v>71</v>
      </c>
      <c r="F334" s="6">
        <v>2018</v>
      </c>
      <c r="G334" s="17" t="s">
        <v>1487</v>
      </c>
      <c r="H334" s="69">
        <v>80</v>
      </c>
      <c r="I334" s="6">
        <v>45</v>
      </c>
      <c r="J334" s="6" t="s">
        <v>1294</v>
      </c>
      <c r="K334" s="15">
        <v>17</v>
      </c>
      <c r="L334" s="6" t="s">
        <v>888</v>
      </c>
      <c r="M334" s="206">
        <v>45</v>
      </c>
      <c r="N334" s="206">
        <v>4599</v>
      </c>
      <c r="O334" s="213" t="s">
        <v>1639</v>
      </c>
      <c r="P334" s="6" t="s">
        <v>1495</v>
      </c>
      <c r="Q334" s="6" t="s">
        <v>77</v>
      </c>
      <c r="R334" s="6">
        <v>4599025</v>
      </c>
      <c r="S334" s="114" t="s">
        <v>1496</v>
      </c>
      <c r="T334" s="6" t="s">
        <v>1497</v>
      </c>
      <c r="U334" s="6" t="s">
        <v>77</v>
      </c>
      <c r="V334" s="6">
        <v>459902500</v>
      </c>
      <c r="W334" s="85" t="s">
        <v>1498</v>
      </c>
      <c r="X334" s="83" t="s">
        <v>8</v>
      </c>
      <c r="Y334" s="6">
        <v>1</v>
      </c>
      <c r="Z334" s="6">
        <v>1</v>
      </c>
      <c r="AA334" s="6">
        <v>1</v>
      </c>
      <c r="AB334" s="6">
        <v>1</v>
      </c>
      <c r="AC334" s="6">
        <v>1</v>
      </c>
      <c r="AD334" s="50">
        <f t="shared" si="153"/>
        <v>40000000</v>
      </c>
      <c r="AE334" s="52">
        <v>40000000</v>
      </c>
      <c r="AF334" s="52"/>
      <c r="AG334" s="52"/>
      <c r="AH334" s="52"/>
      <c r="AI334" s="52"/>
      <c r="AJ334" s="52"/>
      <c r="AK334" s="52"/>
      <c r="AL334" s="52"/>
      <c r="AM334" s="52"/>
      <c r="AN334" s="52"/>
      <c r="AO334" s="52">
        <f t="shared" si="154"/>
        <v>29342078.760000002</v>
      </c>
      <c r="AP334" s="52">
        <f>19342078.76+10000000</f>
        <v>29342078.760000002</v>
      </c>
      <c r="AQ334" s="52"/>
      <c r="AR334" s="52"/>
      <c r="AS334" s="52"/>
      <c r="AT334" s="52"/>
      <c r="AU334" s="52"/>
      <c r="AV334" s="52"/>
      <c r="AW334" s="52"/>
      <c r="AX334" s="52"/>
      <c r="AY334" s="52"/>
      <c r="AZ334" s="52">
        <f t="shared" si="155"/>
        <v>37505398</v>
      </c>
      <c r="BA334" s="52">
        <f>17505398+20000000</f>
        <v>37505398</v>
      </c>
      <c r="BB334" s="52"/>
      <c r="BC334" s="52"/>
      <c r="BD334" s="52"/>
      <c r="BE334" s="52"/>
      <c r="BF334" s="52"/>
      <c r="BG334" s="52"/>
      <c r="BH334" s="52"/>
      <c r="BI334" s="52"/>
      <c r="BJ334" s="52"/>
      <c r="BK334" s="52">
        <f t="shared" si="156"/>
        <v>50236666.390000001</v>
      </c>
      <c r="BL334" s="52">
        <f>27236666.39+23000000</f>
        <v>50236666.390000001</v>
      </c>
      <c r="BM334" s="52"/>
      <c r="BN334" s="52"/>
      <c r="BO334" s="52"/>
      <c r="BP334" s="52"/>
      <c r="BQ334" s="52"/>
      <c r="BR334" s="52"/>
      <c r="BS334" s="52"/>
      <c r="BT334" s="52"/>
      <c r="BU334" s="53"/>
      <c r="BV334" s="54">
        <f t="shared" si="152"/>
        <v>157084143.15000001</v>
      </c>
      <c r="BW334" s="55"/>
    </row>
    <row r="335" spans="1:75" s="190" customFormat="1" ht="120" x14ac:dyDescent="0.2">
      <c r="A335" s="23">
        <v>4</v>
      </c>
      <c r="B335" s="218" t="s">
        <v>6</v>
      </c>
      <c r="C335" s="114" t="s">
        <v>860</v>
      </c>
      <c r="D335" s="114" t="s">
        <v>1</v>
      </c>
      <c r="E335" s="69">
        <v>71</v>
      </c>
      <c r="F335" s="6">
        <v>2018</v>
      </c>
      <c r="G335" s="17" t="s">
        <v>1487</v>
      </c>
      <c r="H335" s="69">
        <v>80</v>
      </c>
      <c r="I335" s="6">
        <v>45</v>
      </c>
      <c r="J335" s="6" t="s">
        <v>1294</v>
      </c>
      <c r="K335" s="15">
        <v>17</v>
      </c>
      <c r="L335" s="6" t="s">
        <v>888</v>
      </c>
      <c r="M335" s="206">
        <v>45</v>
      </c>
      <c r="N335" s="206">
        <v>4599</v>
      </c>
      <c r="O335" s="213" t="s">
        <v>1639</v>
      </c>
      <c r="P335" s="6" t="s">
        <v>1499</v>
      </c>
      <c r="Q335" s="6" t="s">
        <v>77</v>
      </c>
      <c r="R335" s="6">
        <v>4599018</v>
      </c>
      <c r="S335" s="114" t="s">
        <v>10</v>
      </c>
      <c r="T335" s="6" t="s">
        <v>1500</v>
      </c>
      <c r="U335" s="6" t="s">
        <v>77</v>
      </c>
      <c r="V335" s="6">
        <v>459901800</v>
      </c>
      <c r="W335" s="85" t="s">
        <v>1501</v>
      </c>
      <c r="X335" s="83" t="s">
        <v>8</v>
      </c>
      <c r="Y335" s="6">
        <v>5</v>
      </c>
      <c r="Z335" s="6">
        <v>5</v>
      </c>
      <c r="AA335" s="6">
        <v>5</v>
      </c>
      <c r="AB335" s="6">
        <v>5</v>
      </c>
      <c r="AC335" s="6">
        <v>5</v>
      </c>
      <c r="AD335" s="50">
        <f t="shared" si="153"/>
        <v>308233333</v>
      </c>
      <c r="AE335" s="52">
        <f>153233333+155000000</f>
        <v>308233333</v>
      </c>
      <c r="AF335" s="52"/>
      <c r="AG335" s="52"/>
      <c r="AH335" s="52"/>
      <c r="AI335" s="52"/>
      <c r="AJ335" s="52"/>
      <c r="AK335" s="52"/>
      <c r="AL335" s="52"/>
      <c r="AM335" s="52"/>
      <c r="AN335" s="52"/>
      <c r="AO335" s="52">
        <f t="shared" si="154"/>
        <v>322367979</v>
      </c>
      <c r="AP335" s="52">
        <v>322367979</v>
      </c>
      <c r="AQ335" s="52"/>
      <c r="AR335" s="52"/>
      <c r="AS335" s="52"/>
      <c r="AT335" s="52"/>
      <c r="AU335" s="52"/>
      <c r="AV335" s="52"/>
      <c r="AW335" s="52"/>
      <c r="AX335" s="52"/>
      <c r="AY335" s="52"/>
      <c r="AZ335" s="52">
        <f t="shared" si="155"/>
        <v>481398436</v>
      </c>
      <c r="BA335" s="52">
        <v>481398436</v>
      </c>
      <c r="BB335" s="52"/>
      <c r="BC335" s="52"/>
      <c r="BD335" s="52"/>
      <c r="BE335" s="52"/>
      <c r="BF335" s="52"/>
      <c r="BG335" s="52"/>
      <c r="BH335" s="52"/>
      <c r="BI335" s="52"/>
      <c r="BJ335" s="52"/>
      <c r="BK335" s="52">
        <f t="shared" si="156"/>
        <v>749008325.64999998</v>
      </c>
      <c r="BL335" s="52">
        <v>749008325.64999998</v>
      </c>
      <c r="BM335" s="52"/>
      <c r="BN335" s="52"/>
      <c r="BO335" s="52"/>
      <c r="BP335" s="52"/>
      <c r="BQ335" s="52"/>
      <c r="BR335" s="52"/>
      <c r="BS335" s="52"/>
      <c r="BT335" s="52"/>
      <c r="BU335" s="53"/>
      <c r="BV335" s="54">
        <f t="shared" si="152"/>
        <v>1861008073.6500001</v>
      </c>
      <c r="BW335" s="55"/>
    </row>
    <row r="336" spans="1:75" s="190" customFormat="1" ht="110.25" customHeight="1" x14ac:dyDescent="0.2">
      <c r="A336" s="23">
        <v>4</v>
      </c>
      <c r="B336" s="218" t="s">
        <v>6</v>
      </c>
      <c r="C336" s="114" t="s">
        <v>860</v>
      </c>
      <c r="D336" s="114" t="s">
        <v>1</v>
      </c>
      <c r="E336" s="69">
        <v>71</v>
      </c>
      <c r="F336" s="6">
        <v>2018</v>
      </c>
      <c r="G336" s="17" t="s">
        <v>1487</v>
      </c>
      <c r="H336" s="69">
        <v>80</v>
      </c>
      <c r="I336" s="6">
        <v>45</v>
      </c>
      <c r="J336" s="6" t="s">
        <v>1294</v>
      </c>
      <c r="K336" s="15">
        <v>17</v>
      </c>
      <c r="L336" s="6" t="s">
        <v>888</v>
      </c>
      <c r="M336" s="206">
        <v>45</v>
      </c>
      <c r="N336" s="206">
        <v>4599</v>
      </c>
      <c r="O336" s="213" t="s">
        <v>1639</v>
      </c>
      <c r="P336" s="6" t="s">
        <v>1502</v>
      </c>
      <c r="Q336" s="6" t="s">
        <v>77</v>
      </c>
      <c r="R336" s="6">
        <v>4599023</v>
      </c>
      <c r="S336" s="114" t="s">
        <v>1578</v>
      </c>
      <c r="T336" s="6" t="s">
        <v>1503</v>
      </c>
      <c r="U336" s="6" t="s">
        <v>77</v>
      </c>
      <c r="V336" s="6">
        <v>459902301</v>
      </c>
      <c r="W336" s="85" t="s">
        <v>1504</v>
      </c>
      <c r="X336" s="83" t="s">
        <v>9</v>
      </c>
      <c r="Y336" s="6">
        <v>1</v>
      </c>
      <c r="Z336" s="114"/>
      <c r="AA336" s="83">
        <v>1</v>
      </c>
      <c r="AB336" s="114"/>
      <c r="AC336" s="114"/>
      <c r="AD336" s="50">
        <f t="shared" si="153"/>
        <v>0</v>
      </c>
      <c r="AE336" s="52"/>
      <c r="AF336" s="52"/>
      <c r="AG336" s="52"/>
      <c r="AH336" s="52"/>
      <c r="AI336" s="52"/>
      <c r="AJ336" s="52"/>
      <c r="AK336" s="52"/>
      <c r="AL336" s="52"/>
      <c r="AM336" s="52"/>
      <c r="AN336" s="52"/>
      <c r="AO336" s="52">
        <f t="shared" si="154"/>
        <v>70000000</v>
      </c>
      <c r="AP336" s="52">
        <f>15000000+55000000</f>
        <v>70000000</v>
      </c>
      <c r="AQ336" s="52"/>
      <c r="AR336" s="52"/>
      <c r="AS336" s="52"/>
      <c r="AT336" s="52"/>
      <c r="AU336" s="52"/>
      <c r="AV336" s="52"/>
      <c r="AW336" s="52"/>
      <c r="AX336" s="52"/>
      <c r="AY336" s="52"/>
      <c r="AZ336" s="52">
        <f t="shared" si="155"/>
        <v>0</v>
      </c>
      <c r="BA336" s="52">
        <v>0</v>
      </c>
      <c r="BB336" s="52"/>
      <c r="BC336" s="52"/>
      <c r="BD336" s="52"/>
      <c r="BE336" s="52"/>
      <c r="BF336" s="52"/>
      <c r="BG336" s="52"/>
      <c r="BH336" s="52"/>
      <c r="BI336" s="52"/>
      <c r="BJ336" s="52"/>
      <c r="BK336" s="52">
        <f t="shared" si="156"/>
        <v>0</v>
      </c>
      <c r="BL336" s="52"/>
      <c r="BM336" s="52"/>
      <c r="BN336" s="52"/>
      <c r="BO336" s="52"/>
      <c r="BP336" s="52"/>
      <c r="BQ336" s="52"/>
      <c r="BR336" s="52"/>
      <c r="BS336" s="52"/>
      <c r="BT336" s="52"/>
      <c r="BU336" s="53"/>
      <c r="BV336" s="54">
        <f t="shared" si="152"/>
        <v>70000000</v>
      </c>
      <c r="BW336" s="55"/>
    </row>
    <row r="337" spans="1:80" s="190" customFormat="1" ht="110.25" customHeight="1" x14ac:dyDescent="0.2">
      <c r="A337" s="23">
        <v>4</v>
      </c>
      <c r="B337" s="218" t="s">
        <v>6</v>
      </c>
      <c r="C337" s="114" t="s">
        <v>860</v>
      </c>
      <c r="D337" s="114" t="s">
        <v>1</v>
      </c>
      <c r="E337" s="69">
        <v>71</v>
      </c>
      <c r="F337" s="6">
        <v>2018</v>
      </c>
      <c r="G337" s="17" t="s">
        <v>1487</v>
      </c>
      <c r="H337" s="69">
        <v>80</v>
      </c>
      <c r="I337" s="6">
        <v>45</v>
      </c>
      <c r="J337" s="6" t="s">
        <v>1294</v>
      </c>
      <c r="K337" s="15">
        <v>17</v>
      </c>
      <c r="L337" s="6" t="s">
        <v>888</v>
      </c>
      <c r="M337" s="206">
        <v>45</v>
      </c>
      <c r="N337" s="206">
        <v>4599</v>
      </c>
      <c r="O337" s="213" t="s">
        <v>1639</v>
      </c>
      <c r="P337" s="83" t="s">
        <v>1505</v>
      </c>
      <c r="Q337" s="6" t="s">
        <v>77</v>
      </c>
      <c r="R337" s="6">
        <v>4599029</v>
      </c>
      <c r="S337" s="114" t="s">
        <v>1506</v>
      </c>
      <c r="T337" s="83" t="s">
        <v>1507</v>
      </c>
      <c r="U337" s="6" t="s">
        <v>77</v>
      </c>
      <c r="V337" s="6">
        <v>459902900</v>
      </c>
      <c r="W337" s="85" t="s">
        <v>1508</v>
      </c>
      <c r="X337" s="83" t="s">
        <v>8</v>
      </c>
      <c r="Y337" s="6">
        <v>1</v>
      </c>
      <c r="Z337" s="83">
        <v>1</v>
      </c>
      <c r="AA337" s="83">
        <v>1</v>
      </c>
      <c r="AB337" s="83">
        <v>1</v>
      </c>
      <c r="AC337" s="83">
        <v>1</v>
      </c>
      <c r="AD337" s="50">
        <f t="shared" si="153"/>
        <v>486246103</v>
      </c>
      <c r="AE337" s="52">
        <f>386246103+100000000</f>
        <v>486246103</v>
      </c>
      <c r="AF337" s="52"/>
      <c r="AG337" s="52"/>
      <c r="AH337" s="52"/>
      <c r="AI337" s="52"/>
      <c r="AJ337" s="52"/>
      <c r="AK337" s="52"/>
      <c r="AL337" s="52"/>
      <c r="AM337" s="52"/>
      <c r="AN337" s="52"/>
      <c r="AO337" s="52">
        <f t="shared" si="154"/>
        <v>328096233</v>
      </c>
      <c r="AP337" s="52">
        <f>358096233+70000000-100000000</f>
        <v>328096233</v>
      </c>
      <c r="AQ337" s="52"/>
      <c r="AR337" s="52"/>
      <c r="AS337" s="52"/>
      <c r="AT337" s="52"/>
      <c r="AU337" s="52"/>
      <c r="AV337" s="52"/>
      <c r="AW337" s="52"/>
      <c r="AX337" s="52"/>
      <c r="AY337" s="52"/>
      <c r="AZ337" s="52">
        <f t="shared" si="155"/>
        <v>613282173.30999994</v>
      </c>
      <c r="BA337" s="52">
        <v>613282173.30999994</v>
      </c>
      <c r="BB337" s="52"/>
      <c r="BC337" s="52"/>
      <c r="BD337" s="52"/>
      <c r="BE337" s="52"/>
      <c r="BF337" s="52"/>
      <c r="BG337" s="52"/>
      <c r="BH337" s="52"/>
      <c r="BI337" s="52"/>
      <c r="BJ337" s="52"/>
      <c r="BK337" s="52">
        <f t="shared" si="156"/>
        <v>954703257</v>
      </c>
      <c r="BL337" s="52">
        <v>954703257</v>
      </c>
      <c r="BM337" s="52"/>
      <c r="BN337" s="52"/>
      <c r="BO337" s="52"/>
      <c r="BP337" s="52"/>
      <c r="BQ337" s="52"/>
      <c r="BR337" s="52"/>
      <c r="BS337" s="52"/>
      <c r="BT337" s="52"/>
      <c r="BU337" s="53"/>
      <c r="BV337" s="54">
        <f t="shared" si="152"/>
        <v>2382327766.3099999</v>
      </c>
      <c r="BW337" s="55"/>
    </row>
    <row r="338" spans="1:80" s="190" customFormat="1" ht="283.5" customHeight="1" x14ac:dyDescent="0.2">
      <c r="A338" s="23">
        <v>4</v>
      </c>
      <c r="B338" s="218" t="s">
        <v>6</v>
      </c>
      <c r="C338" s="114" t="s">
        <v>860</v>
      </c>
      <c r="D338" s="114" t="s">
        <v>1</v>
      </c>
      <c r="E338" s="69">
        <v>71</v>
      </c>
      <c r="F338" s="6">
        <v>2018</v>
      </c>
      <c r="G338" s="17" t="s">
        <v>1487</v>
      </c>
      <c r="H338" s="69">
        <v>80</v>
      </c>
      <c r="I338" s="6">
        <v>45</v>
      </c>
      <c r="J338" s="6" t="s">
        <v>1294</v>
      </c>
      <c r="K338" s="15">
        <v>17</v>
      </c>
      <c r="L338" s="6" t="s">
        <v>888</v>
      </c>
      <c r="M338" s="206">
        <v>45</v>
      </c>
      <c r="N338" s="206">
        <v>4599</v>
      </c>
      <c r="O338" s="213" t="s">
        <v>1639</v>
      </c>
      <c r="P338" s="83" t="s">
        <v>1509</v>
      </c>
      <c r="Q338" s="6" t="s">
        <v>77</v>
      </c>
      <c r="R338" s="6">
        <v>4599023</v>
      </c>
      <c r="S338" s="114" t="s">
        <v>145</v>
      </c>
      <c r="T338" s="83" t="s">
        <v>1510</v>
      </c>
      <c r="U338" s="6" t="s">
        <v>77</v>
      </c>
      <c r="V338" s="6">
        <v>459902304</v>
      </c>
      <c r="W338" s="85" t="s">
        <v>1654</v>
      </c>
      <c r="X338" s="83" t="s">
        <v>8</v>
      </c>
      <c r="Y338" s="6">
        <v>1</v>
      </c>
      <c r="Z338" s="83">
        <v>1</v>
      </c>
      <c r="AA338" s="83">
        <v>1</v>
      </c>
      <c r="AB338" s="83">
        <v>1</v>
      </c>
      <c r="AC338" s="83">
        <v>1</v>
      </c>
      <c r="AD338" s="50">
        <f t="shared" si="153"/>
        <v>255021326</v>
      </c>
      <c r="AE338" s="52">
        <v>255021326</v>
      </c>
      <c r="AF338" s="52"/>
      <c r="AG338" s="52"/>
      <c r="AH338" s="52"/>
      <c r="AI338" s="52"/>
      <c r="AJ338" s="52"/>
      <c r="AK338" s="52"/>
      <c r="AL338" s="52"/>
      <c r="AM338" s="52"/>
      <c r="AN338" s="52"/>
      <c r="AO338" s="52">
        <f t="shared" si="154"/>
        <v>253469814.19999999</v>
      </c>
      <c r="AP338" s="52">
        <f>153469814.2+100000000</f>
        <v>253469814.19999999</v>
      </c>
      <c r="AQ338" s="52"/>
      <c r="AR338" s="52"/>
      <c r="AS338" s="52"/>
      <c r="AT338" s="52"/>
      <c r="AU338" s="52"/>
      <c r="AV338" s="52"/>
      <c r="AW338" s="52"/>
      <c r="AX338" s="52"/>
      <c r="AY338" s="52"/>
      <c r="AZ338" s="52">
        <f t="shared" si="155"/>
        <v>362835217</v>
      </c>
      <c r="BA338" s="52">
        <f>262835217+100000000</f>
        <v>362835217</v>
      </c>
      <c r="BB338" s="52"/>
      <c r="BC338" s="52"/>
      <c r="BD338" s="52"/>
      <c r="BE338" s="52"/>
      <c r="BF338" s="52"/>
      <c r="BG338" s="52"/>
      <c r="BH338" s="52"/>
      <c r="BI338" s="52"/>
      <c r="BJ338" s="52"/>
      <c r="BK338" s="52">
        <f t="shared" si="156"/>
        <v>409158539</v>
      </c>
      <c r="BL338" s="52">
        <v>409158539</v>
      </c>
      <c r="BM338" s="52"/>
      <c r="BN338" s="52"/>
      <c r="BO338" s="52"/>
      <c r="BP338" s="52"/>
      <c r="BQ338" s="52"/>
      <c r="BR338" s="52"/>
      <c r="BS338" s="52"/>
      <c r="BT338" s="52"/>
      <c r="BU338" s="53"/>
      <c r="BV338" s="54">
        <f t="shared" si="152"/>
        <v>1280484896.2</v>
      </c>
      <c r="BW338" s="55"/>
    </row>
    <row r="339" spans="1:80" s="190" customFormat="1" ht="236.25" customHeight="1" x14ac:dyDescent="0.2">
      <c r="A339" s="23">
        <v>4</v>
      </c>
      <c r="B339" s="218" t="s">
        <v>6</v>
      </c>
      <c r="C339" s="114" t="s">
        <v>860</v>
      </c>
      <c r="D339" s="114" t="s">
        <v>1</v>
      </c>
      <c r="E339" s="69">
        <v>71</v>
      </c>
      <c r="F339" s="6">
        <v>2018</v>
      </c>
      <c r="G339" s="17" t="s">
        <v>1487</v>
      </c>
      <c r="H339" s="69">
        <v>80</v>
      </c>
      <c r="I339" s="6">
        <v>45</v>
      </c>
      <c r="J339" s="6" t="s">
        <v>1294</v>
      </c>
      <c r="K339" s="15">
        <v>17</v>
      </c>
      <c r="L339" s="6" t="s">
        <v>888</v>
      </c>
      <c r="M339" s="206">
        <v>45</v>
      </c>
      <c r="N339" s="206">
        <v>4599</v>
      </c>
      <c r="O339" s="213" t="s">
        <v>1639</v>
      </c>
      <c r="P339" s="83" t="s">
        <v>1511</v>
      </c>
      <c r="Q339" s="6" t="s">
        <v>77</v>
      </c>
      <c r="R339" s="6">
        <v>4599002</v>
      </c>
      <c r="S339" s="114" t="s">
        <v>3</v>
      </c>
      <c r="T339" s="83" t="s">
        <v>1512</v>
      </c>
      <c r="U339" s="6" t="s">
        <v>77</v>
      </c>
      <c r="V339" s="6">
        <v>459900200</v>
      </c>
      <c r="W339" s="85" t="s">
        <v>1513</v>
      </c>
      <c r="X339" s="83" t="s">
        <v>8</v>
      </c>
      <c r="Y339" s="6">
        <v>4</v>
      </c>
      <c r="Z339" s="6">
        <v>4</v>
      </c>
      <c r="AA339" s="6">
        <v>4</v>
      </c>
      <c r="AB339" s="6">
        <v>4</v>
      </c>
      <c r="AC339" s="6">
        <v>4</v>
      </c>
      <c r="AD339" s="50">
        <f t="shared" si="153"/>
        <v>31000000</v>
      </c>
      <c r="AE339" s="52">
        <v>31000000</v>
      </c>
      <c r="AF339" s="52"/>
      <c r="AG339" s="52"/>
      <c r="AH339" s="52"/>
      <c r="AI339" s="52"/>
      <c r="AJ339" s="52"/>
      <c r="AK339" s="52"/>
      <c r="AL339" s="52"/>
      <c r="AM339" s="52"/>
      <c r="AN339" s="52"/>
      <c r="AO339" s="52">
        <f t="shared" si="154"/>
        <v>50800000</v>
      </c>
      <c r="AP339" s="52">
        <f>25800000+25000000</f>
        <v>50800000</v>
      </c>
      <c r="AQ339" s="52"/>
      <c r="AR339" s="52"/>
      <c r="AS339" s="52"/>
      <c r="AT339" s="52"/>
      <c r="AU339" s="52"/>
      <c r="AV339" s="52"/>
      <c r="AW339" s="52"/>
      <c r="AX339" s="52"/>
      <c r="AY339" s="52"/>
      <c r="AZ339" s="52">
        <f t="shared" si="155"/>
        <v>71842767</v>
      </c>
      <c r="BA339" s="52">
        <v>71842767</v>
      </c>
      <c r="BB339" s="52"/>
      <c r="BC339" s="52"/>
      <c r="BD339" s="52"/>
      <c r="BE339" s="52"/>
      <c r="BF339" s="52"/>
      <c r="BG339" s="52"/>
      <c r="BH339" s="52"/>
      <c r="BI339" s="52"/>
      <c r="BJ339" s="52"/>
      <c r="BK339" s="52">
        <f t="shared" si="156"/>
        <v>140000000</v>
      </c>
      <c r="BL339" s="52">
        <v>140000000</v>
      </c>
      <c r="BM339" s="52"/>
      <c r="BN339" s="52"/>
      <c r="BO339" s="52"/>
      <c r="BP339" s="52"/>
      <c r="BQ339" s="52"/>
      <c r="BR339" s="52"/>
      <c r="BS339" s="52"/>
      <c r="BT339" s="52"/>
      <c r="BU339" s="53"/>
      <c r="BV339" s="54">
        <f t="shared" si="152"/>
        <v>293642767</v>
      </c>
      <c r="BW339" s="55"/>
    </row>
    <row r="340" spans="1:80" s="190" customFormat="1" ht="157.5" customHeight="1" x14ac:dyDescent="0.2">
      <c r="A340" s="23">
        <v>4</v>
      </c>
      <c r="B340" s="218" t="s">
        <v>6</v>
      </c>
      <c r="C340" s="114" t="s">
        <v>860</v>
      </c>
      <c r="D340" s="114" t="s">
        <v>1</v>
      </c>
      <c r="E340" s="69">
        <v>71</v>
      </c>
      <c r="F340" s="6">
        <v>2018</v>
      </c>
      <c r="G340" s="17" t="s">
        <v>1487</v>
      </c>
      <c r="H340" s="69">
        <v>80</v>
      </c>
      <c r="I340" s="6">
        <v>45</v>
      </c>
      <c r="J340" s="6" t="s">
        <v>1294</v>
      </c>
      <c r="K340" s="15">
        <v>17</v>
      </c>
      <c r="L340" s="6" t="s">
        <v>888</v>
      </c>
      <c r="M340" s="206">
        <v>45</v>
      </c>
      <c r="N340" s="206">
        <v>4599</v>
      </c>
      <c r="O340" s="213" t="s">
        <v>1639</v>
      </c>
      <c r="P340" s="148" t="s">
        <v>1514</v>
      </c>
      <c r="Q340" s="6" t="s">
        <v>77</v>
      </c>
      <c r="R340" s="6">
        <v>4599016</v>
      </c>
      <c r="S340" s="114" t="s">
        <v>1515</v>
      </c>
      <c r="T340" s="83" t="s">
        <v>1516</v>
      </c>
      <c r="U340" s="6" t="s">
        <v>77</v>
      </c>
      <c r="V340" s="6">
        <v>459901600</v>
      </c>
      <c r="W340" s="85" t="s">
        <v>1517</v>
      </c>
      <c r="X340" s="83" t="s">
        <v>8</v>
      </c>
      <c r="Y340" s="6">
        <v>4</v>
      </c>
      <c r="Z340" s="6">
        <v>4</v>
      </c>
      <c r="AA340" s="6">
        <v>4</v>
      </c>
      <c r="AB340" s="6">
        <v>4</v>
      </c>
      <c r="AC340" s="6">
        <v>4</v>
      </c>
      <c r="AD340" s="50">
        <f t="shared" si="153"/>
        <v>261850512.58000001</v>
      </c>
      <c r="AE340" s="52">
        <v>12013864.58</v>
      </c>
      <c r="AF340" s="52"/>
      <c r="AG340" s="52"/>
      <c r="AH340" s="52"/>
      <c r="AI340" s="52"/>
      <c r="AJ340" s="52"/>
      <c r="AK340" s="52"/>
      <c r="AL340" s="52"/>
      <c r="AM340" s="52"/>
      <c r="AN340" s="52">
        <f>60660648+189176000</f>
        <v>249836648</v>
      </c>
      <c r="AO340" s="52">
        <f t="shared" si="154"/>
        <v>214923743.75999999</v>
      </c>
      <c r="AP340" s="52">
        <v>28500000</v>
      </c>
      <c r="AQ340" s="52">
        <v>186423743.75999999</v>
      </c>
      <c r="AR340" s="52"/>
      <c r="AS340" s="52"/>
      <c r="AT340" s="52"/>
      <c r="AU340" s="52"/>
      <c r="AV340" s="52"/>
      <c r="AW340" s="52"/>
      <c r="AX340" s="52"/>
      <c r="AY340" s="52"/>
      <c r="AZ340" s="52">
        <f t="shared" si="155"/>
        <v>264273512.91</v>
      </c>
      <c r="BA340" s="52">
        <v>48255000</v>
      </c>
      <c r="BB340" s="52">
        <v>216018512.91</v>
      </c>
      <c r="BC340" s="52"/>
      <c r="BD340" s="52"/>
      <c r="BE340" s="52"/>
      <c r="BF340" s="52"/>
      <c r="BG340" s="52"/>
      <c r="BH340" s="52"/>
      <c r="BI340" s="52"/>
      <c r="BJ340" s="93"/>
      <c r="BK340" s="52">
        <f t="shared" si="156"/>
        <v>16680620807.055555</v>
      </c>
      <c r="BL340" s="52">
        <v>58398000</v>
      </c>
      <c r="BM340" s="52">
        <v>247221187.055556</v>
      </c>
      <c r="BN340" s="52"/>
      <c r="BO340" s="52"/>
      <c r="BP340" s="52"/>
      <c r="BQ340" s="52"/>
      <c r="BR340" s="52">
        <v>16375001620</v>
      </c>
      <c r="BS340" s="52"/>
      <c r="BT340" s="52"/>
      <c r="BU340" s="53"/>
      <c r="BV340" s="54">
        <f t="shared" si="152"/>
        <v>17421668576.305557</v>
      </c>
      <c r="BW340" s="77"/>
    </row>
    <row r="341" spans="1:80" s="190" customFormat="1" ht="141.75" customHeight="1" x14ac:dyDescent="0.2">
      <c r="A341" s="23">
        <v>4</v>
      </c>
      <c r="B341" s="218" t="s">
        <v>6</v>
      </c>
      <c r="C341" s="114" t="s">
        <v>860</v>
      </c>
      <c r="D341" s="17" t="s">
        <v>1533</v>
      </c>
      <c r="E341" s="73">
        <v>74.680000000000007</v>
      </c>
      <c r="F341" s="6">
        <v>2017</v>
      </c>
      <c r="G341" s="17" t="s">
        <v>1487</v>
      </c>
      <c r="H341" s="16">
        <v>75</v>
      </c>
      <c r="I341" s="6">
        <v>45</v>
      </c>
      <c r="J341" s="6" t="s">
        <v>1294</v>
      </c>
      <c r="K341" s="15">
        <v>17</v>
      </c>
      <c r="L341" s="6" t="s">
        <v>888</v>
      </c>
      <c r="M341" s="206">
        <v>45</v>
      </c>
      <c r="N341" s="206">
        <v>4599</v>
      </c>
      <c r="O341" s="213" t="s">
        <v>1639</v>
      </c>
      <c r="P341" s="83" t="s">
        <v>1537</v>
      </c>
      <c r="Q341" s="6" t="s">
        <v>77</v>
      </c>
      <c r="R341" s="6">
        <v>4599002</v>
      </c>
      <c r="S341" s="114" t="s">
        <v>18</v>
      </c>
      <c r="T341" s="83" t="s">
        <v>1538</v>
      </c>
      <c r="U341" s="6" t="s">
        <v>77</v>
      </c>
      <c r="V341" s="6">
        <v>459900200</v>
      </c>
      <c r="W341" s="85" t="s">
        <v>1539</v>
      </c>
      <c r="X341" s="83" t="s">
        <v>8</v>
      </c>
      <c r="Y341" s="6">
        <v>1</v>
      </c>
      <c r="Z341" s="6">
        <v>1</v>
      </c>
      <c r="AA341" s="6">
        <v>1</v>
      </c>
      <c r="AB341" s="6">
        <v>1</v>
      </c>
      <c r="AC341" s="6">
        <v>1</v>
      </c>
      <c r="AD341" s="50">
        <f t="shared" si="153"/>
        <v>570864000</v>
      </c>
      <c r="AE341" s="52">
        <f>270864000+300000000</f>
        <v>570864000</v>
      </c>
      <c r="AF341" s="52"/>
      <c r="AG341" s="52"/>
      <c r="AH341" s="52"/>
      <c r="AI341" s="52"/>
      <c r="AJ341" s="52"/>
      <c r="AK341" s="52"/>
      <c r="AL341" s="52"/>
      <c r="AM341" s="52"/>
      <c r="AN341" s="52"/>
      <c r="AO341" s="52">
        <f t="shared" si="154"/>
        <v>270864000</v>
      </c>
      <c r="AP341" s="52">
        <v>270864000</v>
      </c>
      <c r="AQ341" s="52"/>
      <c r="AR341" s="52"/>
      <c r="AS341" s="52"/>
      <c r="AT341" s="52"/>
      <c r="AU341" s="52"/>
      <c r="AV341" s="52"/>
      <c r="AW341" s="52"/>
      <c r="AX341" s="52"/>
      <c r="AY341" s="52"/>
      <c r="AZ341" s="52">
        <f t="shared" si="155"/>
        <v>1449710257.365</v>
      </c>
      <c r="BA341" s="52">
        <v>1449710257.365</v>
      </c>
      <c r="BB341" s="52"/>
      <c r="BC341" s="52"/>
      <c r="BD341" s="52"/>
      <c r="BE341" s="52"/>
      <c r="BF341" s="52"/>
      <c r="BG341" s="52"/>
      <c r="BH341" s="52"/>
      <c r="BI341" s="52"/>
      <c r="BJ341" s="52"/>
      <c r="BK341" s="52">
        <f t="shared" si="156"/>
        <v>200602690.97999999</v>
      </c>
      <c r="BL341" s="52">
        <v>200602690.97999999</v>
      </c>
      <c r="BM341" s="52"/>
      <c r="BN341" s="52"/>
      <c r="BO341" s="52"/>
      <c r="BP341" s="52"/>
      <c r="BQ341" s="52"/>
      <c r="BR341" s="52"/>
      <c r="BS341" s="52"/>
      <c r="BT341" s="52"/>
      <c r="BU341" s="53"/>
      <c r="BV341" s="54">
        <f t="shared" si="152"/>
        <v>2492040948.3449998</v>
      </c>
      <c r="BW341" s="55"/>
    </row>
    <row r="342" spans="1:80" s="190" customFormat="1" ht="90" x14ac:dyDescent="0.2">
      <c r="A342" s="23">
        <v>4</v>
      </c>
      <c r="B342" s="218" t="s">
        <v>6</v>
      </c>
      <c r="C342" s="114" t="s">
        <v>860</v>
      </c>
      <c r="D342" s="114" t="s">
        <v>11</v>
      </c>
      <c r="E342" s="73">
        <v>59.5</v>
      </c>
      <c r="F342" s="6">
        <v>2018</v>
      </c>
      <c r="G342" s="17" t="s">
        <v>1487</v>
      </c>
      <c r="H342" s="69">
        <v>65</v>
      </c>
      <c r="I342" s="6">
        <v>45</v>
      </c>
      <c r="J342" s="6" t="s">
        <v>1294</v>
      </c>
      <c r="K342" s="15">
        <v>17</v>
      </c>
      <c r="L342" s="6" t="s">
        <v>888</v>
      </c>
      <c r="M342" s="206">
        <v>45</v>
      </c>
      <c r="N342" s="206">
        <v>4599</v>
      </c>
      <c r="O342" s="213" t="s">
        <v>1639</v>
      </c>
      <c r="P342" s="83" t="s">
        <v>1518</v>
      </c>
      <c r="Q342" s="6" t="s">
        <v>77</v>
      </c>
      <c r="R342" s="6">
        <v>4599031</v>
      </c>
      <c r="S342" s="114" t="s">
        <v>1519</v>
      </c>
      <c r="T342" s="83" t="s">
        <v>1520</v>
      </c>
      <c r="U342" s="6" t="s">
        <v>77</v>
      </c>
      <c r="V342" s="6">
        <v>459903101</v>
      </c>
      <c r="W342" s="85" t="s">
        <v>1521</v>
      </c>
      <c r="X342" s="83" t="s">
        <v>8</v>
      </c>
      <c r="Y342" s="6">
        <v>12</v>
      </c>
      <c r="Z342" s="6">
        <v>12</v>
      </c>
      <c r="AA342" s="6">
        <v>12</v>
      </c>
      <c r="AB342" s="6">
        <v>12</v>
      </c>
      <c r="AC342" s="6">
        <v>12</v>
      </c>
      <c r="AD342" s="50">
        <f t="shared" si="153"/>
        <v>15000000</v>
      </c>
      <c r="AE342" s="52">
        <v>15000000</v>
      </c>
      <c r="AF342" s="52"/>
      <c r="AG342" s="52"/>
      <c r="AH342" s="52"/>
      <c r="AI342" s="52"/>
      <c r="AJ342" s="52"/>
      <c r="AK342" s="52"/>
      <c r="AL342" s="52"/>
      <c r="AM342" s="52"/>
      <c r="AN342" s="52"/>
      <c r="AO342" s="52">
        <f t="shared" si="154"/>
        <v>30000000</v>
      </c>
      <c r="AP342" s="52">
        <v>30000000</v>
      </c>
      <c r="AQ342" s="52"/>
      <c r="AR342" s="52"/>
      <c r="AS342" s="52"/>
      <c r="AT342" s="52"/>
      <c r="AU342" s="52"/>
      <c r="AV342" s="52"/>
      <c r="AW342" s="52"/>
      <c r="AX342" s="52"/>
      <c r="AY342" s="52"/>
      <c r="AZ342" s="52">
        <f t="shared" si="155"/>
        <v>36000000</v>
      </c>
      <c r="BA342" s="52">
        <v>36000000</v>
      </c>
      <c r="BB342" s="52"/>
      <c r="BC342" s="52"/>
      <c r="BD342" s="52"/>
      <c r="BE342" s="52"/>
      <c r="BF342" s="52"/>
      <c r="BG342" s="52"/>
      <c r="BH342" s="52"/>
      <c r="BI342" s="52"/>
      <c r="BJ342" s="52"/>
      <c r="BK342" s="52">
        <f t="shared" si="156"/>
        <v>0</v>
      </c>
      <c r="BL342" s="52"/>
      <c r="BM342" s="52"/>
      <c r="BN342" s="52"/>
      <c r="BO342" s="52"/>
      <c r="BP342" s="52"/>
      <c r="BQ342" s="52"/>
      <c r="BR342" s="52"/>
      <c r="BS342" s="52"/>
      <c r="BT342" s="52"/>
      <c r="BU342" s="53"/>
      <c r="BV342" s="54">
        <f t="shared" si="152"/>
        <v>81000000</v>
      </c>
      <c r="BW342" s="55"/>
    </row>
    <row r="343" spans="1:80" s="190" customFormat="1" ht="90" x14ac:dyDescent="0.2">
      <c r="A343" s="23">
        <v>4</v>
      </c>
      <c r="B343" s="218" t="s">
        <v>6</v>
      </c>
      <c r="C343" s="114" t="s">
        <v>860</v>
      </c>
      <c r="D343" s="114" t="s">
        <v>11</v>
      </c>
      <c r="E343" s="73">
        <v>59.5</v>
      </c>
      <c r="F343" s="6">
        <v>2018</v>
      </c>
      <c r="G343" s="17" t="s">
        <v>1487</v>
      </c>
      <c r="H343" s="69">
        <v>65</v>
      </c>
      <c r="I343" s="6">
        <v>45</v>
      </c>
      <c r="J343" s="6" t="s">
        <v>1294</v>
      </c>
      <c r="K343" s="15">
        <v>17</v>
      </c>
      <c r="L343" s="6" t="s">
        <v>888</v>
      </c>
      <c r="M343" s="206">
        <v>45</v>
      </c>
      <c r="N343" s="206">
        <v>4599</v>
      </c>
      <c r="O343" s="213" t="s">
        <v>1639</v>
      </c>
      <c r="P343" s="83" t="s">
        <v>1522</v>
      </c>
      <c r="Q343" s="6" t="s">
        <v>77</v>
      </c>
      <c r="R343" s="6">
        <v>4599031</v>
      </c>
      <c r="S343" s="114" t="s">
        <v>13</v>
      </c>
      <c r="T343" s="83" t="s">
        <v>1523</v>
      </c>
      <c r="U343" s="6" t="s">
        <v>77</v>
      </c>
      <c r="V343" s="6">
        <v>459903101</v>
      </c>
      <c r="W343" s="85" t="s">
        <v>1521</v>
      </c>
      <c r="X343" s="83" t="s">
        <v>8</v>
      </c>
      <c r="Y343" s="6">
        <v>12</v>
      </c>
      <c r="Z343" s="6">
        <v>12</v>
      </c>
      <c r="AA343" s="6">
        <v>12</v>
      </c>
      <c r="AB343" s="6">
        <v>12</v>
      </c>
      <c r="AC343" s="6">
        <v>12</v>
      </c>
      <c r="AD343" s="50">
        <f t="shared" si="153"/>
        <v>23000000</v>
      </c>
      <c r="AE343" s="52">
        <v>23000000</v>
      </c>
      <c r="AF343" s="52"/>
      <c r="AG343" s="52"/>
      <c r="AH343" s="52"/>
      <c r="AI343" s="52"/>
      <c r="AJ343" s="52"/>
      <c r="AK343" s="52"/>
      <c r="AL343" s="52"/>
      <c r="AM343" s="52"/>
      <c r="AN343" s="52"/>
      <c r="AO343" s="52">
        <f t="shared" si="154"/>
        <v>32342078.760000002</v>
      </c>
      <c r="AP343" s="52">
        <f>19342078.76+13000000</f>
        <v>32342078.760000002</v>
      </c>
      <c r="AQ343" s="52"/>
      <c r="AR343" s="52"/>
      <c r="AS343" s="52"/>
      <c r="AT343" s="52"/>
      <c r="AU343" s="52"/>
      <c r="AV343" s="52"/>
      <c r="AW343" s="52"/>
      <c r="AX343" s="52"/>
      <c r="AY343" s="52"/>
      <c r="AZ343" s="52">
        <f t="shared" si="155"/>
        <v>35505398</v>
      </c>
      <c r="BA343" s="52">
        <f>17505398+18000000</f>
        <v>35505398</v>
      </c>
      <c r="BB343" s="52"/>
      <c r="BC343" s="52"/>
      <c r="BD343" s="52"/>
      <c r="BE343" s="52"/>
      <c r="BF343" s="52"/>
      <c r="BG343" s="52"/>
      <c r="BH343" s="52"/>
      <c r="BI343" s="52"/>
      <c r="BJ343" s="52"/>
      <c r="BK343" s="52">
        <f t="shared" si="156"/>
        <v>50236666.390000001</v>
      </c>
      <c r="BL343" s="52">
        <f>27236666.39+23000000</f>
        <v>50236666.390000001</v>
      </c>
      <c r="BM343" s="52"/>
      <c r="BN343" s="52"/>
      <c r="BO343" s="52"/>
      <c r="BP343" s="52"/>
      <c r="BQ343" s="52"/>
      <c r="BR343" s="52"/>
      <c r="BS343" s="52"/>
      <c r="BT343" s="52"/>
      <c r="BU343" s="53"/>
      <c r="BV343" s="54">
        <f t="shared" si="152"/>
        <v>141084143.15000001</v>
      </c>
      <c r="BW343" s="55"/>
    </row>
    <row r="344" spans="1:80" s="190" customFormat="1" ht="90" x14ac:dyDescent="0.2">
      <c r="A344" s="23">
        <v>4</v>
      </c>
      <c r="B344" s="218" t="s">
        <v>6</v>
      </c>
      <c r="C344" s="114" t="s">
        <v>860</v>
      </c>
      <c r="D344" s="114" t="s">
        <v>11</v>
      </c>
      <c r="E344" s="73">
        <v>59.5</v>
      </c>
      <c r="F344" s="6">
        <v>2018</v>
      </c>
      <c r="G344" s="17" t="s">
        <v>1487</v>
      </c>
      <c r="H344" s="69">
        <v>65</v>
      </c>
      <c r="I344" s="6">
        <v>45</v>
      </c>
      <c r="J344" s="6" t="s">
        <v>1294</v>
      </c>
      <c r="K344" s="15">
        <v>17</v>
      </c>
      <c r="L344" s="6" t="s">
        <v>888</v>
      </c>
      <c r="M344" s="206">
        <v>45</v>
      </c>
      <c r="N344" s="206">
        <v>4599</v>
      </c>
      <c r="O344" s="213" t="s">
        <v>1639</v>
      </c>
      <c r="P344" s="83" t="s">
        <v>1524</v>
      </c>
      <c r="Q344" s="6" t="s">
        <v>77</v>
      </c>
      <c r="R344" s="6">
        <v>4599031</v>
      </c>
      <c r="S344" s="114" t="s">
        <v>16</v>
      </c>
      <c r="T344" s="83" t="s">
        <v>1525</v>
      </c>
      <c r="U344" s="6" t="s">
        <v>77</v>
      </c>
      <c r="V344" s="6">
        <v>459903101</v>
      </c>
      <c r="W344" s="85" t="s">
        <v>1521</v>
      </c>
      <c r="X344" s="83" t="s">
        <v>8</v>
      </c>
      <c r="Y344" s="6">
        <v>12</v>
      </c>
      <c r="Z344" s="6">
        <v>12</v>
      </c>
      <c r="AA344" s="6">
        <v>12</v>
      </c>
      <c r="AB344" s="6">
        <v>12</v>
      </c>
      <c r="AC344" s="6">
        <v>12</v>
      </c>
      <c r="AD344" s="50">
        <f t="shared" si="153"/>
        <v>17312522.300000001</v>
      </c>
      <c r="AE344" s="50">
        <v>17312522.300000001</v>
      </c>
      <c r="AF344" s="52"/>
      <c r="AG344" s="52"/>
      <c r="AH344" s="52"/>
      <c r="AI344" s="52"/>
      <c r="AJ344" s="52"/>
      <c r="AK344" s="52"/>
      <c r="AL344" s="52"/>
      <c r="AM344" s="52"/>
      <c r="AN344" s="52"/>
      <c r="AO344" s="52">
        <f t="shared" si="154"/>
        <v>32894719</v>
      </c>
      <c r="AP344" s="52">
        <f>12894719+20000000</f>
        <v>32894719</v>
      </c>
      <c r="AQ344" s="52"/>
      <c r="AR344" s="52"/>
      <c r="AS344" s="52"/>
      <c r="AT344" s="52"/>
      <c r="AU344" s="52"/>
      <c r="AV344" s="52"/>
      <c r="AW344" s="52"/>
      <c r="AX344" s="52"/>
      <c r="AY344" s="52"/>
      <c r="AZ344" s="52">
        <f t="shared" si="155"/>
        <v>35505397</v>
      </c>
      <c r="BA344" s="52">
        <f>17505397+18000000</f>
        <v>35505397</v>
      </c>
      <c r="BB344" s="52"/>
      <c r="BC344" s="52"/>
      <c r="BD344" s="52"/>
      <c r="BE344" s="52"/>
      <c r="BF344" s="52"/>
      <c r="BG344" s="52"/>
      <c r="BH344" s="52"/>
      <c r="BI344" s="52"/>
      <c r="BJ344" s="52"/>
      <c r="BK344" s="52">
        <f t="shared" si="156"/>
        <v>50854999.579999998</v>
      </c>
      <c r="BL344" s="52">
        <f>40854999.58+10000000</f>
        <v>50854999.579999998</v>
      </c>
      <c r="BM344" s="52"/>
      <c r="BN344" s="52"/>
      <c r="BO344" s="52"/>
      <c r="BP344" s="52"/>
      <c r="BQ344" s="52"/>
      <c r="BR344" s="52"/>
      <c r="BS344" s="52"/>
      <c r="BT344" s="52"/>
      <c r="BU344" s="53"/>
      <c r="BV344" s="54">
        <f t="shared" si="152"/>
        <v>136567637.88</v>
      </c>
      <c r="BW344" s="55"/>
    </row>
    <row r="345" spans="1:80" s="190" customFormat="1" ht="90" x14ac:dyDescent="0.2">
      <c r="A345" s="23">
        <v>4</v>
      </c>
      <c r="B345" s="218" t="s">
        <v>6</v>
      </c>
      <c r="C345" s="114" t="s">
        <v>860</v>
      </c>
      <c r="D345" s="114" t="s">
        <v>11</v>
      </c>
      <c r="E345" s="73">
        <v>59.5</v>
      </c>
      <c r="F345" s="6">
        <v>2018</v>
      </c>
      <c r="G345" s="17" t="s">
        <v>1487</v>
      </c>
      <c r="H345" s="69">
        <v>65</v>
      </c>
      <c r="I345" s="6">
        <v>45</v>
      </c>
      <c r="J345" s="6" t="s">
        <v>1294</v>
      </c>
      <c r="K345" s="15">
        <v>17</v>
      </c>
      <c r="L345" s="6" t="s">
        <v>888</v>
      </c>
      <c r="M345" s="206">
        <v>45</v>
      </c>
      <c r="N345" s="206">
        <v>4599</v>
      </c>
      <c r="O345" s="213" t="s">
        <v>1639</v>
      </c>
      <c r="P345" s="83" t="s">
        <v>1526</v>
      </c>
      <c r="Q345" s="6" t="s">
        <v>77</v>
      </c>
      <c r="R345" s="6">
        <v>4599031</v>
      </c>
      <c r="S345" s="114" t="s">
        <v>14</v>
      </c>
      <c r="T345" s="83" t="s">
        <v>1527</v>
      </c>
      <c r="U345" s="6" t="s">
        <v>77</v>
      </c>
      <c r="V345" s="6">
        <v>459903101</v>
      </c>
      <c r="W345" s="85" t="s">
        <v>1521</v>
      </c>
      <c r="X345" s="83" t="s">
        <v>8</v>
      </c>
      <c r="Y345" s="6">
        <v>12</v>
      </c>
      <c r="Z345" s="6">
        <v>12</v>
      </c>
      <c r="AA345" s="6">
        <v>12</v>
      </c>
      <c r="AB345" s="6">
        <v>12</v>
      </c>
      <c r="AC345" s="6">
        <v>12</v>
      </c>
      <c r="AD345" s="50">
        <f t="shared" si="153"/>
        <v>45000000</v>
      </c>
      <c r="AE345" s="52">
        <v>45000000</v>
      </c>
      <c r="AF345" s="52"/>
      <c r="AG345" s="52"/>
      <c r="AH345" s="52"/>
      <c r="AI345" s="52"/>
      <c r="AJ345" s="52"/>
      <c r="AK345" s="52"/>
      <c r="AL345" s="52"/>
      <c r="AM345" s="52"/>
      <c r="AN345" s="52"/>
      <c r="AO345" s="52">
        <f t="shared" si="154"/>
        <v>26342078</v>
      </c>
      <c r="AP345" s="52">
        <f>19342078+7000000</f>
        <v>26342078</v>
      </c>
      <c r="AQ345" s="52"/>
      <c r="AR345" s="52"/>
      <c r="AS345" s="52"/>
      <c r="AT345" s="52"/>
      <c r="AU345" s="52"/>
      <c r="AV345" s="52"/>
      <c r="AW345" s="52"/>
      <c r="AX345" s="52"/>
      <c r="AY345" s="52"/>
      <c r="AZ345" s="52">
        <f t="shared" si="155"/>
        <v>36258096</v>
      </c>
      <c r="BA345" s="52">
        <f>26258096+10000000</f>
        <v>36258096</v>
      </c>
      <c r="BB345" s="52"/>
      <c r="BC345" s="52"/>
      <c r="BD345" s="52"/>
      <c r="BE345" s="52"/>
      <c r="BF345" s="52"/>
      <c r="BG345" s="52"/>
      <c r="BH345" s="52"/>
      <c r="BI345" s="52"/>
      <c r="BJ345" s="52"/>
      <c r="BK345" s="52">
        <f t="shared" si="156"/>
        <v>50854999.579999998</v>
      </c>
      <c r="BL345" s="52">
        <f>40854999.58+10000000</f>
        <v>50854999.579999998</v>
      </c>
      <c r="BM345" s="52"/>
      <c r="BN345" s="52"/>
      <c r="BO345" s="52"/>
      <c r="BP345" s="52"/>
      <c r="BQ345" s="52"/>
      <c r="BR345" s="52"/>
      <c r="BS345" s="52"/>
      <c r="BT345" s="52"/>
      <c r="BU345" s="53"/>
      <c r="BV345" s="54">
        <f t="shared" si="152"/>
        <v>158455173.57999998</v>
      </c>
      <c r="BW345" s="55"/>
    </row>
    <row r="346" spans="1:80" s="190" customFormat="1" ht="90" x14ac:dyDescent="0.2">
      <c r="A346" s="23">
        <v>4</v>
      </c>
      <c r="B346" s="218" t="s">
        <v>6</v>
      </c>
      <c r="C346" s="114" t="s">
        <v>860</v>
      </c>
      <c r="D346" s="114" t="s">
        <v>11</v>
      </c>
      <c r="E346" s="73">
        <v>59.5</v>
      </c>
      <c r="F346" s="6">
        <v>2018</v>
      </c>
      <c r="G346" s="17" t="s">
        <v>1487</v>
      </c>
      <c r="H346" s="69">
        <v>65</v>
      </c>
      <c r="I346" s="6">
        <v>45</v>
      </c>
      <c r="J346" s="6" t="s">
        <v>1294</v>
      </c>
      <c r="K346" s="15">
        <v>17</v>
      </c>
      <c r="L346" s="6" t="s">
        <v>888</v>
      </c>
      <c r="M346" s="206">
        <v>45</v>
      </c>
      <c r="N346" s="206">
        <v>4599</v>
      </c>
      <c r="O346" s="213" t="s">
        <v>1639</v>
      </c>
      <c r="P346" s="148" t="s">
        <v>1528</v>
      </c>
      <c r="Q346" s="6" t="s">
        <v>77</v>
      </c>
      <c r="R346" s="6">
        <v>4599031</v>
      </c>
      <c r="S346" s="114" t="s">
        <v>15</v>
      </c>
      <c r="T346" s="83" t="s">
        <v>1529</v>
      </c>
      <c r="U346" s="6" t="s">
        <v>77</v>
      </c>
      <c r="V346" s="6">
        <v>459903101</v>
      </c>
      <c r="W346" s="85" t="s">
        <v>1521</v>
      </c>
      <c r="X346" s="83" t="s">
        <v>8</v>
      </c>
      <c r="Y346" s="6">
        <v>12</v>
      </c>
      <c r="Z346" s="6">
        <v>12</v>
      </c>
      <c r="AA346" s="6">
        <v>12</v>
      </c>
      <c r="AB346" s="6">
        <v>12</v>
      </c>
      <c r="AC346" s="6">
        <v>12</v>
      </c>
      <c r="AD346" s="50">
        <f t="shared" si="153"/>
        <v>23000000</v>
      </c>
      <c r="AE346" s="52">
        <v>23000000</v>
      </c>
      <c r="AF346" s="52"/>
      <c r="AG346" s="52"/>
      <c r="AH346" s="52"/>
      <c r="AI346" s="52"/>
      <c r="AJ346" s="52"/>
      <c r="AK346" s="52"/>
      <c r="AL346" s="52"/>
      <c r="AM346" s="52"/>
      <c r="AN346" s="52"/>
      <c r="AO346" s="52">
        <f t="shared" si="154"/>
        <v>32342078</v>
      </c>
      <c r="AP346" s="52">
        <f>19342078+13000000</f>
        <v>32342078</v>
      </c>
      <c r="AQ346" s="52"/>
      <c r="AR346" s="52"/>
      <c r="AS346" s="52"/>
      <c r="AT346" s="52"/>
      <c r="AU346" s="52"/>
      <c r="AV346" s="52"/>
      <c r="AW346" s="52"/>
      <c r="AX346" s="52"/>
      <c r="AY346" s="52"/>
      <c r="AZ346" s="52">
        <f t="shared" si="155"/>
        <v>36258096</v>
      </c>
      <c r="BA346" s="52">
        <f>26258096+10000000</f>
        <v>36258096</v>
      </c>
      <c r="BB346" s="52"/>
      <c r="BC346" s="52"/>
      <c r="BD346" s="52"/>
      <c r="BE346" s="52"/>
      <c r="BF346" s="52"/>
      <c r="BG346" s="52"/>
      <c r="BH346" s="52"/>
      <c r="BI346" s="52"/>
      <c r="BJ346" s="52"/>
      <c r="BK346" s="52">
        <f t="shared" si="156"/>
        <v>50854999.579999998</v>
      </c>
      <c r="BL346" s="52">
        <f>40854999.58+10000000</f>
        <v>50854999.579999998</v>
      </c>
      <c r="BM346" s="52"/>
      <c r="BN346" s="52"/>
      <c r="BO346" s="52"/>
      <c r="BP346" s="52"/>
      <c r="BQ346" s="52"/>
      <c r="BR346" s="52"/>
      <c r="BS346" s="52"/>
      <c r="BT346" s="52"/>
      <c r="BU346" s="53"/>
      <c r="BV346" s="54">
        <f t="shared" si="152"/>
        <v>142455173.57999998</v>
      </c>
      <c r="BW346" s="55"/>
    </row>
    <row r="347" spans="1:80" s="190" customFormat="1" ht="90" x14ac:dyDescent="0.2">
      <c r="A347" s="23">
        <v>4</v>
      </c>
      <c r="B347" s="218" t="s">
        <v>6</v>
      </c>
      <c r="C347" s="114" t="s">
        <v>860</v>
      </c>
      <c r="D347" s="114" t="s">
        <v>11</v>
      </c>
      <c r="E347" s="73">
        <v>59.5</v>
      </c>
      <c r="F347" s="6">
        <v>2018</v>
      </c>
      <c r="G347" s="17" t="s">
        <v>1487</v>
      </c>
      <c r="H347" s="69">
        <v>65</v>
      </c>
      <c r="I347" s="6">
        <v>45</v>
      </c>
      <c r="J347" s="6" t="s">
        <v>1294</v>
      </c>
      <c r="K347" s="15">
        <v>17</v>
      </c>
      <c r="L347" s="6" t="s">
        <v>888</v>
      </c>
      <c r="M347" s="206">
        <v>45</v>
      </c>
      <c r="N347" s="206">
        <v>4599</v>
      </c>
      <c r="O347" s="213" t="s">
        <v>1639</v>
      </c>
      <c r="P347" s="83" t="s">
        <v>1530</v>
      </c>
      <c r="Q347" s="6" t="s">
        <v>77</v>
      </c>
      <c r="R347" s="6">
        <v>4599031</v>
      </c>
      <c r="S347" s="114" t="s">
        <v>12</v>
      </c>
      <c r="T347" s="83" t="s">
        <v>1531</v>
      </c>
      <c r="U347" s="6" t="s">
        <v>77</v>
      </c>
      <c r="V347" s="6">
        <v>459903101</v>
      </c>
      <c r="W347" s="85" t="s">
        <v>1532</v>
      </c>
      <c r="X347" s="83" t="s">
        <v>8</v>
      </c>
      <c r="Y347" s="6">
        <v>12</v>
      </c>
      <c r="Z347" s="6">
        <v>12</v>
      </c>
      <c r="AA347" s="6">
        <v>12</v>
      </c>
      <c r="AB347" s="6">
        <v>12</v>
      </c>
      <c r="AC347" s="6">
        <v>12</v>
      </c>
      <c r="AD347" s="50">
        <f t="shared" si="153"/>
        <v>68325000</v>
      </c>
      <c r="AE347" s="52">
        <f>83325000-15000000</f>
        <v>68325000</v>
      </c>
      <c r="AF347" s="52"/>
      <c r="AG347" s="52"/>
      <c r="AH347" s="52"/>
      <c r="AI347" s="52"/>
      <c r="AJ347" s="52"/>
      <c r="AK347" s="52"/>
      <c r="AL347" s="52"/>
      <c r="AM347" s="52"/>
      <c r="AN347" s="52"/>
      <c r="AO347" s="52">
        <f t="shared" si="154"/>
        <v>25788540.239999998</v>
      </c>
      <c r="AP347" s="52">
        <v>25788540.239999998</v>
      </c>
      <c r="AQ347" s="52"/>
      <c r="AR347" s="52"/>
      <c r="AS347" s="52"/>
      <c r="AT347" s="52"/>
      <c r="AU347" s="52"/>
      <c r="AV347" s="52"/>
      <c r="AW347" s="52"/>
      <c r="AX347" s="52"/>
      <c r="AY347" s="52"/>
      <c r="AZ347" s="52">
        <f t="shared" si="155"/>
        <v>26258096</v>
      </c>
      <c r="BA347" s="52">
        <v>26258096</v>
      </c>
      <c r="BB347" s="52"/>
      <c r="BC347" s="52"/>
      <c r="BD347" s="52"/>
      <c r="BE347" s="52"/>
      <c r="BF347" s="52"/>
      <c r="BG347" s="52"/>
      <c r="BH347" s="52"/>
      <c r="BI347" s="52"/>
      <c r="BJ347" s="52"/>
      <c r="BK347" s="52">
        <f t="shared" si="156"/>
        <v>50236666.379999995</v>
      </c>
      <c r="BL347" s="52">
        <f>27236666.38+23000000</f>
        <v>50236666.379999995</v>
      </c>
      <c r="BM347" s="52"/>
      <c r="BN347" s="52"/>
      <c r="BO347" s="52"/>
      <c r="BP347" s="52"/>
      <c r="BQ347" s="52"/>
      <c r="BR347" s="52"/>
      <c r="BS347" s="52"/>
      <c r="BT347" s="52"/>
      <c r="BU347" s="53"/>
      <c r="BV347" s="54">
        <f t="shared" si="152"/>
        <v>170608302.62</v>
      </c>
      <c r="BW347" s="149"/>
    </row>
    <row r="348" spans="1:80" s="182" customFormat="1" ht="18.75" customHeight="1" x14ac:dyDescent="0.25">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c r="AA348" s="222"/>
      <c r="AB348" s="222"/>
      <c r="AC348" s="222"/>
      <c r="AD348" s="191">
        <f t="shared" ref="AD348:AF348" si="157">+AD8+AD187+AD248+AD303</f>
        <v>439008917914.27832</v>
      </c>
      <c r="AE348" s="191">
        <f t="shared" si="157"/>
        <v>19436668268.158314</v>
      </c>
      <c r="AF348" s="191">
        <f t="shared" si="157"/>
        <v>54527405979.910004</v>
      </c>
      <c r="AG348" s="191">
        <f t="shared" ref="AG348:AN348" si="158">+AG8+AG187+AG248+AG303</f>
        <v>159986260498.45999</v>
      </c>
      <c r="AH348" s="191">
        <f t="shared" si="158"/>
        <v>5358388785.5</v>
      </c>
      <c r="AI348" s="191">
        <f t="shared" si="158"/>
        <v>2686652877.1199999</v>
      </c>
      <c r="AJ348" s="191">
        <f t="shared" si="158"/>
        <v>12173030541.870001</v>
      </c>
      <c r="AK348" s="191">
        <f t="shared" si="158"/>
        <v>181231360492</v>
      </c>
      <c r="AL348" s="191">
        <f t="shared" si="158"/>
        <v>0</v>
      </c>
      <c r="AM348" s="191">
        <f t="shared" si="158"/>
        <v>0</v>
      </c>
      <c r="AN348" s="191">
        <f t="shared" si="158"/>
        <v>3609150471.2600002</v>
      </c>
      <c r="AO348" s="191">
        <f t="shared" ref="AO348:BV348" si="159">+AO8+AO187+AO248+AO303</f>
        <v>285939594112.73407</v>
      </c>
      <c r="AP348" s="191">
        <f t="shared" si="159"/>
        <v>13574449587.239037</v>
      </c>
      <c r="AQ348" s="191">
        <f t="shared" si="159"/>
        <v>44941311073.090004</v>
      </c>
      <c r="AR348" s="191">
        <f t="shared" si="159"/>
        <v>168763077602.9024</v>
      </c>
      <c r="AS348" s="191">
        <f t="shared" si="159"/>
        <v>6025369898</v>
      </c>
      <c r="AT348" s="191">
        <f t="shared" si="159"/>
        <v>2751236459.1726003</v>
      </c>
      <c r="AU348" s="191">
        <f t="shared" si="159"/>
        <v>12209698141.98</v>
      </c>
      <c r="AV348" s="191">
        <f t="shared" si="159"/>
        <v>35536123180</v>
      </c>
      <c r="AW348" s="191">
        <f t="shared" si="159"/>
        <v>0</v>
      </c>
      <c r="AX348" s="191">
        <f t="shared" si="159"/>
        <v>0</v>
      </c>
      <c r="AY348" s="191">
        <f t="shared" si="159"/>
        <v>2138328170.3499999</v>
      </c>
      <c r="AZ348" s="191">
        <f t="shared" si="159"/>
        <v>311530757024.52936</v>
      </c>
      <c r="BA348" s="191">
        <f t="shared" si="159"/>
        <v>22523762366.988434</v>
      </c>
      <c r="BB348" s="191">
        <f t="shared" si="159"/>
        <v>48567030261.876556</v>
      </c>
      <c r="BC348" s="191">
        <f t="shared" si="159"/>
        <v>182189022471</v>
      </c>
      <c r="BD348" s="191">
        <f t="shared" si="159"/>
        <v>6206130995</v>
      </c>
      <c r="BE348" s="191">
        <f t="shared" si="159"/>
        <v>2833773552.9477782</v>
      </c>
      <c r="BF348" s="191">
        <f t="shared" si="159"/>
        <v>12575989086</v>
      </c>
      <c r="BG348" s="191">
        <f t="shared" si="159"/>
        <v>34432570276</v>
      </c>
      <c r="BH348" s="191">
        <f t="shared" si="159"/>
        <v>0</v>
      </c>
      <c r="BI348" s="191">
        <f t="shared" si="159"/>
        <v>0</v>
      </c>
      <c r="BJ348" s="191">
        <f t="shared" si="159"/>
        <v>2202478014.7165999</v>
      </c>
      <c r="BK348" s="191">
        <f t="shared" si="159"/>
        <v>344448990058.65967</v>
      </c>
      <c r="BL348" s="191">
        <f t="shared" si="159"/>
        <v>34478796655.547287</v>
      </c>
      <c r="BM348" s="191">
        <f t="shared" si="159"/>
        <v>52769133028.888</v>
      </c>
      <c r="BN348" s="191">
        <f t="shared" si="159"/>
        <v>196686789889</v>
      </c>
      <c r="BO348" s="191">
        <f t="shared" si="159"/>
        <v>6392314925</v>
      </c>
      <c r="BP348" s="191">
        <f t="shared" si="159"/>
        <v>2918786759.536212</v>
      </c>
      <c r="BQ348" s="191">
        <f t="shared" si="159"/>
        <v>12953268759</v>
      </c>
      <c r="BR348" s="191">
        <f t="shared" si="159"/>
        <v>35981347686</v>
      </c>
      <c r="BS348" s="191">
        <f t="shared" si="159"/>
        <v>0</v>
      </c>
      <c r="BT348" s="191">
        <f t="shared" si="159"/>
        <v>0</v>
      </c>
      <c r="BU348" s="191">
        <f t="shared" si="159"/>
        <v>2268552355.6881151</v>
      </c>
      <c r="BV348" s="192">
        <f t="shared" si="159"/>
        <v>1380976235110.2014</v>
      </c>
      <c r="BW348" s="193"/>
      <c r="CB348" s="173"/>
    </row>
    <row r="349" spans="1:80" ht="23.25" customHeight="1" x14ac:dyDescent="0.2">
      <c r="A349" s="151"/>
      <c r="B349" s="151"/>
      <c r="C349" s="151"/>
      <c r="D349" s="151"/>
      <c r="E349" s="153"/>
      <c r="F349" s="151"/>
      <c r="G349" s="151"/>
      <c r="H349" s="153"/>
      <c r="I349" s="151"/>
      <c r="J349" s="151"/>
      <c r="K349" s="151"/>
      <c r="L349" s="151"/>
      <c r="M349" s="151"/>
      <c r="N349" s="151"/>
      <c r="O349" s="151"/>
      <c r="P349" s="151"/>
      <c r="Q349" s="151"/>
      <c r="R349" s="151"/>
      <c r="S349" s="151"/>
      <c r="T349" s="151"/>
      <c r="U349" s="151"/>
      <c r="V349" s="151"/>
      <c r="W349" s="151"/>
      <c r="X349" s="152"/>
      <c r="Y349" s="152"/>
      <c r="Z349" s="152"/>
      <c r="AA349" s="152"/>
      <c r="AB349" s="152"/>
      <c r="AC349" s="152"/>
      <c r="AD349" s="150"/>
      <c r="AE349" s="194"/>
      <c r="AF349" s="151"/>
      <c r="AG349" s="151"/>
      <c r="AH349" s="151"/>
      <c r="AI349" s="151"/>
      <c r="AJ349" s="151"/>
      <c r="AK349" s="151"/>
      <c r="AL349" s="151"/>
      <c r="AM349" s="151"/>
      <c r="AN349" s="151"/>
      <c r="AO349" s="150"/>
      <c r="AP349" s="151"/>
      <c r="AQ349" s="151"/>
      <c r="AR349" s="151"/>
      <c r="AS349" s="151"/>
      <c r="AT349" s="151"/>
      <c r="AU349" s="151"/>
      <c r="AV349" s="151"/>
      <c r="AW349" s="151"/>
      <c r="AX349" s="151"/>
      <c r="AY349" s="151"/>
      <c r="AZ349" s="150"/>
      <c r="BA349" s="151"/>
      <c r="BB349" s="151"/>
      <c r="BC349" s="151"/>
      <c r="BD349" s="151"/>
      <c r="BE349" s="151"/>
      <c r="BF349" s="151"/>
      <c r="BG349" s="151"/>
      <c r="BH349" s="151"/>
      <c r="BI349" s="151"/>
      <c r="BJ349" s="151"/>
      <c r="BK349" s="150"/>
      <c r="BL349" s="151"/>
      <c r="BM349" s="151"/>
      <c r="BN349" s="151"/>
      <c r="BO349" s="151"/>
      <c r="BP349" s="151"/>
      <c r="BQ349" s="151"/>
      <c r="BR349" s="151"/>
      <c r="BS349" s="151"/>
      <c r="BT349" s="151"/>
      <c r="BU349" s="151"/>
      <c r="BV349" s="160"/>
      <c r="BW349" s="195"/>
    </row>
    <row r="350" spans="1:80" ht="15.75" customHeight="1" x14ac:dyDescent="0.2">
      <c r="A350" s="151"/>
      <c r="B350" s="151"/>
      <c r="C350" s="151"/>
      <c r="D350" s="151"/>
      <c r="E350" s="153"/>
      <c r="F350" s="151"/>
      <c r="G350" s="151"/>
      <c r="H350" s="153"/>
      <c r="I350" s="151"/>
      <c r="J350" s="151"/>
      <c r="K350" s="151"/>
      <c r="L350" s="151"/>
      <c r="M350" s="151"/>
      <c r="N350" s="151"/>
      <c r="O350" s="151"/>
      <c r="P350" s="151"/>
      <c r="Q350" s="151"/>
      <c r="R350" s="151"/>
      <c r="S350" s="151"/>
      <c r="T350" s="151"/>
      <c r="U350" s="151"/>
      <c r="V350" s="151"/>
      <c r="W350" s="151"/>
      <c r="X350" s="152"/>
      <c r="Y350" s="152"/>
      <c r="Z350" s="152"/>
      <c r="AA350" s="152"/>
      <c r="AB350" s="152"/>
      <c r="AC350" s="152"/>
      <c r="AD350" s="154"/>
      <c r="AE350" s="12"/>
      <c r="AF350" s="151"/>
      <c r="AG350" s="151"/>
      <c r="AH350" s="151"/>
      <c r="AI350" s="151"/>
      <c r="AJ350" s="151"/>
      <c r="AK350" s="151"/>
      <c r="AL350" s="151"/>
      <c r="AM350" s="151"/>
      <c r="AN350" s="151"/>
      <c r="AO350" s="155"/>
      <c r="AP350" s="156"/>
      <c r="AQ350" s="151"/>
      <c r="AR350" s="151"/>
      <c r="AS350" s="151"/>
      <c r="AT350" s="151"/>
      <c r="AU350" s="151"/>
      <c r="AV350" s="151"/>
      <c r="AW350" s="151"/>
      <c r="AX350" s="151"/>
      <c r="AY350" s="151"/>
      <c r="AZ350" s="157"/>
      <c r="BA350" s="151"/>
      <c r="BB350" s="151"/>
      <c r="BC350" s="151"/>
      <c r="BD350" s="151"/>
      <c r="BE350" s="151"/>
      <c r="BF350" s="151"/>
      <c r="BG350" s="151"/>
      <c r="BH350" s="151"/>
      <c r="BI350" s="151"/>
      <c r="BJ350" s="151"/>
      <c r="BK350" s="158"/>
      <c r="BL350" s="151"/>
      <c r="BM350" s="151"/>
      <c r="BN350" s="151"/>
      <c r="BO350" s="151"/>
      <c r="BP350" s="151"/>
      <c r="BQ350" s="151"/>
      <c r="BR350" s="151"/>
      <c r="BS350" s="151"/>
      <c r="BT350" s="151"/>
      <c r="BU350" s="151"/>
      <c r="BV350" s="159"/>
      <c r="BW350" s="160"/>
    </row>
    <row r="351" spans="1:80" ht="15.75" customHeight="1" x14ac:dyDescent="0.2">
      <c r="A351" s="151"/>
      <c r="B351" s="151"/>
      <c r="C351" s="151"/>
      <c r="D351" s="151"/>
      <c r="E351" s="153"/>
      <c r="F351" s="151"/>
      <c r="G351" s="151"/>
      <c r="H351" s="153"/>
      <c r="I351" s="151"/>
      <c r="J351" s="151"/>
      <c r="K351" s="151"/>
      <c r="L351" s="151"/>
      <c r="M351" s="151"/>
      <c r="N351" s="151"/>
      <c r="O351" s="151"/>
      <c r="P351" s="161"/>
      <c r="Q351" s="161"/>
      <c r="R351" s="161"/>
      <c r="S351" s="161"/>
      <c r="T351" s="151"/>
      <c r="U351" s="151"/>
      <c r="V351" s="151"/>
      <c r="W351" s="162"/>
      <c r="X351" s="152"/>
      <c r="Y351" s="152"/>
      <c r="Z351" s="152"/>
      <c r="AA351" s="152"/>
      <c r="AB351" s="152"/>
      <c r="AC351" s="152"/>
      <c r="AD351" s="163"/>
      <c r="AE351" s="164"/>
      <c r="AF351" s="164"/>
      <c r="AG351" s="164"/>
      <c r="AH351" s="164"/>
      <c r="AI351" s="164"/>
      <c r="AJ351" s="164"/>
      <c r="AK351" s="164"/>
      <c r="AL351" s="164"/>
      <c r="AM351" s="164"/>
      <c r="AN351" s="164"/>
      <c r="AO351" s="164"/>
      <c r="AP351" s="164"/>
      <c r="AQ351" s="164"/>
      <c r="AR351" s="164"/>
      <c r="AS351" s="164"/>
      <c r="AT351" s="164"/>
      <c r="AU351" s="164"/>
      <c r="AV351" s="164"/>
      <c r="AW351" s="164"/>
      <c r="AX351" s="164"/>
      <c r="AY351" s="164"/>
      <c r="AZ351" s="164"/>
      <c r="BA351" s="164"/>
      <c r="BB351" s="164"/>
      <c r="BC351" s="164"/>
      <c r="BD351" s="164"/>
      <c r="BE351" s="164"/>
      <c r="BF351" s="164"/>
      <c r="BG351" s="164"/>
      <c r="BH351" s="164"/>
      <c r="BI351" s="164"/>
      <c r="BJ351" s="164"/>
      <c r="BK351" s="164"/>
      <c r="BL351" s="164"/>
      <c r="BM351" s="164"/>
      <c r="BN351" s="164"/>
      <c r="BO351" s="164"/>
      <c r="BP351" s="164"/>
      <c r="BQ351" s="164"/>
      <c r="BR351" s="164"/>
      <c r="BS351" s="164"/>
      <c r="BT351" s="164"/>
      <c r="BU351" s="164"/>
      <c r="BV351" s="164"/>
      <c r="BW351" s="164"/>
    </row>
    <row r="352" spans="1:80" ht="15.75" customHeight="1" x14ac:dyDescent="0.2">
      <c r="A352" s="151"/>
      <c r="B352" s="151"/>
      <c r="C352" s="151"/>
      <c r="D352" s="151"/>
      <c r="E352" s="153"/>
      <c r="F352" s="151"/>
      <c r="G352" s="151"/>
      <c r="H352" s="153"/>
      <c r="I352" s="151"/>
      <c r="J352" s="151"/>
      <c r="K352" s="151"/>
      <c r="L352" s="151"/>
      <c r="M352" s="151"/>
      <c r="N352" s="151"/>
      <c r="O352" s="151"/>
      <c r="P352" s="161"/>
      <c r="Q352" s="161"/>
      <c r="R352" s="161"/>
      <c r="S352" s="161"/>
      <c r="T352" s="151"/>
      <c r="U352" s="151"/>
      <c r="V352" s="151"/>
      <c r="W352" s="151"/>
      <c r="X352" s="152"/>
      <c r="Y352" s="152"/>
      <c r="Z352" s="152"/>
      <c r="AA352" s="152"/>
      <c r="AB352" s="152"/>
      <c r="AC352" s="152"/>
      <c r="AD352" s="162"/>
      <c r="AE352" s="165"/>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7"/>
      <c r="BA352" s="151"/>
      <c r="BB352" s="151"/>
      <c r="BC352" s="151"/>
      <c r="BD352" s="151"/>
      <c r="BE352" s="151"/>
      <c r="BF352" s="151"/>
      <c r="BG352" s="151"/>
      <c r="BH352" s="151"/>
      <c r="BI352" s="151"/>
      <c r="BJ352" s="151"/>
      <c r="BK352" s="151"/>
      <c r="BL352" s="151"/>
      <c r="BM352" s="151"/>
      <c r="BN352" s="151"/>
      <c r="BO352" s="151"/>
      <c r="BP352" s="151"/>
      <c r="BQ352" s="151"/>
      <c r="BR352" s="151"/>
      <c r="BS352" s="151"/>
      <c r="BT352" s="151"/>
      <c r="BU352" s="166"/>
      <c r="BV352" s="167"/>
      <c r="BW352" s="168"/>
    </row>
    <row r="353" spans="1:75" x14ac:dyDescent="0.2">
      <c r="A353" s="151"/>
      <c r="B353" s="151"/>
      <c r="C353" s="151"/>
      <c r="D353" s="151"/>
      <c r="E353" s="153"/>
      <c r="F353" s="151"/>
      <c r="G353" s="151"/>
      <c r="H353" s="153"/>
      <c r="I353" s="151"/>
      <c r="J353" s="151"/>
      <c r="K353" s="151"/>
      <c r="L353" s="151"/>
      <c r="M353" s="151"/>
      <c r="N353" s="151"/>
      <c r="O353" s="151"/>
      <c r="P353" s="161"/>
      <c r="Q353" s="161"/>
      <c r="R353" s="161"/>
      <c r="S353" s="161"/>
      <c r="T353" s="151"/>
      <c r="U353" s="151"/>
      <c r="V353" s="151"/>
      <c r="W353" s="151"/>
      <c r="X353" s="152"/>
      <c r="Y353" s="152"/>
      <c r="Z353" s="152"/>
      <c r="AA353" s="152"/>
      <c r="AB353" s="152"/>
      <c r="AC353" s="159"/>
      <c r="AD353" s="169"/>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c r="BR353" s="151"/>
      <c r="BS353" s="151"/>
      <c r="BT353" s="151"/>
      <c r="BU353" s="167"/>
      <c r="BV353" s="167"/>
      <c r="BW353" s="168"/>
    </row>
    <row r="354" spans="1:75" x14ac:dyDescent="0.2">
      <c r="A354" s="151"/>
      <c r="B354" s="151"/>
      <c r="C354" s="151"/>
      <c r="D354" s="151"/>
      <c r="E354" s="153"/>
      <c r="F354" s="151"/>
      <c r="G354" s="151"/>
      <c r="H354" s="153"/>
      <c r="I354" s="151"/>
      <c r="J354" s="151"/>
      <c r="K354" s="151"/>
      <c r="L354" s="151"/>
      <c r="M354" s="151"/>
      <c r="N354" s="151"/>
      <c r="O354" s="151"/>
      <c r="P354" s="161"/>
      <c r="Q354" s="161"/>
      <c r="R354" s="161"/>
      <c r="S354" s="161"/>
      <c r="T354" s="151"/>
      <c r="U354" s="151"/>
      <c r="V354" s="151"/>
      <c r="W354" s="151"/>
      <c r="X354" s="152"/>
      <c r="Y354" s="152"/>
      <c r="Z354" s="152"/>
      <c r="AA354" s="152"/>
      <c r="AB354" s="152"/>
      <c r="AC354" s="195"/>
      <c r="AD354" s="1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c r="BR354" s="151"/>
      <c r="BS354" s="151"/>
      <c r="BT354" s="151"/>
      <c r="BU354" s="167"/>
      <c r="BV354" s="167"/>
      <c r="BW354" s="168"/>
    </row>
    <row r="355" spans="1:75" x14ac:dyDescent="0.2">
      <c r="A355" s="151"/>
      <c r="B355" s="151"/>
      <c r="C355" s="151"/>
      <c r="D355" s="151"/>
      <c r="E355" s="153"/>
      <c r="F355" s="151"/>
      <c r="G355" s="151"/>
      <c r="H355" s="153"/>
      <c r="I355" s="151"/>
      <c r="J355" s="151"/>
      <c r="K355" s="151"/>
      <c r="L355" s="151"/>
      <c r="M355" s="151"/>
      <c r="N355" s="151"/>
      <c r="O355" s="151"/>
      <c r="P355" s="161"/>
      <c r="Q355" s="161"/>
      <c r="R355" s="161"/>
      <c r="S355" s="161"/>
      <c r="T355" s="151"/>
      <c r="U355" s="151"/>
      <c r="V355" s="151"/>
      <c r="W355" s="151"/>
      <c r="X355" s="152"/>
      <c r="Y355" s="152"/>
      <c r="Z355" s="152"/>
      <c r="AA355" s="152"/>
      <c r="AB355" s="152"/>
      <c r="AC355" s="195"/>
      <c r="AD355" s="19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c r="BR355" s="151"/>
      <c r="BS355" s="151"/>
      <c r="BT355" s="151"/>
      <c r="BU355" s="167"/>
      <c r="BV355" s="167"/>
      <c r="BW355" s="168"/>
    </row>
    <row r="356" spans="1:75" x14ac:dyDescent="0.2">
      <c r="A356" s="151"/>
      <c r="B356" s="151"/>
      <c r="C356" s="151"/>
      <c r="D356" s="151"/>
      <c r="E356" s="153"/>
      <c r="F356" s="151"/>
      <c r="G356" s="151"/>
      <c r="H356" s="153"/>
      <c r="I356" s="151"/>
      <c r="J356" s="151"/>
      <c r="K356" s="151"/>
      <c r="L356" s="151"/>
      <c r="M356" s="151"/>
      <c r="N356" s="151"/>
      <c r="O356" s="151"/>
      <c r="P356" s="161"/>
      <c r="Q356" s="161"/>
      <c r="R356" s="161"/>
      <c r="S356" s="161"/>
      <c r="T356" s="151"/>
      <c r="U356" s="151"/>
      <c r="V356" s="151"/>
      <c r="W356" s="151"/>
      <c r="X356" s="152"/>
      <c r="Y356" s="152"/>
      <c r="Z356" s="152"/>
      <c r="AA356" s="152"/>
      <c r="AB356" s="152"/>
      <c r="AC356" s="195"/>
      <c r="AD356" s="1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c r="BR356" s="151"/>
      <c r="BS356" s="151"/>
      <c r="BT356" s="151"/>
      <c r="BU356" s="167"/>
      <c r="BV356" s="167"/>
      <c r="BW356" s="168"/>
    </row>
    <row r="357" spans="1:75" x14ac:dyDescent="0.2">
      <c r="A357" s="151"/>
      <c r="B357" s="151"/>
      <c r="C357" s="151"/>
      <c r="D357" s="151"/>
      <c r="E357" s="153"/>
      <c r="F357" s="151"/>
      <c r="G357" s="151"/>
      <c r="H357" s="153"/>
      <c r="I357" s="151"/>
      <c r="J357" s="151"/>
      <c r="K357" s="151"/>
      <c r="L357" s="151"/>
      <c r="M357" s="151"/>
      <c r="N357" s="151"/>
      <c r="O357" s="151"/>
      <c r="P357" s="161"/>
      <c r="Q357" s="161"/>
      <c r="R357" s="161"/>
      <c r="S357" s="161"/>
      <c r="T357" s="151"/>
      <c r="U357" s="151"/>
      <c r="V357" s="151"/>
      <c r="W357" s="151"/>
      <c r="X357" s="152"/>
      <c r="Y357" s="152"/>
      <c r="Z357" s="152"/>
      <c r="AA357" s="152"/>
      <c r="AB357" s="152"/>
      <c r="AC357" s="195"/>
      <c r="AD357" s="1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c r="BR357" s="151"/>
      <c r="BS357" s="151"/>
      <c r="BT357" s="151"/>
      <c r="BU357" s="167"/>
      <c r="BV357" s="197"/>
      <c r="BW357" s="168"/>
    </row>
    <row r="358" spans="1:75" x14ac:dyDescent="0.2">
      <c r="A358" s="151"/>
      <c r="B358" s="151"/>
      <c r="C358" s="151"/>
      <c r="D358" s="151"/>
      <c r="E358" s="153"/>
      <c r="F358" s="151"/>
      <c r="G358" s="151"/>
      <c r="H358" s="153"/>
      <c r="I358" s="151"/>
      <c r="J358" s="151"/>
      <c r="K358" s="151"/>
      <c r="L358" s="151"/>
      <c r="M358" s="151"/>
      <c r="N358" s="151"/>
      <c r="O358" s="151"/>
      <c r="P358" s="161"/>
      <c r="Q358" s="161"/>
      <c r="R358" s="161"/>
      <c r="S358" s="161"/>
      <c r="T358" s="151"/>
      <c r="U358" s="151"/>
      <c r="V358" s="151"/>
      <c r="W358" s="151"/>
      <c r="X358" s="152"/>
      <c r="Y358" s="152"/>
      <c r="Z358" s="152"/>
      <c r="AA358" s="152"/>
      <c r="AB358" s="152"/>
      <c r="AC358" s="195"/>
      <c r="AD358" s="1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c r="BR358" s="151"/>
      <c r="BS358" s="151"/>
      <c r="BT358" s="151"/>
      <c r="BU358" s="167"/>
      <c r="BV358" s="167"/>
      <c r="BW358" s="168"/>
    </row>
    <row r="359" spans="1:75" x14ac:dyDescent="0.2">
      <c r="A359" s="151"/>
      <c r="B359" s="151"/>
      <c r="C359" s="151"/>
      <c r="D359" s="151"/>
      <c r="E359" s="153"/>
      <c r="F359" s="151"/>
      <c r="G359" s="151"/>
      <c r="H359" s="153"/>
      <c r="I359" s="151"/>
      <c r="J359" s="151"/>
      <c r="K359" s="151"/>
      <c r="L359" s="151"/>
      <c r="M359" s="151"/>
      <c r="N359" s="151"/>
      <c r="O359" s="151"/>
      <c r="P359" s="161"/>
      <c r="Q359" s="161"/>
      <c r="R359" s="161"/>
      <c r="S359" s="161"/>
      <c r="T359" s="151"/>
      <c r="U359" s="151"/>
      <c r="V359" s="151"/>
      <c r="W359" s="151"/>
      <c r="X359" s="152"/>
      <c r="Y359" s="152"/>
      <c r="Z359" s="152"/>
      <c r="AA359" s="152"/>
      <c r="AB359" s="152"/>
      <c r="AC359" s="195"/>
      <c r="AD359" s="11"/>
      <c r="AE359" s="151"/>
      <c r="AF359" s="151"/>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151"/>
      <c r="BN359" s="151"/>
      <c r="BO359" s="151"/>
      <c r="BP359" s="151"/>
      <c r="BQ359" s="151"/>
      <c r="BR359" s="151"/>
      <c r="BS359" s="151"/>
      <c r="BT359" s="151"/>
      <c r="BU359" s="167"/>
      <c r="BV359" s="167"/>
      <c r="BW359" s="168"/>
    </row>
    <row r="360" spans="1:75" x14ac:dyDescent="0.2">
      <c r="A360" s="151"/>
      <c r="B360" s="151"/>
      <c r="C360" s="151"/>
      <c r="D360" s="151"/>
      <c r="E360" s="153"/>
      <c r="F360" s="151"/>
      <c r="G360" s="151"/>
      <c r="H360" s="153"/>
      <c r="I360" s="151"/>
      <c r="J360" s="151"/>
      <c r="K360" s="151"/>
      <c r="L360" s="151"/>
      <c r="M360" s="151"/>
      <c r="N360" s="151"/>
      <c r="O360" s="151"/>
      <c r="P360" s="161"/>
      <c r="Q360" s="161"/>
      <c r="R360" s="161"/>
      <c r="S360" s="161"/>
      <c r="T360" s="151"/>
      <c r="U360" s="151"/>
      <c r="V360" s="151"/>
      <c r="W360" s="151"/>
      <c r="X360" s="152"/>
      <c r="Y360" s="152"/>
      <c r="Z360" s="152"/>
      <c r="AA360" s="152"/>
      <c r="AB360" s="152"/>
      <c r="AC360" s="195"/>
      <c r="AD360" s="11"/>
      <c r="AE360" s="151"/>
      <c r="AF360" s="151"/>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151"/>
      <c r="BN360" s="151"/>
      <c r="BO360" s="151"/>
      <c r="BP360" s="151"/>
      <c r="BQ360" s="151"/>
      <c r="BR360" s="151"/>
      <c r="BS360" s="151"/>
      <c r="BT360" s="151"/>
      <c r="BU360" s="167"/>
      <c r="BV360" s="167"/>
      <c r="BW360" s="168"/>
    </row>
    <row r="361" spans="1:75" x14ac:dyDescent="0.2">
      <c r="A361" s="151"/>
      <c r="B361" s="151"/>
      <c r="C361" s="151"/>
      <c r="D361" s="151"/>
      <c r="E361" s="153"/>
      <c r="F361" s="151"/>
      <c r="G361" s="151"/>
      <c r="H361" s="153"/>
      <c r="I361" s="151"/>
      <c r="J361" s="151"/>
      <c r="K361" s="151"/>
      <c r="L361" s="151"/>
      <c r="M361" s="151"/>
      <c r="N361" s="151"/>
      <c r="O361" s="151"/>
      <c r="P361" s="161"/>
      <c r="Q361" s="161"/>
      <c r="R361" s="161"/>
      <c r="S361" s="161"/>
      <c r="T361" s="151"/>
      <c r="U361" s="151"/>
      <c r="V361" s="151"/>
      <c r="W361" s="151"/>
      <c r="X361" s="152"/>
      <c r="Y361" s="152"/>
      <c r="Z361" s="152"/>
      <c r="AA361" s="152"/>
      <c r="AB361" s="152"/>
      <c r="AC361" s="195"/>
      <c r="AD361" s="1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S361" s="151"/>
      <c r="BT361" s="151"/>
      <c r="BU361" s="167"/>
      <c r="BV361" s="167"/>
      <c r="BW361" s="168"/>
    </row>
    <row r="362" spans="1:75" x14ac:dyDescent="0.2">
      <c r="A362" s="151"/>
      <c r="B362" s="151"/>
      <c r="C362" s="151"/>
      <c r="D362" s="151"/>
      <c r="E362" s="153"/>
      <c r="F362" s="151"/>
      <c r="G362" s="151"/>
      <c r="H362" s="153"/>
      <c r="I362" s="151"/>
      <c r="J362" s="151"/>
      <c r="K362" s="151"/>
      <c r="L362" s="151"/>
      <c r="M362" s="151"/>
      <c r="N362" s="151"/>
      <c r="O362" s="151"/>
      <c r="P362" s="161"/>
      <c r="Q362" s="161"/>
      <c r="R362" s="161"/>
      <c r="S362" s="161"/>
      <c r="T362" s="151"/>
      <c r="U362" s="151"/>
      <c r="V362" s="151"/>
      <c r="W362" s="151"/>
      <c r="X362" s="152"/>
      <c r="Y362" s="152"/>
      <c r="Z362" s="152"/>
      <c r="AA362" s="152"/>
      <c r="AB362" s="152"/>
      <c r="AC362" s="195"/>
      <c r="AD362" s="1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c r="BS362" s="151"/>
      <c r="BT362" s="151"/>
      <c r="BU362" s="167"/>
      <c r="BV362" s="167"/>
      <c r="BW362" s="168"/>
    </row>
    <row r="363" spans="1:75" x14ac:dyDescent="0.2">
      <c r="A363" s="151"/>
      <c r="B363" s="151"/>
      <c r="C363" s="151"/>
      <c r="D363" s="151"/>
      <c r="E363" s="153"/>
      <c r="F363" s="151"/>
      <c r="G363" s="151"/>
      <c r="H363" s="153"/>
      <c r="I363" s="151"/>
      <c r="J363" s="151"/>
      <c r="K363" s="151"/>
      <c r="L363" s="151"/>
      <c r="M363" s="151"/>
      <c r="N363" s="151"/>
      <c r="O363" s="151"/>
      <c r="P363" s="161"/>
      <c r="Q363" s="161"/>
      <c r="R363" s="161"/>
      <c r="S363" s="161"/>
      <c r="T363" s="151"/>
      <c r="U363" s="151"/>
      <c r="V363" s="151"/>
      <c r="W363" s="151"/>
      <c r="X363" s="152"/>
      <c r="Y363" s="152"/>
      <c r="Z363" s="152"/>
      <c r="AA363" s="152"/>
      <c r="AB363" s="152"/>
      <c r="AC363" s="195"/>
      <c r="AD363" s="1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c r="BS363" s="151"/>
      <c r="BT363" s="151"/>
      <c r="BU363" s="167"/>
      <c r="BV363" s="167"/>
      <c r="BW363" s="168"/>
    </row>
    <row r="364" spans="1:75" x14ac:dyDescent="0.2">
      <c r="A364" s="151"/>
      <c r="B364" s="151"/>
      <c r="C364" s="151"/>
      <c r="D364" s="151"/>
      <c r="E364" s="153"/>
      <c r="F364" s="151"/>
      <c r="G364" s="151"/>
      <c r="H364" s="153"/>
      <c r="I364" s="151"/>
      <c r="J364" s="151"/>
      <c r="K364" s="151"/>
      <c r="L364" s="151"/>
      <c r="M364" s="151"/>
      <c r="N364" s="151"/>
      <c r="O364" s="151"/>
      <c r="P364" s="161"/>
      <c r="Q364" s="161"/>
      <c r="R364" s="161"/>
      <c r="S364" s="161"/>
      <c r="T364" s="151"/>
      <c r="U364" s="151"/>
      <c r="V364" s="151"/>
      <c r="W364" s="151"/>
      <c r="X364" s="152"/>
      <c r="Y364" s="152"/>
      <c r="Z364" s="152"/>
      <c r="AA364" s="152"/>
      <c r="AB364" s="152"/>
      <c r="AC364" s="195"/>
      <c r="AD364" s="1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151"/>
      <c r="BN364" s="151"/>
      <c r="BO364" s="151"/>
      <c r="BP364" s="151"/>
      <c r="BQ364" s="151"/>
      <c r="BR364" s="151"/>
      <c r="BS364" s="151"/>
      <c r="BT364" s="151"/>
      <c r="BU364" s="167"/>
      <c r="BV364" s="167"/>
      <c r="BW364" s="168"/>
    </row>
    <row r="365" spans="1:75" x14ac:dyDescent="0.2">
      <c r="A365" s="151"/>
      <c r="B365" s="151"/>
      <c r="C365" s="151"/>
      <c r="D365" s="151"/>
      <c r="E365" s="153"/>
      <c r="F365" s="151"/>
      <c r="G365" s="151"/>
      <c r="H365" s="153"/>
      <c r="I365" s="151"/>
      <c r="J365" s="151"/>
      <c r="K365" s="151"/>
      <c r="L365" s="151"/>
      <c r="M365" s="151"/>
      <c r="N365" s="151"/>
      <c r="O365" s="151"/>
      <c r="P365" s="161"/>
      <c r="Q365" s="161"/>
      <c r="R365" s="161"/>
      <c r="S365" s="161"/>
      <c r="T365" s="151"/>
      <c r="U365" s="151"/>
      <c r="V365" s="151"/>
      <c r="W365" s="151"/>
      <c r="X365" s="152"/>
      <c r="Y365" s="152"/>
      <c r="Z365" s="152"/>
      <c r="AA365" s="152"/>
      <c r="AB365" s="152"/>
      <c r="AC365" s="195"/>
      <c r="AD365" s="11"/>
      <c r="AE365" s="151"/>
      <c r="AF365" s="151"/>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151"/>
      <c r="BN365" s="151"/>
      <c r="BO365" s="151"/>
      <c r="BP365" s="151"/>
      <c r="BQ365" s="151"/>
      <c r="BR365" s="151"/>
      <c r="BS365" s="151"/>
      <c r="BT365" s="151"/>
      <c r="BU365" s="167"/>
      <c r="BV365" s="167"/>
      <c r="BW365" s="168"/>
    </row>
    <row r="366" spans="1:75" x14ac:dyDescent="0.2">
      <c r="A366" s="151"/>
      <c r="B366" s="151"/>
      <c r="C366" s="151"/>
      <c r="D366" s="151"/>
      <c r="E366" s="153"/>
      <c r="F366" s="151"/>
      <c r="G366" s="151"/>
      <c r="H366" s="153"/>
      <c r="I366" s="151"/>
      <c r="J366" s="151"/>
      <c r="K366" s="151"/>
      <c r="L366" s="151"/>
      <c r="M366" s="151"/>
      <c r="N366" s="151"/>
      <c r="O366" s="151"/>
      <c r="P366" s="161"/>
      <c r="Q366" s="161"/>
      <c r="R366" s="161"/>
      <c r="S366" s="161"/>
      <c r="T366" s="151"/>
      <c r="U366" s="151"/>
      <c r="V366" s="151"/>
      <c r="W366" s="151"/>
      <c r="X366" s="152"/>
      <c r="Y366" s="152"/>
      <c r="Z366" s="152"/>
      <c r="AA366" s="152"/>
      <c r="AB366" s="152"/>
      <c r="AC366" s="195"/>
      <c r="AD366" s="1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1"/>
      <c r="BP366" s="151"/>
      <c r="BQ366" s="151"/>
      <c r="BR366" s="151"/>
      <c r="BS366" s="151"/>
      <c r="BT366" s="151"/>
      <c r="BU366" s="167"/>
      <c r="BV366" s="167"/>
      <c r="BW366" s="168"/>
    </row>
    <row r="367" spans="1:75" ht="15.75" x14ac:dyDescent="0.2">
      <c r="A367" s="151"/>
      <c r="B367" s="151"/>
      <c r="C367" s="151"/>
      <c r="D367" s="151"/>
      <c r="E367" s="153"/>
      <c r="F367" s="151"/>
      <c r="G367" s="151"/>
      <c r="H367" s="153"/>
      <c r="I367" s="151"/>
      <c r="J367" s="151"/>
      <c r="K367" s="151"/>
      <c r="L367" s="151"/>
      <c r="M367" s="151"/>
      <c r="N367" s="151"/>
      <c r="O367" s="151"/>
      <c r="P367" s="161"/>
      <c r="Q367" s="161"/>
      <c r="R367" s="161"/>
      <c r="S367" s="161"/>
      <c r="T367" s="151"/>
      <c r="U367" s="151"/>
      <c r="V367" s="151"/>
      <c r="W367" s="151"/>
      <c r="X367" s="152"/>
      <c r="Y367" s="152"/>
      <c r="Z367" s="152"/>
      <c r="AA367" s="152"/>
      <c r="AB367" s="152"/>
      <c r="AC367" s="195"/>
      <c r="AD367" s="4"/>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151"/>
      <c r="BN367" s="151"/>
      <c r="BO367" s="151"/>
      <c r="BP367" s="151"/>
      <c r="BQ367" s="151"/>
      <c r="BR367" s="151"/>
      <c r="BS367" s="151"/>
      <c r="BT367" s="151"/>
      <c r="BU367" s="167"/>
      <c r="BV367" s="167"/>
      <c r="BW367" s="168"/>
    </row>
    <row r="368" spans="1:75" ht="15.75" x14ac:dyDescent="0.2">
      <c r="A368" s="151"/>
      <c r="B368" s="151"/>
      <c r="C368" s="151"/>
      <c r="D368" s="151"/>
      <c r="E368" s="153"/>
      <c r="F368" s="151"/>
      <c r="G368" s="151"/>
      <c r="H368" s="153"/>
      <c r="I368" s="151"/>
      <c r="J368" s="151"/>
      <c r="K368" s="151"/>
      <c r="L368" s="151"/>
      <c r="M368" s="151"/>
      <c r="N368" s="151"/>
      <c r="O368" s="151"/>
      <c r="P368" s="161"/>
      <c r="Q368" s="161"/>
      <c r="R368" s="161"/>
      <c r="S368" s="161"/>
      <c r="T368" s="151"/>
      <c r="U368" s="151"/>
      <c r="V368" s="151"/>
      <c r="W368" s="151"/>
      <c r="X368" s="152"/>
      <c r="Y368" s="152"/>
      <c r="Z368" s="152"/>
      <c r="AA368" s="152"/>
      <c r="AB368" s="152"/>
      <c r="AC368" s="195"/>
      <c r="AD368" s="4"/>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1"/>
      <c r="BP368" s="151"/>
      <c r="BQ368" s="151"/>
      <c r="BR368" s="151"/>
      <c r="BS368" s="151"/>
      <c r="BT368" s="151"/>
      <c r="BU368" s="167"/>
      <c r="BV368" s="167"/>
      <c r="BW368" s="168"/>
    </row>
    <row r="369" spans="1:75" ht="15.75" x14ac:dyDescent="0.2">
      <c r="A369" s="151"/>
      <c r="B369" s="151"/>
      <c r="C369" s="151"/>
      <c r="D369" s="151"/>
      <c r="E369" s="153"/>
      <c r="F369" s="151"/>
      <c r="G369" s="151"/>
      <c r="H369" s="153"/>
      <c r="I369" s="151"/>
      <c r="J369" s="151"/>
      <c r="K369" s="151"/>
      <c r="L369" s="151"/>
      <c r="M369" s="151"/>
      <c r="N369" s="151"/>
      <c r="O369" s="151"/>
      <c r="P369" s="151"/>
      <c r="Q369" s="151"/>
      <c r="R369" s="151"/>
      <c r="S369" s="151"/>
      <c r="T369" s="151"/>
      <c r="U369" s="151"/>
      <c r="V369" s="151"/>
      <c r="W369" s="151"/>
      <c r="X369" s="152"/>
      <c r="Y369" s="152"/>
      <c r="Z369" s="152"/>
      <c r="AA369" s="152"/>
      <c r="AB369" s="152"/>
      <c r="AC369" s="195"/>
      <c r="AD369" s="198"/>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c r="BR369" s="151"/>
      <c r="BS369" s="151"/>
      <c r="BT369" s="151"/>
      <c r="BU369" s="4"/>
      <c r="BV369" s="4"/>
      <c r="BW369" s="168"/>
    </row>
    <row r="370" spans="1:75" x14ac:dyDescent="0.2">
      <c r="A370" s="151"/>
      <c r="B370" s="151"/>
      <c r="C370" s="151"/>
      <c r="D370" s="151"/>
      <c r="E370" s="153"/>
      <c r="F370" s="151"/>
      <c r="G370" s="151"/>
      <c r="H370" s="153"/>
      <c r="I370" s="151"/>
      <c r="J370" s="151"/>
      <c r="K370" s="151"/>
      <c r="L370" s="151"/>
      <c r="M370" s="151"/>
      <c r="N370" s="151"/>
      <c r="O370" s="151"/>
      <c r="P370" s="151"/>
      <c r="Q370" s="151"/>
      <c r="R370" s="151"/>
      <c r="S370" s="151"/>
      <c r="T370" s="161"/>
      <c r="U370" s="161"/>
      <c r="V370" s="161"/>
      <c r="W370" s="161"/>
      <c r="X370" s="199"/>
      <c r="Y370" s="199"/>
      <c r="Z370" s="199"/>
      <c r="AA370" s="152"/>
      <c r="AB370" s="152"/>
      <c r="AC370" s="152"/>
      <c r="AD370" s="156"/>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151"/>
      <c r="BN370" s="151"/>
      <c r="BO370" s="151"/>
      <c r="BP370" s="151"/>
      <c r="BQ370" s="151"/>
      <c r="BR370" s="151"/>
      <c r="BS370" s="151"/>
      <c r="BT370" s="151"/>
      <c r="BU370" s="151"/>
      <c r="BV370" s="167"/>
      <c r="BW370" s="167"/>
    </row>
    <row r="371" spans="1:75" x14ac:dyDescent="0.2">
      <c r="A371" s="151"/>
      <c r="B371" s="151"/>
      <c r="C371" s="151"/>
      <c r="D371" s="151"/>
      <c r="E371" s="153"/>
      <c r="F371" s="151"/>
      <c r="G371" s="151"/>
      <c r="H371" s="153"/>
      <c r="I371" s="151"/>
      <c r="J371" s="151"/>
      <c r="K371" s="151"/>
      <c r="L371" s="151"/>
      <c r="M371" s="151"/>
      <c r="N371" s="151"/>
      <c r="O371" s="151"/>
      <c r="P371" s="151"/>
      <c r="Q371" s="151"/>
      <c r="R371" s="151"/>
      <c r="S371" s="151"/>
      <c r="T371" s="161"/>
      <c r="U371" s="161"/>
      <c r="V371" s="161"/>
      <c r="W371" s="161"/>
      <c r="X371" s="199"/>
      <c r="Y371" s="199"/>
      <c r="Z371" s="199"/>
      <c r="AA371" s="152"/>
      <c r="AB371" s="152"/>
      <c r="AC371" s="152"/>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151"/>
      <c r="BN371" s="151"/>
      <c r="BO371" s="151"/>
      <c r="BP371" s="151"/>
      <c r="BQ371" s="151"/>
      <c r="BR371" s="151"/>
      <c r="BS371" s="151"/>
      <c r="BT371" s="151"/>
      <c r="BU371" s="151"/>
      <c r="BV371" s="195"/>
      <c r="BW371" s="195"/>
    </row>
    <row r="372" spans="1:75" x14ac:dyDescent="0.2">
      <c r="A372" s="151"/>
      <c r="B372" s="151"/>
      <c r="C372" s="151"/>
      <c r="D372" s="151"/>
      <c r="E372" s="153"/>
      <c r="F372" s="151"/>
      <c r="G372" s="151"/>
      <c r="H372" s="153"/>
      <c r="I372" s="151"/>
      <c r="J372" s="151"/>
      <c r="K372" s="151"/>
      <c r="L372" s="151"/>
      <c r="M372" s="151"/>
      <c r="N372" s="151"/>
      <c r="O372" s="151"/>
      <c r="P372" s="151"/>
      <c r="Q372" s="151"/>
      <c r="R372" s="151"/>
      <c r="S372" s="151"/>
      <c r="T372" s="151"/>
      <c r="U372" s="151"/>
      <c r="V372" s="151"/>
      <c r="W372" s="151"/>
      <c r="X372" s="152"/>
      <c r="Y372" s="152"/>
      <c r="Z372" s="152"/>
      <c r="AA372" s="152"/>
      <c r="AB372" s="152"/>
      <c r="AC372" s="152"/>
      <c r="AD372" s="16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c r="BS372" s="151"/>
      <c r="BT372" s="151"/>
      <c r="BU372" s="151"/>
      <c r="BV372" s="195"/>
      <c r="BW372" s="195"/>
    </row>
    <row r="373" spans="1:75" x14ac:dyDescent="0.2">
      <c r="A373" s="151"/>
      <c r="B373" s="151"/>
      <c r="C373" s="151"/>
      <c r="D373" s="151"/>
      <c r="E373" s="153"/>
      <c r="F373" s="151"/>
      <c r="G373" s="151"/>
      <c r="H373" s="153"/>
      <c r="I373" s="151"/>
      <c r="J373" s="151"/>
      <c r="K373" s="151"/>
      <c r="L373" s="151"/>
      <c r="M373" s="151"/>
      <c r="N373" s="151"/>
      <c r="O373" s="151"/>
      <c r="P373" s="151"/>
      <c r="Q373" s="151"/>
      <c r="R373" s="151"/>
      <c r="S373" s="151"/>
      <c r="T373" s="151"/>
      <c r="U373" s="151"/>
      <c r="V373" s="151"/>
      <c r="W373" s="151"/>
      <c r="X373" s="152"/>
      <c r="Y373" s="152"/>
      <c r="Z373" s="152"/>
      <c r="AA373" s="152"/>
      <c r="AB373" s="152"/>
      <c r="AC373" s="152"/>
      <c r="AD373" s="16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151"/>
      <c r="BN373" s="151"/>
      <c r="BO373" s="151"/>
      <c r="BP373" s="151"/>
      <c r="BQ373" s="151"/>
      <c r="BR373" s="151"/>
      <c r="BS373" s="151"/>
      <c r="BT373" s="151"/>
      <c r="BU373" s="151"/>
      <c r="BV373" s="195"/>
      <c r="BW373" s="195"/>
    </row>
    <row r="374" spans="1:75" x14ac:dyDescent="0.2">
      <c r="A374" s="151"/>
      <c r="B374" s="151"/>
      <c r="C374" s="151"/>
      <c r="D374" s="151"/>
      <c r="E374" s="153"/>
      <c r="F374" s="151"/>
      <c r="G374" s="151"/>
      <c r="H374" s="153"/>
      <c r="I374" s="151"/>
      <c r="J374" s="151"/>
      <c r="K374" s="151"/>
      <c r="L374" s="151"/>
      <c r="M374" s="151"/>
      <c r="N374" s="151"/>
      <c r="O374" s="151"/>
      <c r="P374" s="151"/>
      <c r="Q374" s="151"/>
      <c r="R374" s="151"/>
      <c r="S374" s="151"/>
      <c r="T374" s="151"/>
      <c r="U374" s="151"/>
      <c r="V374" s="151"/>
      <c r="W374" s="151"/>
      <c r="X374" s="152"/>
      <c r="Y374" s="152"/>
      <c r="Z374" s="152"/>
      <c r="AA374" s="152"/>
      <c r="AB374" s="152"/>
      <c r="AC374" s="152"/>
      <c r="AD374" s="16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c r="BR374" s="151"/>
      <c r="BS374" s="151"/>
      <c r="BT374" s="151"/>
      <c r="BU374" s="151"/>
      <c r="BV374" s="195"/>
      <c r="BW374" s="195"/>
    </row>
    <row r="375" spans="1:75" x14ac:dyDescent="0.2">
      <c r="A375" s="151"/>
      <c r="B375" s="151"/>
      <c r="C375" s="151"/>
      <c r="D375" s="151"/>
      <c r="E375" s="153"/>
      <c r="F375" s="151"/>
      <c r="G375" s="151"/>
      <c r="H375" s="153"/>
      <c r="I375" s="151"/>
      <c r="J375" s="151"/>
      <c r="K375" s="151"/>
      <c r="L375" s="151"/>
      <c r="M375" s="151"/>
      <c r="N375" s="151"/>
      <c r="O375" s="151"/>
      <c r="P375" s="151"/>
      <c r="Q375" s="151"/>
      <c r="R375" s="151"/>
      <c r="S375" s="151"/>
      <c r="T375" s="151"/>
      <c r="U375" s="151"/>
      <c r="V375" s="151"/>
      <c r="W375" s="151"/>
      <c r="X375" s="152"/>
      <c r="Y375" s="152"/>
      <c r="Z375" s="152"/>
      <c r="AA375" s="152"/>
      <c r="AB375" s="152"/>
      <c r="AC375" s="152"/>
      <c r="AD375" s="16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151"/>
      <c r="BN375" s="151"/>
      <c r="BO375" s="151"/>
      <c r="BP375" s="151"/>
      <c r="BQ375" s="151"/>
      <c r="BR375" s="151"/>
      <c r="BS375" s="151"/>
      <c r="BT375" s="151"/>
      <c r="BU375" s="151"/>
      <c r="BV375" s="195"/>
      <c r="BW375" s="195"/>
    </row>
    <row r="376" spans="1:75" x14ac:dyDescent="0.2">
      <c r="A376" s="151"/>
      <c r="B376" s="151"/>
      <c r="C376" s="151"/>
      <c r="D376" s="151"/>
      <c r="E376" s="153"/>
      <c r="F376" s="151"/>
      <c r="G376" s="151"/>
      <c r="H376" s="153"/>
      <c r="I376" s="151"/>
      <c r="J376" s="151"/>
      <c r="K376" s="151"/>
      <c r="L376" s="151"/>
      <c r="M376" s="151"/>
      <c r="N376" s="151"/>
      <c r="O376" s="151"/>
      <c r="P376" s="151"/>
      <c r="Q376" s="151"/>
      <c r="R376" s="151"/>
      <c r="S376" s="151"/>
      <c r="T376" s="151"/>
      <c r="U376" s="151"/>
      <c r="V376" s="151"/>
      <c r="W376" s="151"/>
      <c r="X376" s="152"/>
      <c r="Y376" s="152"/>
      <c r="Z376" s="152"/>
      <c r="AA376" s="152"/>
      <c r="AB376" s="152"/>
      <c r="AC376" s="152"/>
      <c r="AD376" s="16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151"/>
      <c r="BN376" s="151"/>
      <c r="BO376" s="151"/>
      <c r="BP376" s="151"/>
      <c r="BQ376" s="151"/>
      <c r="BR376" s="151"/>
      <c r="BS376" s="151"/>
      <c r="BT376" s="151"/>
      <c r="BU376" s="151"/>
      <c r="BV376" s="195"/>
      <c r="BW376" s="195"/>
    </row>
    <row r="377" spans="1:75" x14ac:dyDescent="0.2">
      <c r="A377" s="151"/>
      <c r="B377" s="151"/>
      <c r="C377" s="151"/>
      <c r="D377" s="151"/>
      <c r="E377" s="153"/>
      <c r="F377" s="151"/>
      <c r="G377" s="151"/>
      <c r="H377" s="153"/>
      <c r="I377" s="151"/>
      <c r="J377" s="151"/>
      <c r="K377" s="151"/>
      <c r="L377" s="151"/>
      <c r="M377" s="151"/>
      <c r="N377" s="151"/>
      <c r="O377" s="151"/>
      <c r="P377" s="151"/>
      <c r="Q377" s="151"/>
      <c r="R377" s="151"/>
      <c r="S377" s="151"/>
      <c r="T377" s="151"/>
      <c r="U377" s="151"/>
      <c r="V377" s="151"/>
      <c r="W377" s="151"/>
      <c r="X377" s="152"/>
      <c r="Y377" s="152"/>
      <c r="Z377" s="152"/>
      <c r="AA377" s="152"/>
      <c r="AB377" s="152"/>
      <c r="AC377" s="152"/>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151"/>
      <c r="BN377" s="151"/>
      <c r="BO377" s="151"/>
      <c r="BP377" s="151"/>
      <c r="BQ377" s="151"/>
      <c r="BR377" s="151"/>
      <c r="BS377" s="151"/>
      <c r="BT377" s="151"/>
      <c r="BU377" s="151"/>
      <c r="BV377" s="195"/>
      <c r="BW377" s="195"/>
    </row>
    <row r="378" spans="1:75" x14ac:dyDescent="0.2">
      <c r="A378" s="151"/>
      <c r="B378" s="151"/>
      <c r="C378" s="151"/>
      <c r="D378" s="151"/>
      <c r="E378" s="153"/>
      <c r="F378" s="151"/>
      <c r="G378" s="151"/>
      <c r="H378" s="153"/>
      <c r="I378" s="151"/>
      <c r="J378" s="151"/>
      <c r="K378" s="151"/>
      <c r="L378" s="151"/>
      <c r="M378" s="151"/>
      <c r="N378" s="151"/>
      <c r="O378" s="151"/>
      <c r="P378" s="151"/>
      <c r="Q378" s="151"/>
      <c r="R378" s="151"/>
      <c r="S378" s="151"/>
      <c r="T378" s="151"/>
      <c r="U378" s="151"/>
      <c r="V378" s="151"/>
      <c r="W378" s="151"/>
      <c r="X378" s="152"/>
      <c r="Y378" s="152"/>
      <c r="Z378" s="152"/>
      <c r="AA378" s="152"/>
      <c r="AB378" s="152"/>
      <c r="AC378" s="152"/>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c r="BS378" s="151"/>
      <c r="BT378" s="151"/>
      <c r="BU378" s="151"/>
      <c r="BV378" s="195"/>
      <c r="BW378" s="195"/>
    </row>
    <row r="379" spans="1:75" x14ac:dyDescent="0.2">
      <c r="A379" s="151"/>
      <c r="B379" s="151"/>
      <c r="C379" s="151"/>
      <c r="D379" s="151"/>
      <c r="E379" s="153"/>
      <c r="F379" s="151"/>
      <c r="G379" s="151"/>
      <c r="H379" s="153"/>
      <c r="I379" s="151"/>
      <c r="J379" s="151"/>
      <c r="K379" s="151"/>
      <c r="L379" s="151"/>
      <c r="M379" s="151"/>
      <c r="N379" s="151"/>
      <c r="O379" s="151"/>
      <c r="P379" s="151"/>
      <c r="Q379" s="151"/>
      <c r="R379" s="151"/>
      <c r="S379" s="151"/>
      <c r="T379" s="151"/>
      <c r="U379" s="151"/>
      <c r="V379" s="151"/>
      <c r="W379" s="151"/>
      <c r="X379" s="152"/>
      <c r="Y379" s="152"/>
      <c r="Z379" s="152"/>
      <c r="AA379" s="152"/>
      <c r="AB379" s="152"/>
      <c r="AC379" s="152"/>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c r="BR379" s="151"/>
      <c r="BS379" s="151"/>
      <c r="BT379" s="151"/>
      <c r="BU379" s="151"/>
      <c r="BV379" s="195"/>
      <c r="BW379" s="195"/>
    </row>
    <row r="380" spans="1:75" x14ac:dyDescent="0.2">
      <c r="A380" s="151"/>
      <c r="B380" s="151"/>
      <c r="C380" s="151"/>
      <c r="D380" s="151"/>
      <c r="E380" s="153"/>
      <c r="F380" s="151"/>
      <c r="G380" s="151"/>
      <c r="H380" s="153"/>
      <c r="I380" s="151"/>
      <c r="J380" s="151"/>
      <c r="K380" s="151"/>
      <c r="L380" s="151"/>
      <c r="M380" s="151"/>
      <c r="N380" s="151"/>
      <c r="O380" s="151"/>
      <c r="P380" s="151"/>
      <c r="Q380" s="151"/>
      <c r="R380" s="151"/>
      <c r="S380" s="151"/>
      <c r="T380" s="151"/>
      <c r="U380" s="151"/>
      <c r="V380" s="151"/>
      <c r="W380" s="151"/>
      <c r="X380" s="152"/>
      <c r="Y380" s="152"/>
      <c r="Z380" s="152"/>
      <c r="AA380" s="152"/>
      <c r="AB380" s="152"/>
      <c r="AC380" s="152"/>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151"/>
      <c r="BN380" s="151"/>
      <c r="BO380" s="151"/>
      <c r="BP380" s="151"/>
      <c r="BQ380" s="151"/>
      <c r="BR380" s="151"/>
      <c r="BS380" s="151"/>
      <c r="BT380" s="151"/>
      <c r="BU380" s="151"/>
      <c r="BV380" s="195"/>
      <c r="BW380" s="195"/>
    </row>
    <row r="381" spans="1:75" x14ac:dyDescent="0.2">
      <c r="A381" s="151"/>
      <c r="B381" s="151"/>
      <c r="C381" s="151"/>
      <c r="D381" s="151"/>
      <c r="E381" s="153"/>
      <c r="F381" s="151"/>
      <c r="G381" s="151"/>
      <c r="H381" s="153"/>
      <c r="I381" s="151"/>
      <c r="J381" s="151"/>
      <c r="K381" s="151"/>
      <c r="L381" s="151"/>
      <c r="M381" s="151"/>
      <c r="N381" s="151"/>
      <c r="O381" s="151"/>
      <c r="P381" s="151"/>
      <c r="Q381" s="151"/>
      <c r="R381" s="151"/>
      <c r="S381" s="151"/>
      <c r="T381" s="151"/>
      <c r="U381" s="151"/>
      <c r="V381" s="151"/>
      <c r="W381" s="151"/>
      <c r="X381" s="152"/>
      <c r="Y381" s="152"/>
      <c r="Z381" s="152"/>
      <c r="AA381" s="152"/>
      <c r="AB381" s="152"/>
      <c r="AC381" s="152"/>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151"/>
      <c r="BN381" s="151"/>
      <c r="BO381" s="151"/>
      <c r="BP381" s="151"/>
      <c r="BQ381" s="151"/>
      <c r="BR381" s="151"/>
      <c r="BS381" s="151"/>
      <c r="BT381" s="151"/>
      <c r="BU381" s="151"/>
      <c r="BV381" s="195"/>
      <c r="BW381" s="195"/>
    </row>
    <row r="382" spans="1:75" x14ac:dyDescent="0.2">
      <c r="A382" s="151"/>
      <c r="B382" s="151"/>
      <c r="C382" s="151"/>
      <c r="D382" s="151"/>
      <c r="E382" s="153"/>
      <c r="F382" s="151"/>
      <c r="G382" s="151"/>
      <c r="H382" s="153"/>
      <c r="I382" s="151"/>
      <c r="J382" s="151"/>
      <c r="K382" s="151"/>
      <c r="L382" s="151"/>
      <c r="M382" s="151"/>
      <c r="N382" s="151"/>
      <c r="O382" s="151"/>
      <c r="P382" s="151"/>
      <c r="Q382" s="151"/>
      <c r="R382" s="151"/>
      <c r="S382" s="151"/>
      <c r="T382" s="151"/>
      <c r="U382" s="151"/>
      <c r="V382" s="151"/>
      <c r="W382" s="151"/>
      <c r="X382" s="152"/>
      <c r="Y382" s="152"/>
      <c r="Z382" s="152"/>
      <c r="AA382" s="152"/>
      <c r="AB382" s="152"/>
      <c r="AC382" s="152"/>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151"/>
      <c r="BU382" s="151"/>
      <c r="BV382" s="195"/>
      <c r="BW382" s="195"/>
    </row>
    <row r="383" spans="1:75" x14ac:dyDescent="0.2">
      <c r="A383" s="151"/>
      <c r="B383" s="151"/>
      <c r="C383" s="151"/>
      <c r="D383" s="151"/>
      <c r="E383" s="153"/>
      <c r="F383" s="151"/>
      <c r="G383" s="151"/>
      <c r="H383" s="153"/>
      <c r="I383" s="151"/>
      <c r="J383" s="151"/>
      <c r="K383" s="151"/>
      <c r="L383" s="151"/>
      <c r="M383" s="151"/>
      <c r="N383" s="151"/>
      <c r="O383" s="151"/>
      <c r="P383" s="151"/>
      <c r="Q383" s="151"/>
      <c r="R383" s="151"/>
      <c r="S383" s="151"/>
      <c r="T383" s="151"/>
      <c r="U383" s="151"/>
      <c r="V383" s="151"/>
      <c r="W383" s="151"/>
      <c r="X383" s="152"/>
      <c r="Y383" s="152"/>
      <c r="Z383" s="152"/>
      <c r="AA383" s="152"/>
      <c r="AB383" s="152"/>
      <c r="AC383" s="152"/>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c r="BS383" s="151"/>
      <c r="BT383" s="151"/>
      <c r="BU383" s="151"/>
      <c r="BV383" s="195"/>
      <c r="BW383" s="195"/>
    </row>
    <row r="384" spans="1:75" x14ac:dyDescent="0.2">
      <c r="A384" s="151"/>
      <c r="B384" s="151"/>
      <c r="C384" s="151"/>
      <c r="D384" s="151"/>
      <c r="E384" s="153"/>
      <c r="F384" s="151"/>
      <c r="G384" s="151"/>
      <c r="H384" s="153"/>
      <c r="I384" s="151"/>
      <c r="J384" s="151"/>
      <c r="K384" s="151"/>
      <c r="L384" s="151"/>
      <c r="M384" s="151"/>
      <c r="N384" s="151"/>
      <c r="O384" s="151"/>
      <c r="P384" s="151"/>
      <c r="Q384" s="151"/>
      <c r="R384" s="151"/>
      <c r="S384" s="151"/>
      <c r="T384" s="151"/>
      <c r="U384" s="151"/>
      <c r="V384" s="151"/>
      <c r="W384" s="151"/>
      <c r="X384" s="152"/>
      <c r="Y384" s="152"/>
      <c r="Z384" s="152"/>
      <c r="AA384" s="152"/>
      <c r="AB384" s="152"/>
      <c r="AC384" s="152"/>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c r="BR384" s="151"/>
      <c r="BS384" s="151"/>
      <c r="BT384" s="151"/>
      <c r="BU384" s="151"/>
      <c r="BV384" s="195"/>
      <c r="BW384" s="195"/>
    </row>
    <row r="385" spans="1:75" x14ac:dyDescent="0.2">
      <c r="A385" s="151"/>
      <c r="B385" s="151"/>
      <c r="C385" s="151"/>
      <c r="D385" s="151"/>
      <c r="E385" s="153"/>
      <c r="F385" s="151"/>
      <c r="G385" s="151"/>
      <c r="H385" s="153"/>
      <c r="I385" s="151"/>
      <c r="J385" s="151"/>
      <c r="K385" s="151"/>
      <c r="L385" s="151"/>
      <c r="M385" s="151"/>
      <c r="N385" s="151"/>
      <c r="O385" s="151"/>
      <c r="P385" s="151"/>
      <c r="Q385" s="151"/>
      <c r="R385" s="151"/>
      <c r="S385" s="151"/>
      <c r="T385" s="151"/>
      <c r="U385" s="151"/>
      <c r="V385" s="151"/>
      <c r="W385" s="151"/>
      <c r="X385" s="152"/>
      <c r="Y385" s="152"/>
      <c r="Z385" s="152"/>
      <c r="AA385" s="152"/>
      <c r="AB385" s="152"/>
      <c r="AC385" s="152"/>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151"/>
      <c r="BN385" s="151"/>
      <c r="BO385" s="151"/>
      <c r="BP385" s="151"/>
      <c r="BQ385" s="151"/>
      <c r="BR385" s="151"/>
      <c r="BS385" s="151"/>
      <c r="BT385" s="151"/>
      <c r="BU385" s="151"/>
      <c r="BV385" s="195"/>
      <c r="BW385" s="195"/>
    </row>
    <row r="386" spans="1:75" x14ac:dyDescent="0.2">
      <c r="A386" s="151"/>
      <c r="B386" s="151"/>
      <c r="C386" s="151"/>
      <c r="D386" s="151"/>
      <c r="E386" s="153"/>
      <c r="F386" s="151"/>
      <c r="G386" s="151"/>
      <c r="H386" s="153"/>
      <c r="I386" s="151"/>
      <c r="J386" s="151"/>
      <c r="K386" s="151"/>
      <c r="L386" s="151"/>
      <c r="M386" s="151"/>
      <c r="N386" s="151"/>
      <c r="O386" s="151"/>
      <c r="P386" s="151"/>
      <c r="Q386" s="151"/>
      <c r="R386" s="151"/>
      <c r="S386" s="151"/>
      <c r="T386" s="151"/>
      <c r="U386" s="151"/>
      <c r="V386" s="151"/>
      <c r="W386" s="151"/>
      <c r="X386" s="152"/>
      <c r="Y386" s="152"/>
      <c r="Z386" s="152"/>
      <c r="AA386" s="152"/>
      <c r="AB386" s="152"/>
      <c r="AC386" s="152"/>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c r="BR386" s="151"/>
      <c r="BS386" s="151"/>
      <c r="BT386" s="151"/>
      <c r="BU386" s="151"/>
      <c r="BV386" s="195"/>
      <c r="BW386" s="195"/>
    </row>
    <row r="387" spans="1:75" x14ac:dyDescent="0.2">
      <c r="A387" s="151"/>
      <c r="B387" s="151"/>
      <c r="C387" s="151"/>
      <c r="D387" s="151"/>
      <c r="E387" s="153"/>
      <c r="F387" s="151"/>
      <c r="G387" s="151"/>
      <c r="H387" s="153"/>
      <c r="I387" s="151"/>
      <c r="J387" s="151"/>
      <c r="K387" s="151"/>
      <c r="L387" s="151"/>
      <c r="M387" s="151"/>
      <c r="N387" s="151"/>
      <c r="O387" s="151"/>
      <c r="P387" s="151"/>
      <c r="Q387" s="151"/>
      <c r="R387" s="151"/>
      <c r="S387" s="151"/>
      <c r="T387" s="151"/>
      <c r="U387" s="151"/>
      <c r="V387" s="151"/>
      <c r="W387" s="151"/>
      <c r="X387" s="152"/>
      <c r="Y387" s="152"/>
      <c r="Z387" s="152"/>
      <c r="AA387" s="152"/>
      <c r="AB387" s="152"/>
      <c r="AC387" s="152"/>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c r="BR387" s="151"/>
      <c r="BS387" s="151"/>
      <c r="BT387" s="151"/>
      <c r="BU387" s="151"/>
      <c r="BV387" s="195"/>
      <c r="BW387" s="195"/>
    </row>
    <row r="388" spans="1:75" x14ac:dyDescent="0.2">
      <c r="A388" s="151"/>
      <c r="B388" s="151"/>
      <c r="C388" s="151"/>
      <c r="D388" s="151"/>
      <c r="E388" s="153"/>
      <c r="F388" s="151"/>
      <c r="G388" s="151"/>
      <c r="H388" s="153"/>
      <c r="I388" s="151"/>
      <c r="J388" s="151"/>
      <c r="K388" s="151"/>
      <c r="L388" s="151"/>
      <c r="M388" s="151"/>
      <c r="N388" s="151"/>
      <c r="O388" s="151"/>
      <c r="P388" s="151"/>
      <c r="Q388" s="151"/>
      <c r="R388" s="151"/>
      <c r="S388" s="151"/>
      <c r="T388" s="151"/>
      <c r="U388" s="151"/>
      <c r="V388" s="151"/>
      <c r="W388" s="151"/>
      <c r="X388" s="152"/>
      <c r="Y388" s="152"/>
      <c r="Z388" s="152"/>
      <c r="AA388" s="152"/>
      <c r="AB388" s="152"/>
      <c r="AC388" s="152"/>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151"/>
      <c r="BN388" s="151"/>
      <c r="BO388" s="151"/>
      <c r="BP388" s="151"/>
      <c r="BQ388" s="151"/>
      <c r="BR388" s="151"/>
      <c r="BS388" s="151"/>
      <c r="BT388" s="151"/>
      <c r="BU388" s="151"/>
      <c r="BV388" s="195"/>
      <c r="BW388" s="195"/>
    </row>
    <row r="389" spans="1:75" x14ac:dyDescent="0.2">
      <c r="A389" s="151"/>
      <c r="B389" s="151"/>
      <c r="C389" s="151"/>
      <c r="D389" s="151"/>
      <c r="E389" s="153"/>
      <c r="F389" s="151"/>
      <c r="G389" s="151"/>
      <c r="H389" s="153"/>
      <c r="I389" s="151"/>
      <c r="J389" s="151"/>
      <c r="K389" s="151"/>
      <c r="L389" s="151"/>
      <c r="M389" s="151"/>
      <c r="N389" s="151"/>
      <c r="O389" s="151"/>
      <c r="P389" s="151"/>
      <c r="Q389" s="151"/>
      <c r="R389" s="151"/>
      <c r="S389" s="151"/>
      <c r="T389" s="151"/>
      <c r="U389" s="151"/>
      <c r="V389" s="151"/>
      <c r="W389" s="151"/>
      <c r="X389" s="152"/>
      <c r="Y389" s="152"/>
      <c r="Z389" s="152"/>
      <c r="AA389" s="152"/>
      <c r="AB389" s="152"/>
      <c r="AC389" s="152"/>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151"/>
      <c r="BN389" s="151"/>
      <c r="BO389" s="151"/>
      <c r="BP389" s="151"/>
      <c r="BQ389" s="151"/>
      <c r="BR389" s="151"/>
      <c r="BS389" s="151"/>
      <c r="BT389" s="151"/>
      <c r="BU389" s="151"/>
      <c r="BV389" s="195"/>
      <c r="BW389" s="195"/>
    </row>
    <row r="390" spans="1:75" x14ac:dyDescent="0.2">
      <c r="A390" s="151"/>
      <c r="B390" s="151"/>
      <c r="C390" s="151"/>
      <c r="D390" s="151"/>
      <c r="E390" s="153"/>
      <c r="F390" s="151"/>
      <c r="G390" s="151"/>
      <c r="H390" s="153"/>
      <c r="I390" s="151"/>
      <c r="J390" s="151"/>
      <c r="K390" s="151"/>
      <c r="L390" s="151"/>
      <c r="M390" s="151"/>
      <c r="N390" s="151"/>
      <c r="O390" s="151"/>
      <c r="P390" s="151"/>
      <c r="Q390" s="151"/>
      <c r="R390" s="151"/>
      <c r="S390" s="151"/>
      <c r="T390" s="151"/>
      <c r="U390" s="151"/>
      <c r="V390" s="151"/>
      <c r="W390" s="151"/>
      <c r="X390" s="152"/>
      <c r="Y390" s="152"/>
      <c r="Z390" s="152"/>
      <c r="AA390" s="152"/>
      <c r="AB390" s="152"/>
      <c r="AC390" s="152"/>
      <c r="AD390" s="151"/>
      <c r="AE390" s="151"/>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151"/>
      <c r="BU390" s="151"/>
      <c r="BV390" s="195"/>
      <c r="BW390" s="195"/>
    </row>
    <row r="391" spans="1:75" x14ac:dyDescent="0.2">
      <c r="A391" s="151"/>
      <c r="B391" s="151"/>
      <c r="C391" s="151"/>
      <c r="D391" s="151"/>
      <c r="E391" s="153"/>
      <c r="F391" s="151"/>
      <c r="G391" s="151"/>
      <c r="H391" s="153"/>
      <c r="I391" s="151"/>
      <c r="J391" s="151"/>
      <c r="K391" s="151"/>
      <c r="L391" s="151"/>
      <c r="M391" s="151"/>
      <c r="N391" s="151"/>
      <c r="O391" s="151"/>
      <c r="P391" s="151"/>
      <c r="Q391" s="151"/>
      <c r="R391" s="151"/>
      <c r="S391" s="151"/>
      <c r="T391" s="151"/>
      <c r="U391" s="151"/>
      <c r="V391" s="151"/>
      <c r="W391" s="151"/>
      <c r="X391" s="152"/>
      <c r="Y391" s="152"/>
      <c r="Z391" s="152"/>
      <c r="AA391" s="152"/>
      <c r="AB391" s="152"/>
      <c r="AC391" s="152"/>
      <c r="AD391" s="151"/>
      <c r="AE391" s="151"/>
      <c r="AF391" s="151"/>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151"/>
      <c r="BU391" s="151"/>
      <c r="BV391" s="195"/>
      <c r="BW391" s="195"/>
    </row>
    <row r="392" spans="1:75" x14ac:dyDescent="0.2">
      <c r="A392" s="151"/>
      <c r="B392" s="151"/>
      <c r="C392" s="151"/>
      <c r="D392" s="151"/>
      <c r="E392" s="153"/>
      <c r="F392" s="151"/>
      <c r="G392" s="151"/>
      <c r="H392" s="153"/>
      <c r="I392" s="151"/>
      <c r="J392" s="151"/>
      <c r="K392" s="151"/>
      <c r="L392" s="151"/>
      <c r="M392" s="151"/>
      <c r="N392" s="151"/>
      <c r="O392" s="151"/>
      <c r="P392" s="151"/>
      <c r="Q392" s="151"/>
      <c r="R392" s="151"/>
      <c r="S392" s="151"/>
      <c r="T392" s="151"/>
      <c r="U392" s="151"/>
      <c r="V392" s="151"/>
      <c r="W392" s="151"/>
      <c r="X392" s="152"/>
      <c r="Y392" s="152"/>
      <c r="Z392" s="152"/>
      <c r="AA392" s="152"/>
      <c r="AB392" s="152"/>
      <c r="AC392" s="152"/>
      <c r="AD392" s="170"/>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151"/>
      <c r="BU392" s="151"/>
      <c r="BV392" s="195"/>
      <c r="BW392" s="195"/>
    </row>
    <row r="393" spans="1:75" x14ac:dyDescent="0.2">
      <c r="A393" s="151"/>
      <c r="B393" s="151"/>
      <c r="C393" s="151"/>
      <c r="D393" s="151"/>
      <c r="E393" s="153"/>
      <c r="F393" s="151"/>
      <c r="G393" s="151"/>
      <c r="H393" s="153"/>
      <c r="I393" s="151"/>
      <c r="J393" s="151"/>
      <c r="K393" s="151"/>
      <c r="L393" s="151"/>
      <c r="M393" s="151"/>
      <c r="N393" s="151"/>
      <c r="O393" s="151"/>
      <c r="P393" s="151"/>
      <c r="Q393" s="151"/>
      <c r="R393" s="151"/>
      <c r="S393" s="151"/>
      <c r="T393" s="151"/>
      <c r="U393" s="151"/>
      <c r="V393" s="151"/>
      <c r="W393" s="151"/>
      <c r="X393" s="152"/>
      <c r="Y393" s="152"/>
      <c r="Z393" s="152"/>
      <c r="AA393" s="152"/>
      <c r="AB393" s="152"/>
      <c r="AC393" s="152"/>
      <c r="AD393" s="170"/>
      <c r="AE393" s="151"/>
      <c r="AF393" s="151"/>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c r="BR393" s="151"/>
      <c r="BS393" s="151"/>
      <c r="BT393" s="151"/>
      <c r="BU393" s="151"/>
      <c r="BV393" s="195"/>
      <c r="BW393" s="195"/>
    </row>
    <row r="394" spans="1:75" x14ac:dyDescent="0.2">
      <c r="A394" s="151"/>
      <c r="B394" s="151"/>
      <c r="C394" s="151"/>
      <c r="D394" s="151"/>
      <c r="E394" s="153"/>
      <c r="F394" s="151"/>
      <c r="G394" s="151"/>
      <c r="H394" s="153"/>
      <c r="I394" s="151"/>
      <c r="J394" s="151"/>
      <c r="K394" s="151"/>
      <c r="L394" s="151"/>
      <c r="M394" s="151"/>
      <c r="N394" s="151"/>
      <c r="O394" s="151"/>
      <c r="P394" s="151"/>
      <c r="Q394" s="151"/>
      <c r="R394" s="151"/>
      <c r="S394" s="151"/>
      <c r="T394" s="151"/>
      <c r="U394" s="151"/>
      <c r="V394" s="151"/>
      <c r="W394" s="151"/>
      <c r="X394" s="152"/>
      <c r="Y394" s="152"/>
      <c r="Z394" s="152"/>
      <c r="AA394" s="152"/>
      <c r="AB394" s="152"/>
      <c r="AC394" s="152"/>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151"/>
      <c r="BU394" s="151"/>
      <c r="BV394" s="195"/>
      <c r="BW394" s="195"/>
    </row>
    <row r="395" spans="1:75" x14ac:dyDescent="0.2">
      <c r="A395" s="151"/>
      <c r="B395" s="151"/>
      <c r="C395" s="151"/>
      <c r="D395" s="151"/>
      <c r="E395" s="153"/>
      <c r="F395" s="151"/>
      <c r="G395" s="151"/>
      <c r="H395" s="153"/>
      <c r="I395" s="151"/>
      <c r="J395" s="151"/>
      <c r="K395" s="151"/>
      <c r="L395" s="151"/>
      <c r="M395" s="151"/>
      <c r="N395" s="151"/>
      <c r="O395" s="151"/>
      <c r="P395" s="151"/>
      <c r="Q395" s="151"/>
      <c r="R395" s="151"/>
      <c r="S395" s="151"/>
      <c r="T395" s="151"/>
      <c r="U395" s="151"/>
      <c r="V395" s="151"/>
      <c r="W395" s="151"/>
      <c r="X395" s="152"/>
      <c r="Y395" s="152"/>
      <c r="Z395" s="152"/>
      <c r="AA395" s="152"/>
      <c r="AB395" s="152"/>
      <c r="AC395" s="152"/>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151"/>
      <c r="BU395" s="151"/>
      <c r="BV395" s="195"/>
      <c r="BW395" s="195"/>
    </row>
    <row r="396" spans="1:75" x14ac:dyDescent="0.2">
      <c r="A396" s="151"/>
      <c r="B396" s="151"/>
      <c r="C396" s="151"/>
      <c r="D396" s="151"/>
      <c r="E396" s="153"/>
      <c r="F396" s="151"/>
      <c r="G396" s="151"/>
      <c r="H396" s="153"/>
      <c r="I396" s="151"/>
      <c r="J396" s="151"/>
      <c r="K396" s="151"/>
      <c r="L396" s="151"/>
      <c r="M396" s="151"/>
      <c r="N396" s="151"/>
      <c r="O396" s="151"/>
      <c r="P396" s="151"/>
      <c r="Q396" s="151"/>
      <c r="R396" s="151"/>
      <c r="S396" s="151"/>
      <c r="T396" s="151"/>
      <c r="U396" s="151"/>
      <c r="V396" s="151"/>
      <c r="W396" s="151"/>
      <c r="X396" s="152"/>
      <c r="Y396" s="152"/>
      <c r="Z396" s="152"/>
      <c r="AA396" s="152"/>
      <c r="AB396" s="152"/>
      <c r="AC396" s="152"/>
      <c r="AD396" s="170"/>
      <c r="AE396" s="151"/>
      <c r="AF396" s="151"/>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c r="BS396" s="151"/>
      <c r="BT396" s="151"/>
      <c r="BU396" s="151"/>
      <c r="BV396" s="195"/>
      <c r="BW396" s="195"/>
    </row>
    <row r="397" spans="1:75" x14ac:dyDescent="0.2">
      <c r="A397" s="151"/>
      <c r="B397" s="151"/>
      <c r="C397" s="151"/>
      <c r="D397" s="151"/>
      <c r="E397" s="153"/>
      <c r="F397" s="151"/>
      <c r="G397" s="151"/>
      <c r="H397" s="153"/>
      <c r="I397" s="151"/>
      <c r="J397" s="151"/>
      <c r="K397" s="151"/>
      <c r="L397" s="151"/>
      <c r="M397" s="151"/>
      <c r="N397" s="151"/>
      <c r="O397" s="151"/>
      <c r="P397" s="151"/>
      <c r="Q397" s="151"/>
      <c r="R397" s="151"/>
      <c r="S397" s="151"/>
      <c r="T397" s="151"/>
      <c r="U397" s="151"/>
      <c r="V397" s="151"/>
      <c r="W397" s="151"/>
      <c r="X397" s="152"/>
      <c r="Y397" s="152"/>
      <c r="Z397" s="152"/>
      <c r="AA397" s="152"/>
      <c r="AB397" s="152"/>
      <c r="AC397" s="152"/>
      <c r="AD397" s="170"/>
      <c r="AE397" s="151"/>
      <c r="AF397" s="151"/>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151"/>
      <c r="BN397" s="151"/>
      <c r="BO397" s="151"/>
      <c r="BP397" s="151"/>
      <c r="BQ397" s="151"/>
      <c r="BR397" s="151"/>
      <c r="BS397" s="151"/>
      <c r="BT397" s="151"/>
      <c r="BU397" s="151"/>
      <c r="BV397" s="195"/>
      <c r="BW397" s="195"/>
    </row>
    <row r="398" spans="1:75" x14ac:dyDescent="0.2">
      <c r="A398" s="151"/>
      <c r="B398" s="151"/>
      <c r="C398" s="151"/>
      <c r="D398" s="151"/>
      <c r="E398" s="153"/>
      <c r="F398" s="151"/>
      <c r="G398" s="151"/>
      <c r="H398" s="153"/>
      <c r="I398" s="151"/>
      <c r="J398" s="151"/>
      <c r="K398" s="151"/>
      <c r="L398" s="151"/>
      <c r="M398" s="151"/>
      <c r="N398" s="151"/>
      <c r="O398" s="151"/>
      <c r="P398" s="151"/>
      <c r="Q398" s="151"/>
      <c r="R398" s="151"/>
      <c r="S398" s="151"/>
      <c r="T398" s="151"/>
      <c r="U398" s="151"/>
      <c r="V398" s="151"/>
      <c r="W398" s="151"/>
      <c r="X398" s="152"/>
      <c r="Y398" s="152"/>
      <c r="Z398" s="152"/>
      <c r="AA398" s="152"/>
      <c r="AB398" s="152"/>
      <c r="AC398" s="152"/>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c r="BS398" s="151"/>
      <c r="BT398" s="151"/>
      <c r="BU398" s="151"/>
      <c r="BV398" s="195"/>
      <c r="BW398" s="195"/>
    </row>
    <row r="399" spans="1:75" x14ac:dyDescent="0.2">
      <c r="A399" s="151"/>
      <c r="B399" s="151"/>
      <c r="C399" s="151"/>
      <c r="D399" s="151"/>
      <c r="E399" s="153"/>
      <c r="F399" s="151"/>
      <c r="G399" s="151"/>
      <c r="H399" s="153"/>
      <c r="I399" s="151"/>
      <c r="J399" s="151"/>
      <c r="K399" s="151"/>
      <c r="L399" s="151"/>
      <c r="M399" s="151"/>
      <c r="N399" s="151"/>
      <c r="O399" s="151"/>
      <c r="P399" s="151"/>
      <c r="Q399" s="151"/>
      <c r="R399" s="151"/>
      <c r="S399" s="151"/>
      <c r="T399" s="151"/>
      <c r="U399" s="151"/>
      <c r="V399" s="151"/>
      <c r="W399" s="151"/>
      <c r="X399" s="152"/>
      <c r="Y399" s="152"/>
      <c r="Z399" s="152"/>
      <c r="AA399" s="152"/>
      <c r="AB399" s="152"/>
      <c r="AC399" s="152"/>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c r="BR399" s="151"/>
      <c r="BS399" s="151"/>
      <c r="BT399" s="151"/>
      <c r="BU399" s="151"/>
      <c r="BV399" s="195"/>
      <c r="BW399" s="195"/>
    </row>
    <row r="400" spans="1:75" x14ac:dyDescent="0.2">
      <c r="A400" s="151"/>
      <c r="B400" s="151"/>
      <c r="C400" s="151"/>
      <c r="D400" s="151"/>
      <c r="E400" s="153"/>
      <c r="F400" s="151"/>
      <c r="G400" s="151"/>
      <c r="H400" s="153"/>
      <c r="I400" s="151"/>
      <c r="J400" s="151"/>
      <c r="K400" s="151"/>
      <c r="L400" s="151"/>
      <c r="M400" s="151"/>
      <c r="N400" s="151"/>
      <c r="O400" s="151"/>
      <c r="P400" s="151"/>
      <c r="Q400" s="151"/>
      <c r="R400" s="151"/>
      <c r="S400" s="151"/>
      <c r="T400" s="151"/>
      <c r="U400" s="151"/>
      <c r="V400" s="151"/>
      <c r="W400" s="151"/>
      <c r="X400" s="152"/>
      <c r="Y400" s="152"/>
      <c r="Z400" s="152"/>
      <c r="AA400" s="152"/>
      <c r="AB400" s="152"/>
      <c r="AC400" s="152"/>
      <c r="AD400" s="151"/>
      <c r="AE400" s="151"/>
      <c r="AF400" s="151"/>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151"/>
      <c r="BN400" s="151"/>
      <c r="BO400" s="151"/>
      <c r="BP400" s="151"/>
      <c r="BQ400" s="151"/>
      <c r="BR400" s="151"/>
      <c r="BS400" s="151"/>
      <c r="BT400" s="151"/>
      <c r="BU400" s="151"/>
      <c r="BV400" s="195"/>
      <c r="BW400" s="195"/>
    </row>
    <row r="401" spans="1:75" x14ac:dyDescent="0.2">
      <c r="A401" s="151"/>
      <c r="B401" s="151"/>
      <c r="C401" s="151"/>
      <c r="D401" s="151"/>
      <c r="E401" s="153"/>
      <c r="F401" s="151"/>
      <c r="G401" s="151"/>
      <c r="H401" s="153"/>
      <c r="I401" s="151"/>
      <c r="J401" s="151"/>
      <c r="K401" s="151"/>
      <c r="L401" s="151"/>
      <c r="M401" s="151"/>
      <c r="N401" s="151"/>
      <c r="O401" s="151"/>
      <c r="P401" s="151"/>
      <c r="Q401" s="151"/>
      <c r="R401" s="151"/>
      <c r="S401" s="151"/>
      <c r="T401" s="151"/>
      <c r="U401" s="151"/>
      <c r="V401" s="151"/>
      <c r="W401" s="151"/>
      <c r="X401" s="152"/>
      <c r="Y401" s="152"/>
      <c r="Z401" s="152"/>
      <c r="AA401" s="152"/>
      <c r="AB401" s="152"/>
      <c r="AC401" s="152"/>
      <c r="AD401" s="151"/>
      <c r="AE401" s="151"/>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151"/>
      <c r="BN401" s="151"/>
      <c r="BO401" s="151"/>
      <c r="BP401" s="151"/>
      <c r="BQ401" s="151"/>
      <c r="BR401" s="151"/>
      <c r="BS401" s="151"/>
      <c r="BT401" s="151"/>
      <c r="BU401" s="151"/>
      <c r="BV401" s="195"/>
      <c r="BW401" s="195"/>
    </row>
    <row r="402" spans="1:75" x14ac:dyDescent="0.2">
      <c r="A402" s="151"/>
      <c r="B402" s="151"/>
      <c r="C402" s="151"/>
      <c r="D402" s="151"/>
      <c r="E402" s="153"/>
      <c r="F402" s="151"/>
      <c r="G402" s="151"/>
      <c r="H402" s="153"/>
      <c r="I402" s="151"/>
      <c r="J402" s="151"/>
      <c r="K402" s="151"/>
      <c r="L402" s="151"/>
      <c r="M402" s="151"/>
      <c r="N402" s="151"/>
      <c r="O402" s="151"/>
      <c r="P402" s="151"/>
      <c r="Q402" s="151"/>
      <c r="R402" s="151"/>
      <c r="S402" s="151"/>
      <c r="T402" s="151"/>
      <c r="U402" s="151"/>
      <c r="V402" s="151"/>
      <c r="W402" s="151"/>
      <c r="X402" s="152"/>
      <c r="Y402" s="152"/>
      <c r="Z402" s="152"/>
      <c r="AA402" s="152"/>
      <c r="AB402" s="152"/>
      <c r="AC402" s="152"/>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151"/>
      <c r="BU402" s="151"/>
      <c r="BV402" s="195"/>
      <c r="BW402" s="195"/>
    </row>
    <row r="403" spans="1:75" x14ac:dyDescent="0.2">
      <c r="A403" s="151"/>
      <c r="B403" s="151"/>
      <c r="C403" s="151"/>
      <c r="D403" s="151"/>
      <c r="E403" s="153"/>
      <c r="F403" s="151"/>
      <c r="G403" s="151"/>
      <c r="H403" s="153"/>
      <c r="I403" s="151"/>
      <c r="J403" s="151"/>
      <c r="K403" s="151"/>
      <c r="L403" s="151"/>
      <c r="M403" s="151"/>
      <c r="N403" s="151"/>
      <c r="O403" s="151"/>
      <c r="P403" s="151"/>
      <c r="Q403" s="151"/>
      <c r="R403" s="151"/>
      <c r="S403" s="151"/>
      <c r="T403" s="151"/>
      <c r="U403" s="151"/>
      <c r="V403" s="151"/>
      <c r="W403" s="151"/>
      <c r="X403" s="152"/>
      <c r="Y403" s="152"/>
      <c r="Z403" s="152"/>
      <c r="AA403" s="152"/>
      <c r="AB403" s="152"/>
      <c r="AC403" s="152"/>
      <c r="AD403" s="151"/>
      <c r="AE403" s="151"/>
      <c r="AF403" s="151"/>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151"/>
      <c r="BU403" s="151"/>
      <c r="BV403" s="195"/>
      <c r="BW403" s="195"/>
    </row>
    <row r="404" spans="1:75" x14ac:dyDescent="0.2">
      <c r="A404" s="151"/>
      <c r="B404" s="151"/>
      <c r="C404" s="151"/>
      <c r="D404" s="151"/>
      <c r="E404" s="153"/>
      <c r="F404" s="151"/>
      <c r="G404" s="151"/>
      <c r="H404" s="153"/>
      <c r="I404" s="151"/>
      <c r="J404" s="151"/>
      <c r="K404" s="151"/>
      <c r="L404" s="151"/>
      <c r="M404" s="151"/>
      <c r="N404" s="151"/>
      <c r="O404" s="151"/>
      <c r="P404" s="151"/>
      <c r="Q404" s="151"/>
      <c r="R404" s="151"/>
      <c r="S404" s="151"/>
      <c r="T404" s="151"/>
      <c r="U404" s="151"/>
      <c r="V404" s="151"/>
      <c r="W404" s="151"/>
      <c r="X404" s="152"/>
      <c r="Y404" s="152"/>
      <c r="Z404" s="152"/>
      <c r="AA404" s="152"/>
      <c r="AB404" s="152"/>
      <c r="AC404" s="152"/>
      <c r="AD404" s="151"/>
      <c r="AE404" s="151"/>
      <c r="AF404" s="151"/>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c r="BS404" s="151"/>
      <c r="BT404" s="151"/>
      <c r="BU404" s="151"/>
      <c r="BV404" s="195"/>
      <c r="BW404" s="195"/>
    </row>
    <row r="405" spans="1:75" x14ac:dyDescent="0.2">
      <c r="A405" s="151"/>
      <c r="B405" s="151"/>
      <c r="C405" s="151"/>
      <c r="D405" s="151"/>
      <c r="E405" s="153"/>
      <c r="F405" s="151"/>
      <c r="G405" s="151"/>
      <c r="H405" s="153"/>
      <c r="I405" s="151"/>
      <c r="J405" s="151"/>
      <c r="K405" s="151"/>
      <c r="L405" s="151"/>
      <c r="M405" s="151"/>
      <c r="N405" s="151"/>
      <c r="O405" s="151"/>
      <c r="P405" s="151"/>
      <c r="Q405" s="151"/>
      <c r="R405" s="151"/>
      <c r="S405" s="151"/>
      <c r="T405" s="151"/>
      <c r="U405" s="151"/>
      <c r="V405" s="151"/>
      <c r="W405" s="151"/>
      <c r="X405" s="152"/>
      <c r="Y405" s="152"/>
      <c r="Z405" s="152"/>
      <c r="AA405" s="152"/>
      <c r="AB405" s="152"/>
      <c r="AC405" s="152"/>
      <c r="AD405" s="151"/>
      <c r="AE405" s="151"/>
      <c r="AF405" s="151"/>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151"/>
      <c r="BN405" s="151"/>
      <c r="BO405" s="151"/>
      <c r="BP405" s="151"/>
      <c r="BQ405" s="151"/>
      <c r="BR405" s="151"/>
      <c r="BS405" s="151"/>
      <c r="BT405" s="151"/>
      <c r="BU405" s="151"/>
      <c r="BV405" s="195"/>
      <c r="BW405" s="195"/>
    </row>
    <row r="406" spans="1:75" x14ac:dyDescent="0.2">
      <c r="A406" s="151"/>
      <c r="B406" s="151"/>
      <c r="C406" s="151"/>
      <c r="D406" s="151"/>
      <c r="E406" s="153"/>
      <c r="F406" s="151"/>
      <c r="G406" s="151"/>
      <c r="H406" s="153"/>
      <c r="I406" s="151"/>
      <c r="J406" s="151"/>
      <c r="K406" s="151"/>
      <c r="L406" s="151"/>
      <c r="M406" s="151"/>
      <c r="N406" s="151"/>
      <c r="O406" s="151"/>
      <c r="P406" s="151"/>
      <c r="Q406" s="151"/>
      <c r="R406" s="151"/>
      <c r="S406" s="151"/>
      <c r="T406" s="151"/>
      <c r="U406" s="151"/>
      <c r="V406" s="151"/>
      <c r="W406" s="151"/>
      <c r="X406" s="152"/>
      <c r="Y406" s="152"/>
      <c r="Z406" s="152"/>
      <c r="AA406" s="152"/>
      <c r="AB406" s="152"/>
      <c r="AC406" s="152"/>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c r="BS406" s="151"/>
      <c r="BT406" s="151"/>
      <c r="BU406" s="151"/>
      <c r="BV406" s="195"/>
      <c r="BW406" s="195"/>
    </row>
    <row r="407" spans="1:75" x14ac:dyDescent="0.2">
      <c r="A407" s="151"/>
      <c r="B407" s="151"/>
      <c r="C407" s="151"/>
      <c r="D407" s="151"/>
      <c r="E407" s="153"/>
      <c r="F407" s="151"/>
      <c r="G407" s="151"/>
      <c r="H407" s="153"/>
      <c r="I407" s="151"/>
      <c r="J407" s="151"/>
      <c r="K407" s="151"/>
      <c r="L407" s="151"/>
      <c r="M407" s="151"/>
      <c r="N407" s="151"/>
      <c r="O407" s="151"/>
      <c r="P407" s="151"/>
      <c r="Q407" s="151"/>
      <c r="R407" s="151"/>
      <c r="S407" s="151"/>
      <c r="T407" s="151"/>
      <c r="U407" s="151"/>
      <c r="V407" s="151"/>
      <c r="W407" s="151"/>
      <c r="X407" s="152"/>
      <c r="Y407" s="152"/>
      <c r="Z407" s="152"/>
      <c r="AA407" s="152"/>
      <c r="AB407" s="152"/>
      <c r="AC407" s="170"/>
      <c r="AD407" s="151"/>
      <c r="AE407" s="151"/>
      <c r="AF407" s="151"/>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c r="BS407" s="151"/>
      <c r="BT407" s="151"/>
      <c r="BU407" s="151"/>
      <c r="BV407" s="195"/>
      <c r="BW407" s="195"/>
    </row>
    <row r="408" spans="1:75" x14ac:dyDescent="0.2">
      <c r="A408" s="151"/>
      <c r="B408" s="151"/>
      <c r="C408" s="151"/>
      <c r="D408" s="151"/>
      <c r="E408" s="153"/>
      <c r="F408" s="151"/>
      <c r="G408" s="151"/>
      <c r="H408" s="153"/>
      <c r="I408" s="151"/>
      <c r="J408" s="151"/>
      <c r="K408" s="151"/>
      <c r="L408" s="151"/>
      <c r="M408" s="151"/>
      <c r="N408" s="151"/>
      <c r="O408" s="151"/>
      <c r="P408" s="151"/>
      <c r="Q408" s="151"/>
      <c r="R408" s="151"/>
      <c r="S408" s="151"/>
      <c r="T408" s="151"/>
      <c r="U408" s="151"/>
      <c r="V408" s="151"/>
      <c r="W408" s="151"/>
      <c r="X408" s="152"/>
      <c r="Y408" s="152"/>
      <c r="Z408" s="152"/>
      <c r="AA408" s="152"/>
      <c r="AB408" s="152"/>
      <c r="AC408" s="152"/>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151"/>
      <c r="BN408" s="151"/>
      <c r="BO408" s="151"/>
      <c r="BP408" s="151"/>
      <c r="BQ408" s="151"/>
      <c r="BR408" s="151"/>
      <c r="BS408" s="151"/>
      <c r="BT408" s="151"/>
      <c r="BU408" s="151"/>
      <c r="BV408" s="195"/>
      <c r="BW408" s="195"/>
    </row>
    <row r="409" spans="1:75" x14ac:dyDescent="0.2">
      <c r="A409" s="151"/>
      <c r="B409" s="151"/>
      <c r="C409" s="151"/>
      <c r="D409" s="151"/>
      <c r="E409" s="153"/>
      <c r="F409" s="151"/>
      <c r="G409" s="151"/>
      <c r="H409" s="153"/>
      <c r="I409" s="151"/>
      <c r="J409" s="151"/>
      <c r="K409" s="151"/>
      <c r="L409" s="151"/>
      <c r="M409" s="151"/>
      <c r="N409" s="151"/>
      <c r="O409" s="151"/>
      <c r="P409" s="151"/>
      <c r="Q409" s="151"/>
      <c r="R409" s="151"/>
      <c r="S409" s="151"/>
      <c r="T409" s="151"/>
      <c r="U409" s="151"/>
      <c r="V409" s="151"/>
      <c r="W409" s="151"/>
      <c r="X409" s="152"/>
      <c r="Y409" s="152"/>
      <c r="Z409" s="152"/>
      <c r="AA409" s="152"/>
      <c r="AB409" s="152"/>
      <c r="AC409" s="152"/>
      <c r="AD409" s="155"/>
      <c r="AE409" s="151"/>
      <c r="AF409" s="151"/>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151"/>
      <c r="BN409" s="151"/>
      <c r="BO409" s="151"/>
      <c r="BP409" s="151"/>
      <c r="BQ409" s="151"/>
      <c r="BR409" s="151"/>
      <c r="BS409" s="151"/>
      <c r="BT409" s="151"/>
      <c r="BU409" s="151"/>
      <c r="BV409" s="195"/>
      <c r="BW409" s="195"/>
    </row>
    <row r="410" spans="1:75" x14ac:dyDescent="0.2">
      <c r="A410" s="151"/>
      <c r="B410" s="151"/>
      <c r="C410" s="151"/>
      <c r="D410" s="151"/>
      <c r="E410" s="153"/>
      <c r="F410" s="151"/>
      <c r="G410" s="151"/>
      <c r="H410" s="153"/>
      <c r="I410" s="151"/>
      <c r="J410" s="151"/>
      <c r="K410" s="151"/>
      <c r="L410" s="151"/>
      <c r="M410" s="151"/>
      <c r="N410" s="151"/>
      <c r="O410" s="151"/>
      <c r="P410" s="151"/>
      <c r="Q410" s="151"/>
      <c r="R410" s="151"/>
      <c r="S410" s="151"/>
      <c r="T410" s="151"/>
      <c r="U410" s="151"/>
      <c r="V410" s="151"/>
      <c r="W410" s="151"/>
      <c r="X410" s="152"/>
      <c r="Y410" s="152"/>
      <c r="Z410" s="152"/>
      <c r="AA410" s="152"/>
      <c r="AB410" s="152"/>
      <c r="AC410" s="152"/>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151"/>
      <c r="BN410" s="151"/>
      <c r="BO410" s="151"/>
      <c r="BP410" s="151"/>
      <c r="BQ410" s="151"/>
      <c r="BR410" s="151"/>
      <c r="BS410" s="151"/>
      <c r="BT410" s="151"/>
      <c r="BU410" s="151"/>
      <c r="BV410" s="195"/>
      <c r="BW410" s="195"/>
    </row>
    <row r="411" spans="1:75" x14ac:dyDescent="0.2">
      <c r="A411" s="151"/>
      <c r="B411" s="151"/>
      <c r="C411" s="151"/>
      <c r="D411" s="151"/>
      <c r="E411" s="153"/>
      <c r="F411" s="151"/>
      <c r="G411" s="151"/>
      <c r="H411" s="153"/>
      <c r="I411" s="151"/>
      <c r="J411" s="151"/>
      <c r="K411" s="151"/>
      <c r="L411" s="151"/>
      <c r="M411" s="151"/>
      <c r="N411" s="151"/>
      <c r="O411" s="151"/>
      <c r="P411" s="151"/>
      <c r="Q411" s="151"/>
      <c r="R411" s="151"/>
      <c r="S411" s="151"/>
      <c r="T411" s="151"/>
      <c r="U411" s="151"/>
      <c r="V411" s="151"/>
      <c r="W411" s="151"/>
      <c r="X411" s="152"/>
      <c r="Y411" s="152"/>
      <c r="Z411" s="152"/>
      <c r="AA411" s="152"/>
      <c r="AB411" s="152"/>
      <c r="AC411" s="17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151"/>
      <c r="BN411" s="151"/>
      <c r="BO411" s="151"/>
      <c r="BP411" s="151"/>
      <c r="BQ411" s="151"/>
      <c r="BR411" s="151"/>
      <c r="BS411" s="151"/>
      <c r="BT411" s="151"/>
      <c r="BU411" s="151"/>
      <c r="BV411" s="195"/>
      <c r="BW411" s="195"/>
    </row>
    <row r="412" spans="1:75" x14ac:dyDescent="0.2">
      <c r="A412" s="151"/>
      <c r="B412" s="151"/>
      <c r="C412" s="151"/>
      <c r="D412" s="151"/>
      <c r="E412" s="153"/>
      <c r="F412" s="151"/>
      <c r="G412" s="151"/>
      <c r="H412" s="153"/>
      <c r="I412" s="151"/>
      <c r="J412" s="151"/>
      <c r="K412" s="151"/>
      <c r="L412" s="151"/>
      <c r="M412" s="151"/>
      <c r="N412" s="151"/>
      <c r="O412" s="151"/>
      <c r="P412" s="151"/>
      <c r="Q412" s="151"/>
      <c r="R412" s="151"/>
      <c r="S412" s="151"/>
      <c r="T412" s="151"/>
      <c r="U412" s="151"/>
      <c r="V412" s="151"/>
      <c r="W412" s="151"/>
      <c r="X412" s="152"/>
      <c r="Y412" s="152"/>
      <c r="Z412" s="152"/>
      <c r="AA412" s="152"/>
      <c r="AB412" s="152"/>
      <c r="AC412" s="152"/>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151"/>
      <c r="BN412" s="151"/>
      <c r="BO412" s="151"/>
      <c r="BP412" s="151"/>
      <c r="BQ412" s="151"/>
      <c r="BR412" s="151"/>
      <c r="BS412" s="151"/>
      <c r="BT412" s="151"/>
      <c r="BU412" s="151"/>
      <c r="BV412" s="195"/>
      <c r="BW412" s="195"/>
    </row>
    <row r="413" spans="1:75" x14ac:dyDescent="0.2">
      <c r="A413" s="151"/>
      <c r="B413" s="151"/>
      <c r="C413" s="151"/>
      <c r="D413" s="151"/>
      <c r="E413" s="153"/>
      <c r="F413" s="151"/>
      <c r="G413" s="151"/>
      <c r="H413" s="153"/>
      <c r="I413" s="151"/>
      <c r="J413" s="151"/>
      <c r="K413" s="151"/>
      <c r="L413" s="151"/>
      <c r="M413" s="151"/>
      <c r="N413" s="151"/>
      <c r="O413" s="151"/>
      <c r="P413" s="151"/>
      <c r="Q413" s="151"/>
      <c r="R413" s="151"/>
      <c r="S413" s="151"/>
      <c r="T413" s="151"/>
      <c r="U413" s="151"/>
      <c r="V413" s="151"/>
      <c r="W413" s="151"/>
      <c r="X413" s="152"/>
      <c r="Y413" s="152"/>
      <c r="Z413" s="152"/>
      <c r="AA413" s="152"/>
      <c r="AB413" s="152"/>
      <c r="AC413" s="152"/>
      <c r="AD413" s="151"/>
      <c r="AE413" s="151"/>
      <c r="AF413" s="151"/>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151"/>
      <c r="BN413" s="151"/>
      <c r="BO413" s="151"/>
      <c r="BP413" s="151"/>
      <c r="BQ413" s="151"/>
      <c r="BR413" s="151"/>
      <c r="BS413" s="151"/>
      <c r="BT413" s="151"/>
      <c r="BU413" s="151"/>
      <c r="BV413" s="195"/>
      <c r="BW413" s="195"/>
    </row>
    <row r="414" spans="1:75" x14ac:dyDescent="0.2">
      <c r="A414" s="151"/>
      <c r="B414" s="151"/>
      <c r="C414" s="151"/>
      <c r="D414" s="151"/>
      <c r="E414" s="153"/>
      <c r="F414" s="151"/>
      <c r="G414" s="151"/>
      <c r="H414" s="153"/>
      <c r="I414" s="151"/>
      <c r="J414" s="151"/>
      <c r="K414" s="151"/>
      <c r="L414" s="151"/>
      <c r="M414" s="151"/>
      <c r="N414" s="151"/>
      <c r="O414" s="151"/>
      <c r="P414" s="151"/>
      <c r="Q414" s="151"/>
      <c r="R414" s="151"/>
      <c r="S414" s="151"/>
      <c r="T414" s="151"/>
      <c r="U414" s="151"/>
      <c r="V414" s="151"/>
      <c r="W414" s="151"/>
      <c r="X414" s="152"/>
      <c r="Y414" s="152"/>
      <c r="Z414" s="152"/>
      <c r="AA414" s="152"/>
      <c r="AB414" s="152"/>
      <c r="AC414" s="152"/>
      <c r="AD414" s="151"/>
      <c r="AE414" s="151"/>
      <c r="AF414" s="151"/>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151"/>
      <c r="BN414" s="151"/>
      <c r="BO414" s="151"/>
      <c r="BP414" s="151"/>
      <c r="BQ414" s="151"/>
      <c r="BR414" s="151"/>
      <c r="BS414" s="151"/>
      <c r="BT414" s="151"/>
      <c r="BU414" s="151"/>
      <c r="BV414" s="195"/>
      <c r="BW414" s="195"/>
    </row>
    <row r="415" spans="1:75" x14ac:dyDescent="0.2">
      <c r="A415" s="151"/>
      <c r="B415" s="151"/>
      <c r="C415" s="151"/>
      <c r="D415" s="151"/>
      <c r="E415" s="153"/>
      <c r="F415" s="151"/>
      <c r="G415" s="151"/>
      <c r="H415" s="153"/>
      <c r="I415" s="151"/>
      <c r="J415" s="151"/>
      <c r="K415" s="151"/>
      <c r="L415" s="151"/>
      <c r="M415" s="151"/>
      <c r="N415" s="151"/>
      <c r="O415" s="151"/>
      <c r="P415" s="151"/>
      <c r="Q415" s="151"/>
      <c r="R415" s="151"/>
      <c r="S415" s="151"/>
      <c r="T415" s="151"/>
      <c r="U415" s="151"/>
      <c r="V415" s="151"/>
      <c r="W415" s="151"/>
      <c r="X415" s="152"/>
      <c r="Y415" s="152"/>
      <c r="Z415" s="152"/>
      <c r="AA415" s="152"/>
      <c r="AB415" s="152"/>
      <c r="AC415" s="152"/>
      <c r="AD415" s="151"/>
      <c r="AE415" s="151"/>
      <c r="AF415" s="151"/>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151"/>
      <c r="BN415" s="151"/>
      <c r="BO415" s="151"/>
      <c r="BP415" s="151"/>
      <c r="BQ415" s="151"/>
      <c r="BR415" s="151"/>
      <c r="BS415" s="151"/>
      <c r="BT415" s="151"/>
      <c r="BU415" s="151"/>
      <c r="BV415" s="195"/>
      <c r="BW415" s="195"/>
    </row>
    <row r="416" spans="1:75" x14ac:dyDescent="0.2">
      <c r="A416" s="151"/>
      <c r="B416" s="151"/>
      <c r="C416" s="151"/>
      <c r="D416" s="151"/>
      <c r="E416" s="153"/>
      <c r="F416" s="151"/>
      <c r="G416" s="151"/>
      <c r="H416" s="153"/>
      <c r="I416" s="151"/>
      <c r="J416" s="151"/>
      <c r="K416" s="151"/>
      <c r="L416" s="151"/>
      <c r="M416" s="151"/>
      <c r="N416" s="151"/>
      <c r="O416" s="151"/>
      <c r="P416" s="151"/>
      <c r="Q416" s="151"/>
      <c r="R416" s="151"/>
      <c r="S416" s="151"/>
      <c r="T416" s="151"/>
      <c r="U416" s="151"/>
      <c r="V416" s="151"/>
      <c r="W416" s="151"/>
      <c r="X416" s="152"/>
      <c r="Y416" s="152"/>
      <c r="Z416" s="152"/>
      <c r="AA416" s="152"/>
      <c r="AB416" s="152"/>
      <c r="AC416" s="152"/>
      <c r="AD416" s="151"/>
      <c r="AE416" s="151"/>
      <c r="AF416" s="151"/>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151"/>
      <c r="BN416" s="151"/>
      <c r="BO416" s="151"/>
      <c r="BP416" s="151"/>
      <c r="BQ416" s="151"/>
      <c r="BR416" s="151"/>
      <c r="BS416" s="151"/>
      <c r="BT416" s="151"/>
      <c r="BU416" s="151"/>
      <c r="BV416" s="195"/>
      <c r="BW416" s="195"/>
    </row>
    <row r="417" spans="1:75" x14ac:dyDescent="0.2">
      <c r="A417" s="151"/>
      <c r="B417" s="151"/>
      <c r="C417" s="151"/>
      <c r="D417" s="151"/>
      <c r="E417" s="153"/>
      <c r="F417" s="151"/>
      <c r="G417" s="151"/>
      <c r="H417" s="153"/>
      <c r="I417" s="151"/>
      <c r="J417" s="151"/>
      <c r="K417" s="151"/>
      <c r="L417" s="151"/>
      <c r="M417" s="151"/>
      <c r="N417" s="151"/>
      <c r="O417" s="151"/>
      <c r="P417" s="151"/>
      <c r="Q417" s="151"/>
      <c r="R417" s="151"/>
      <c r="S417" s="151"/>
      <c r="T417" s="151"/>
      <c r="U417" s="151"/>
      <c r="V417" s="151"/>
      <c r="W417" s="151"/>
      <c r="X417" s="152"/>
      <c r="Y417" s="152"/>
      <c r="Z417" s="152"/>
      <c r="AA417" s="152"/>
      <c r="AB417" s="152"/>
      <c r="AC417" s="152"/>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151"/>
      <c r="BN417" s="151"/>
      <c r="BO417" s="151"/>
      <c r="BP417" s="151"/>
      <c r="BQ417" s="151"/>
      <c r="BR417" s="151"/>
      <c r="BS417" s="151"/>
      <c r="BT417" s="151"/>
      <c r="BU417" s="151"/>
      <c r="BV417" s="195"/>
      <c r="BW417" s="195"/>
    </row>
    <row r="418" spans="1:75" x14ac:dyDescent="0.2">
      <c r="A418" s="151"/>
      <c r="B418" s="151"/>
      <c r="C418" s="151"/>
      <c r="D418" s="151"/>
      <c r="E418" s="153"/>
      <c r="F418" s="151"/>
      <c r="G418" s="151"/>
      <c r="H418" s="153"/>
      <c r="I418" s="151"/>
      <c r="J418" s="151"/>
      <c r="K418" s="151"/>
      <c r="L418" s="151"/>
      <c r="M418" s="151"/>
      <c r="N418" s="151"/>
      <c r="O418" s="151"/>
      <c r="P418" s="151"/>
      <c r="Q418" s="151"/>
      <c r="R418" s="151"/>
      <c r="S418" s="151"/>
      <c r="T418" s="151"/>
      <c r="U418" s="151"/>
      <c r="V418" s="151"/>
      <c r="W418" s="151"/>
      <c r="X418" s="152"/>
      <c r="Y418" s="152"/>
      <c r="Z418" s="152"/>
      <c r="AA418" s="152"/>
      <c r="AB418" s="152"/>
      <c r="AC418" s="152"/>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151"/>
      <c r="BN418" s="151"/>
      <c r="BO418" s="151"/>
      <c r="BP418" s="151"/>
      <c r="BQ418" s="151"/>
      <c r="BR418" s="151"/>
      <c r="BS418" s="151"/>
      <c r="BT418" s="151"/>
      <c r="BU418" s="151"/>
      <c r="BV418" s="195"/>
      <c r="BW418" s="195"/>
    </row>
    <row r="419" spans="1:75" x14ac:dyDescent="0.2">
      <c r="A419" s="151"/>
      <c r="B419" s="151"/>
      <c r="C419" s="151"/>
      <c r="D419" s="151"/>
      <c r="E419" s="153"/>
      <c r="F419" s="151"/>
      <c r="G419" s="151"/>
      <c r="H419" s="153"/>
      <c r="I419" s="151"/>
      <c r="J419" s="151"/>
      <c r="K419" s="151"/>
      <c r="L419" s="151"/>
      <c r="M419" s="151"/>
      <c r="N419" s="151"/>
      <c r="O419" s="151"/>
      <c r="P419" s="151"/>
      <c r="Q419" s="151"/>
      <c r="R419" s="151"/>
      <c r="S419" s="151"/>
      <c r="T419" s="151"/>
      <c r="U419" s="151"/>
      <c r="V419" s="151"/>
      <c r="W419" s="151"/>
      <c r="X419" s="152"/>
      <c r="Y419" s="152"/>
      <c r="Z419" s="152"/>
      <c r="AA419" s="152"/>
      <c r="AB419" s="152"/>
      <c r="AC419" s="152"/>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151"/>
      <c r="BN419" s="151"/>
      <c r="BO419" s="151"/>
      <c r="BP419" s="151"/>
      <c r="BQ419" s="151"/>
      <c r="BR419" s="151"/>
      <c r="BS419" s="151"/>
      <c r="BT419" s="151"/>
      <c r="BU419" s="151"/>
      <c r="BV419" s="195"/>
      <c r="BW419" s="195"/>
    </row>
    <row r="420" spans="1:75" x14ac:dyDescent="0.2">
      <c r="A420" s="151"/>
      <c r="B420" s="151"/>
      <c r="C420" s="151"/>
      <c r="D420" s="151"/>
      <c r="E420" s="153"/>
      <c r="F420" s="151"/>
      <c r="G420" s="151"/>
      <c r="H420" s="153"/>
      <c r="I420" s="151"/>
      <c r="J420" s="151"/>
      <c r="K420" s="151"/>
      <c r="L420" s="151"/>
      <c r="M420" s="151"/>
      <c r="N420" s="151"/>
      <c r="O420" s="151"/>
      <c r="P420" s="151"/>
      <c r="Q420" s="151"/>
      <c r="R420" s="151"/>
      <c r="S420" s="151"/>
      <c r="T420" s="151"/>
      <c r="U420" s="151"/>
      <c r="V420" s="151"/>
      <c r="W420" s="151"/>
      <c r="X420" s="152"/>
      <c r="Y420" s="152"/>
      <c r="Z420" s="152"/>
      <c r="AA420" s="152"/>
      <c r="AB420" s="152"/>
      <c r="AC420" s="152"/>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151"/>
      <c r="BN420" s="151"/>
      <c r="BO420" s="151"/>
      <c r="BP420" s="151"/>
      <c r="BQ420" s="151"/>
      <c r="BR420" s="151"/>
      <c r="BS420" s="151"/>
      <c r="BT420" s="151"/>
      <c r="BU420" s="151"/>
      <c r="BV420" s="195"/>
      <c r="BW420" s="195"/>
    </row>
    <row r="421" spans="1:75" x14ac:dyDescent="0.2">
      <c r="A421" s="151"/>
      <c r="B421" s="151"/>
      <c r="C421" s="151"/>
      <c r="D421" s="151"/>
      <c r="E421" s="153"/>
      <c r="F421" s="151"/>
      <c r="G421" s="151"/>
      <c r="H421" s="153"/>
      <c r="I421" s="151"/>
      <c r="J421" s="151"/>
      <c r="K421" s="151"/>
      <c r="L421" s="151"/>
      <c r="M421" s="151"/>
      <c r="N421" s="151"/>
      <c r="O421" s="151"/>
      <c r="P421" s="151"/>
      <c r="Q421" s="151"/>
      <c r="R421" s="151"/>
      <c r="S421" s="151"/>
      <c r="T421" s="151"/>
      <c r="U421" s="151"/>
      <c r="V421" s="151"/>
      <c r="W421" s="151"/>
      <c r="X421" s="152"/>
      <c r="Y421" s="152"/>
      <c r="Z421" s="152"/>
      <c r="AA421" s="152"/>
      <c r="AB421" s="152"/>
      <c r="AC421" s="152"/>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151"/>
      <c r="BN421" s="151"/>
      <c r="BO421" s="151"/>
      <c r="BP421" s="151"/>
      <c r="BQ421" s="151"/>
      <c r="BR421" s="151"/>
      <c r="BS421" s="151"/>
      <c r="BT421" s="151"/>
      <c r="BU421" s="151"/>
      <c r="BV421" s="195"/>
      <c r="BW421" s="195"/>
    </row>
    <row r="422" spans="1:75" x14ac:dyDescent="0.2">
      <c r="A422" s="151"/>
      <c r="B422" s="151"/>
      <c r="C422" s="151"/>
      <c r="D422" s="151"/>
      <c r="E422" s="153"/>
      <c r="F422" s="151"/>
      <c r="G422" s="151"/>
      <c r="H422" s="153"/>
      <c r="I422" s="151"/>
      <c r="J422" s="151"/>
      <c r="K422" s="151"/>
      <c r="L422" s="151"/>
      <c r="M422" s="151"/>
      <c r="N422" s="151"/>
      <c r="O422" s="151"/>
      <c r="P422" s="151"/>
      <c r="Q422" s="151"/>
      <c r="R422" s="151"/>
      <c r="S422" s="151"/>
      <c r="T422" s="151"/>
      <c r="U422" s="151"/>
      <c r="V422" s="151"/>
      <c r="W422" s="151"/>
      <c r="X422" s="152"/>
      <c r="Y422" s="152"/>
      <c r="Z422" s="152"/>
      <c r="AA422" s="152"/>
      <c r="AB422" s="152"/>
      <c r="AC422" s="152"/>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c r="BS422" s="151"/>
      <c r="BT422" s="151"/>
      <c r="BU422" s="151"/>
      <c r="BV422" s="195"/>
      <c r="BW422" s="195"/>
    </row>
    <row r="423" spans="1:75" x14ac:dyDescent="0.2">
      <c r="A423" s="151"/>
      <c r="B423" s="151"/>
      <c r="C423" s="151"/>
      <c r="D423" s="151"/>
      <c r="E423" s="153"/>
      <c r="F423" s="151"/>
      <c r="G423" s="151"/>
      <c r="H423" s="153"/>
      <c r="I423" s="151"/>
      <c r="J423" s="151"/>
      <c r="K423" s="151"/>
      <c r="L423" s="151"/>
      <c r="M423" s="151"/>
      <c r="N423" s="151"/>
      <c r="O423" s="151"/>
      <c r="P423" s="151"/>
      <c r="Q423" s="151"/>
      <c r="R423" s="151"/>
      <c r="S423" s="151"/>
      <c r="T423" s="151"/>
      <c r="U423" s="151"/>
      <c r="V423" s="151"/>
      <c r="W423" s="151"/>
      <c r="X423" s="152"/>
      <c r="Y423" s="152"/>
      <c r="Z423" s="152"/>
      <c r="AA423" s="152"/>
      <c r="AB423" s="152"/>
      <c r="AC423" s="152"/>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151"/>
      <c r="BN423" s="151"/>
      <c r="BO423" s="151"/>
      <c r="BP423" s="151"/>
      <c r="BQ423" s="151"/>
      <c r="BR423" s="151"/>
      <c r="BS423" s="151"/>
      <c r="BT423" s="151"/>
      <c r="BU423" s="151"/>
      <c r="BV423" s="195"/>
      <c r="BW423" s="195"/>
    </row>
    <row r="424" spans="1:75" x14ac:dyDescent="0.2">
      <c r="A424" s="151"/>
      <c r="B424" s="151"/>
      <c r="C424" s="151"/>
      <c r="D424" s="151"/>
      <c r="E424" s="153"/>
      <c r="F424" s="151"/>
      <c r="G424" s="151"/>
      <c r="H424" s="153"/>
      <c r="I424" s="151"/>
      <c r="J424" s="151"/>
      <c r="K424" s="151"/>
      <c r="L424" s="151"/>
      <c r="M424" s="151"/>
      <c r="N424" s="151"/>
      <c r="O424" s="151"/>
      <c r="P424" s="151"/>
      <c r="Q424" s="151"/>
      <c r="R424" s="151"/>
      <c r="S424" s="151"/>
      <c r="T424" s="151"/>
      <c r="U424" s="151"/>
      <c r="V424" s="151"/>
      <c r="W424" s="151"/>
      <c r="X424" s="152"/>
      <c r="Y424" s="152"/>
      <c r="Z424" s="152"/>
      <c r="AA424" s="152"/>
      <c r="AB424" s="152"/>
      <c r="AC424" s="152"/>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151"/>
      <c r="BN424" s="151"/>
      <c r="BO424" s="151"/>
      <c r="BP424" s="151"/>
      <c r="BQ424" s="151"/>
      <c r="BR424" s="151"/>
      <c r="BS424" s="151"/>
      <c r="BT424" s="151"/>
      <c r="BU424" s="151"/>
      <c r="BV424" s="195"/>
      <c r="BW424" s="195"/>
    </row>
    <row r="425" spans="1:75" x14ac:dyDescent="0.2">
      <c r="A425" s="151"/>
      <c r="B425" s="151"/>
      <c r="C425" s="151"/>
      <c r="D425" s="151"/>
      <c r="E425" s="153"/>
      <c r="F425" s="151"/>
      <c r="G425" s="151"/>
      <c r="H425" s="153"/>
      <c r="I425" s="151"/>
      <c r="J425" s="151"/>
      <c r="K425" s="151"/>
      <c r="L425" s="151"/>
      <c r="M425" s="151"/>
      <c r="N425" s="151"/>
      <c r="O425" s="151"/>
      <c r="P425" s="151"/>
      <c r="Q425" s="151"/>
      <c r="R425" s="151"/>
      <c r="S425" s="151"/>
      <c r="T425" s="151"/>
      <c r="U425" s="151"/>
      <c r="V425" s="151"/>
      <c r="W425" s="151"/>
      <c r="X425" s="152"/>
      <c r="Y425" s="152"/>
      <c r="Z425" s="152"/>
      <c r="AA425" s="152"/>
      <c r="AB425" s="152"/>
      <c r="AC425" s="152"/>
      <c r="AD425" s="151"/>
      <c r="AE425" s="151"/>
      <c r="AF425" s="151"/>
      <c r="AG425" s="151"/>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151"/>
      <c r="BN425" s="151"/>
      <c r="BO425" s="151"/>
      <c r="BP425" s="151"/>
      <c r="BQ425" s="151"/>
      <c r="BR425" s="151"/>
      <c r="BS425" s="151"/>
      <c r="BT425" s="151"/>
      <c r="BU425" s="151"/>
      <c r="BV425" s="195"/>
      <c r="BW425" s="195"/>
    </row>
    <row r="426" spans="1:75" x14ac:dyDescent="0.2">
      <c r="A426" s="151"/>
      <c r="B426" s="151"/>
      <c r="C426" s="151"/>
      <c r="D426" s="151"/>
      <c r="E426" s="153"/>
      <c r="F426" s="151"/>
      <c r="G426" s="151"/>
      <c r="H426" s="153"/>
      <c r="I426" s="151"/>
      <c r="J426" s="151"/>
      <c r="K426" s="151"/>
      <c r="L426" s="151"/>
      <c r="M426" s="151"/>
      <c r="N426" s="151"/>
      <c r="O426" s="151"/>
      <c r="P426" s="151"/>
      <c r="Q426" s="151"/>
      <c r="R426" s="151"/>
      <c r="S426" s="151"/>
      <c r="T426" s="151"/>
      <c r="U426" s="151"/>
      <c r="V426" s="151"/>
      <c r="W426" s="151"/>
      <c r="X426" s="152"/>
      <c r="Y426" s="152"/>
      <c r="Z426" s="152"/>
      <c r="AA426" s="152"/>
      <c r="AB426" s="152"/>
      <c r="AC426" s="152"/>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151"/>
      <c r="BN426" s="151"/>
      <c r="BO426" s="151"/>
      <c r="BP426" s="151"/>
      <c r="BQ426" s="151"/>
      <c r="BR426" s="151"/>
      <c r="BS426" s="151"/>
      <c r="BT426" s="151"/>
      <c r="BU426" s="151"/>
      <c r="BV426" s="195"/>
      <c r="BW426" s="195"/>
    </row>
    <row r="427" spans="1:75" x14ac:dyDescent="0.2">
      <c r="A427" s="151"/>
      <c r="B427" s="151"/>
      <c r="C427" s="151"/>
      <c r="D427" s="151"/>
      <c r="E427" s="153"/>
      <c r="F427" s="151"/>
      <c r="G427" s="151"/>
      <c r="H427" s="153"/>
      <c r="I427" s="151"/>
      <c r="J427" s="151"/>
      <c r="K427" s="151"/>
      <c r="L427" s="151"/>
      <c r="M427" s="151"/>
      <c r="N427" s="151"/>
      <c r="O427" s="151"/>
      <c r="P427" s="151"/>
      <c r="Q427" s="151"/>
      <c r="R427" s="151"/>
      <c r="S427" s="151"/>
      <c r="T427" s="151"/>
      <c r="U427" s="151"/>
      <c r="V427" s="151"/>
      <c r="W427" s="151"/>
      <c r="X427" s="152"/>
      <c r="Y427" s="152"/>
      <c r="Z427" s="152"/>
      <c r="AA427" s="152"/>
      <c r="AB427" s="152"/>
      <c r="AC427" s="152"/>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c r="BR427" s="151"/>
      <c r="BS427" s="151"/>
      <c r="BT427" s="151"/>
      <c r="BU427" s="151"/>
      <c r="BV427" s="195"/>
      <c r="BW427" s="195"/>
    </row>
    <row r="428" spans="1:75" x14ac:dyDescent="0.2">
      <c r="A428" s="151"/>
      <c r="B428" s="151"/>
      <c r="C428" s="151"/>
      <c r="D428" s="151"/>
      <c r="E428" s="153"/>
      <c r="F428" s="151"/>
      <c r="G428" s="151"/>
      <c r="H428" s="153"/>
      <c r="I428" s="151"/>
      <c r="J428" s="151"/>
      <c r="K428" s="151"/>
      <c r="L428" s="151"/>
      <c r="M428" s="151"/>
      <c r="N428" s="151"/>
      <c r="O428" s="151"/>
      <c r="P428" s="151"/>
      <c r="Q428" s="151"/>
      <c r="R428" s="151"/>
      <c r="S428" s="151"/>
      <c r="T428" s="151"/>
      <c r="U428" s="151"/>
      <c r="V428" s="151"/>
      <c r="W428" s="151"/>
      <c r="X428" s="152"/>
      <c r="Y428" s="152"/>
      <c r="Z428" s="152"/>
      <c r="AA428" s="152"/>
      <c r="AB428" s="152"/>
      <c r="AC428" s="152"/>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c r="BR428" s="151"/>
      <c r="BS428" s="151"/>
      <c r="BT428" s="151"/>
      <c r="BU428" s="151"/>
      <c r="BV428" s="195"/>
      <c r="BW428" s="195"/>
    </row>
    <row r="429" spans="1:75" x14ac:dyDescent="0.2">
      <c r="A429" s="151"/>
      <c r="B429" s="151"/>
      <c r="C429" s="151"/>
      <c r="D429" s="151"/>
      <c r="E429" s="153"/>
      <c r="F429" s="151"/>
      <c r="G429" s="151"/>
      <c r="H429" s="153"/>
      <c r="I429" s="151"/>
      <c r="J429" s="151"/>
      <c r="K429" s="151"/>
      <c r="L429" s="151"/>
      <c r="M429" s="151"/>
      <c r="N429" s="151"/>
      <c r="O429" s="151"/>
      <c r="P429" s="151"/>
      <c r="Q429" s="151"/>
      <c r="R429" s="151"/>
      <c r="S429" s="151"/>
      <c r="T429" s="151"/>
      <c r="U429" s="151"/>
      <c r="V429" s="151"/>
      <c r="W429" s="151"/>
      <c r="X429" s="152"/>
      <c r="Y429" s="152"/>
      <c r="Z429" s="152"/>
      <c r="AA429" s="152"/>
      <c r="AB429" s="152"/>
      <c r="AC429" s="152"/>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151"/>
      <c r="BN429" s="151"/>
      <c r="BO429" s="151"/>
      <c r="BP429" s="151"/>
      <c r="BQ429" s="151"/>
      <c r="BR429" s="151"/>
      <c r="BS429" s="151"/>
      <c r="BT429" s="151"/>
      <c r="BU429" s="151"/>
      <c r="BV429" s="195"/>
      <c r="BW429" s="195"/>
    </row>
    <row r="430" spans="1:75" x14ac:dyDescent="0.2">
      <c r="A430" s="151"/>
      <c r="B430" s="151"/>
      <c r="C430" s="151"/>
      <c r="D430" s="151"/>
      <c r="E430" s="153"/>
      <c r="F430" s="151"/>
      <c r="G430" s="151"/>
      <c r="H430" s="153"/>
      <c r="I430" s="151"/>
      <c r="J430" s="151"/>
      <c r="K430" s="151"/>
      <c r="L430" s="151"/>
      <c r="M430" s="151"/>
      <c r="N430" s="151"/>
      <c r="O430" s="151"/>
      <c r="P430" s="151"/>
      <c r="Q430" s="151"/>
      <c r="R430" s="151"/>
      <c r="S430" s="151"/>
      <c r="T430" s="151"/>
      <c r="U430" s="151"/>
      <c r="V430" s="151"/>
      <c r="W430" s="151"/>
      <c r="X430" s="152"/>
      <c r="Y430" s="152"/>
      <c r="Z430" s="152"/>
      <c r="AA430" s="152"/>
      <c r="AB430" s="152"/>
      <c r="AC430" s="152"/>
      <c r="AD430" s="151"/>
      <c r="AE430" s="151"/>
      <c r="AF430" s="151"/>
      <c r="AG430" s="151"/>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151"/>
      <c r="BN430" s="151"/>
      <c r="BO430" s="151"/>
      <c r="BP430" s="151"/>
      <c r="BQ430" s="151"/>
      <c r="BR430" s="151"/>
      <c r="BS430" s="151"/>
      <c r="BT430" s="151"/>
      <c r="BU430" s="151"/>
      <c r="BV430" s="195"/>
      <c r="BW430" s="195"/>
    </row>
    <row r="431" spans="1:75" x14ac:dyDescent="0.2">
      <c r="A431" s="151"/>
      <c r="B431" s="151"/>
      <c r="C431" s="151"/>
      <c r="D431" s="151"/>
      <c r="E431" s="153"/>
      <c r="F431" s="151"/>
      <c r="G431" s="151"/>
      <c r="H431" s="153"/>
      <c r="I431" s="151"/>
      <c r="J431" s="151"/>
      <c r="K431" s="151"/>
      <c r="L431" s="151"/>
      <c r="M431" s="151"/>
      <c r="N431" s="151"/>
      <c r="O431" s="151"/>
      <c r="P431" s="151"/>
      <c r="Q431" s="151"/>
      <c r="R431" s="151"/>
      <c r="S431" s="151"/>
      <c r="T431" s="151"/>
      <c r="U431" s="151"/>
      <c r="V431" s="151"/>
      <c r="W431" s="151"/>
      <c r="X431" s="152"/>
      <c r="Y431" s="152"/>
      <c r="Z431" s="152"/>
      <c r="AA431" s="152"/>
      <c r="AB431" s="152"/>
      <c r="AC431" s="152"/>
      <c r="AD431" s="151"/>
      <c r="AE431" s="151"/>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151"/>
      <c r="BN431" s="151"/>
      <c r="BO431" s="151"/>
      <c r="BP431" s="151"/>
      <c r="BQ431" s="151"/>
      <c r="BR431" s="151"/>
      <c r="BS431" s="151"/>
      <c r="BT431" s="151"/>
      <c r="BU431" s="151"/>
      <c r="BV431" s="195"/>
      <c r="BW431" s="195"/>
    </row>
    <row r="432" spans="1:75" x14ac:dyDescent="0.2">
      <c r="A432" s="151"/>
      <c r="B432" s="151"/>
      <c r="C432" s="151"/>
      <c r="D432" s="151"/>
      <c r="E432" s="153"/>
      <c r="F432" s="151"/>
      <c r="G432" s="151"/>
      <c r="H432" s="153"/>
      <c r="I432" s="151"/>
      <c r="J432" s="151"/>
      <c r="K432" s="151"/>
      <c r="L432" s="151"/>
      <c r="M432" s="151"/>
      <c r="N432" s="151"/>
      <c r="O432" s="151"/>
      <c r="P432" s="151"/>
      <c r="Q432" s="151"/>
      <c r="R432" s="151"/>
      <c r="S432" s="151"/>
      <c r="T432" s="151"/>
      <c r="U432" s="151"/>
      <c r="V432" s="151"/>
      <c r="W432" s="151"/>
      <c r="X432" s="152"/>
      <c r="Y432" s="152"/>
      <c r="Z432" s="152"/>
      <c r="AA432" s="152"/>
      <c r="AB432" s="152"/>
      <c r="AC432" s="152"/>
      <c r="AD432" s="151"/>
      <c r="AE432" s="151"/>
      <c r="AF432" s="151"/>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c r="BR432" s="151"/>
      <c r="BS432" s="151"/>
      <c r="BT432" s="151"/>
      <c r="BU432" s="151"/>
      <c r="BV432" s="195"/>
      <c r="BW432" s="195"/>
    </row>
    <row r="433" spans="1:75" x14ac:dyDescent="0.2">
      <c r="A433" s="151"/>
      <c r="B433" s="151"/>
      <c r="C433" s="151"/>
      <c r="D433" s="151"/>
      <c r="E433" s="153"/>
      <c r="F433" s="151"/>
      <c r="G433" s="151"/>
      <c r="H433" s="153"/>
      <c r="I433" s="151"/>
      <c r="J433" s="151"/>
      <c r="K433" s="151"/>
      <c r="L433" s="151"/>
      <c r="M433" s="151"/>
      <c r="N433" s="151"/>
      <c r="O433" s="151"/>
      <c r="P433" s="151"/>
      <c r="Q433" s="151"/>
      <c r="R433" s="151"/>
      <c r="S433" s="151"/>
      <c r="T433" s="151"/>
      <c r="U433" s="151"/>
      <c r="V433" s="151"/>
      <c r="W433" s="151"/>
      <c r="X433" s="152"/>
      <c r="Y433" s="152"/>
      <c r="Z433" s="152"/>
      <c r="AA433" s="152"/>
      <c r="AB433" s="152"/>
      <c r="AC433" s="152"/>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151"/>
      <c r="BN433" s="151"/>
      <c r="BO433" s="151"/>
      <c r="BP433" s="151"/>
      <c r="BQ433" s="151"/>
      <c r="BR433" s="151"/>
      <c r="BS433" s="151"/>
      <c r="BT433" s="151"/>
      <c r="BU433" s="151"/>
      <c r="BV433" s="195"/>
      <c r="BW433" s="195"/>
    </row>
    <row r="434" spans="1:75" x14ac:dyDescent="0.2">
      <c r="A434" s="151"/>
      <c r="B434" s="151"/>
      <c r="C434" s="151"/>
      <c r="D434" s="151"/>
      <c r="E434" s="153"/>
      <c r="F434" s="151"/>
      <c r="G434" s="151"/>
      <c r="H434" s="153"/>
      <c r="I434" s="151"/>
      <c r="J434" s="151"/>
      <c r="K434" s="151"/>
      <c r="L434" s="151"/>
      <c r="M434" s="151"/>
      <c r="N434" s="151"/>
      <c r="O434" s="151"/>
      <c r="P434" s="151"/>
      <c r="Q434" s="151"/>
      <c r="R434" s="151"/>
      <c r="S434" s="151"/>
      <c r="T434" s="151"/>
      <c r="U434" s="151"/>
      <c r="V434" s="151"/>
      <c r="W434" s="151"/>
      <c r="X434" s="152"/>
      <c r="Y434" s="152"/>
      <c r="Z434" s="152"/>
      <c r="AA434" s="152"/>
      <c r="AB434" s="152"/>
      <c r="AC434" s="152"/>
      <c r="AD434" s="151"/>
      <c r="AE434" s="151"/>
      <c r="AF434" s="151"/>
      <c r="AG434" s="151"/>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c r="BS434" s="151"/>
      <c r="BT434" s="151"/>
      <c r="BU434" s="151"/>
      <c r="BV434" s="195"/>
      <c r="BW434" s="195"/>
    </row>
    <row r="435" spans="1:75" x14ac:dyDescent="0.2">
      <c r="A435" s="151"/>
      <c r="B435" s="151"/>
      <c r="C435" s="151"/>
      <c r="D435" s="151"/>
      <c r="E435" s="153"/>
      <c r="F435" s="151"/>
      <c r="G435" s="151"/>
      <c r="H435" s="153"/>
      <c r="I435" s="151"/>
      <c r="J435" s="151"/>
      <c r="K435" s="151"/>
      <c r="L435" s="151"/>
      <c r="M435" s="151"/>
      <c r="N435" s="151"/>
      <c r="O435" s="151"/>
      <c r="P435" s="151"/>
      <c r="Q435" s="151"/>
      <c r="R435" s="151"/>
      <c r="S435" s="151"/>
      <c r="T435" s="151"/>
      <c r="U435" s="151"/>
      <c r="V435" s="151"/>
      <c r="W435" s="151"/>
      <c r="X435" s="152"/>
      <c r="Y435" s="152"/>
      <c r="Z435" s="152"/>
      <c r="AA435" s="152"/>
      <c r="AB435" s="152"/>
      <c r="AC435" s="152"/>
      <c r="AD435" s="151"/>
      <c r="AE435" s="151"/>
      <c r="AF435" s="151"/>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c r="BS435" s="151"/>
      <c r="BT435" s="151"/>
      <c r="BU435" s="151"/>
      <c r="BV435" s="195"/>
      <c r="BW435" s="195"/>
    </row>
    <row r="436" spans="1:75" x14ac:dyDescent="0.2">
      <c r="A436" s="151"/>
      <c r="B436" s="151"/>
      <c r="C436" s="151"/>
      <c r="D436" s="151"/>
      <c r="E436" s="153"/>
      <c r="F436" s="151"/>
      <c r="G436" s="151"/>
      <c r="H436" s="153"/>
      <c r="I436" s="151"/>
      <c r="J436" s="151"/>
      <c r="K436" s="151"/>
      <c r="L436" s="151"/>
      <c r="M436" s="151"/>
      <c r="N436" s="151"/>
      <c r="O436" s="151"/>
      <c r="P436" s="151"/>
      <c r="Q436" s="151"/>
      <c r="R436" s="151"/>
      <c r="S436" s="151"/>
      <c r="T436" s="151"/>
      <c r="U436" s="151"/>
      <c r="V436" s="151"/>
      <c r="W436" s="151"/>
      <c r="X436" s="152"/>
      <c r="Y436" s="152"/>
      <c r="Z436" s="152"/>
      <c r="AA436" s="152"/>
      <c r="AB436" s="152"/>
      <c r="AC436" s="152"/>
      <c r="AD436" s="151"/>
      <c r="AE436" s="151"/>
      <c r="AF436" s="151"/>
      <c r="AG436" s="151"/>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c r="BS436" s="151"/>
      <c r="BT436" s="151"/>
      <c r="BU436" s="151"/>
      <c r="BV436" s="195"/>
      <c r="BW436" s="195"/>
    </row>
    <row r="437" spans="1:75" x14ac:dyDescent="0.2">
      <c r="A437" s="151"/>
      <c r="B437" s="151"/>
      <c r="C437" s="151"/>
      <c r="D437" s="151"/>
      <c r="E437" s="153"/>
      <c r="F437" s="151"/>
      <c r="G437" s="151"/>
      <c r="H437" s="153"/>
      <c r="I437" s="151"/>
      <c r="J437" s="151"/>
      <c r="K437" s="151"/>
      <c r="L437" s="151"/>
      <c r="M437" s="151"/>
      <c r="N437" s="151"/>
      <c r="O437" s="151"/>
      <c r="P437" s="151"/>
      <c r="Q437" s="151"/>
      <c r="R437" s="151"/>
      <c r="S437" s="151"/>
      <c r="T437" s="151"/>
      <c r="U437" s="151"/>
      <c r="V437" s="151"/>
      <c r="W437" s="151"/>
      <c r="X437" s="152"/>
      <c r="Y437" s="152"/>
      <c r="Z437" s="152"/>
      <c r="AA437" s="152"/>
      <c r="AB437" s="152"/>
      <c r="AC437" s="152"/>
      <c r="AD437" s="151"/>
      <c r="AE437" s="151"/>
      <c r="AF437" s="151"/>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c r="BR437" s="151"/>
      <c r="BS437" s="151"/>
      <c r="BT437" s="151"/>
      <c r="BU437" s="151"/>
      <c r="BV437" s="195"/>
      <c r="BW437" s="195"/>
    </row>
    <row r="438" spans="1:75" x14ac:dyDescent="0.2">
      <c r="A438" s="151"/>
      <c r="B438" s="151"/>
      <c r="C438" s="151"/>
      <c r="D438" s="151"/>
      <c r="E438" s="153"/>
      <c r="F438" s="151"/>
      <c r="G438" s="151"/>
      <c r="H438" s="153"/>
      <c r="I438" s="151"/>
      <c r="J438" s="151"/>
      <c r="K438" s="151"/>
      <c r="L438" s="151"/>
      <c r="M438" s="151"/>
      <c r="N438" s="151"/>
      <c r="O438" s="151"/>
      <c r="P438" s="151"/>
      <c r="Q438" s="151"/>
      <c r="R438" s="151"/>
      <c r="S438" s="151"/>
      <c r="T438" s="151"/>
      <c r="U438" s="151"/>
      <c r="V438" s="151"/>
      <c r="W438" s="151"/>
      <c r="X438" s="152"/>
      <c r="Y438" s="152"/>
      <c r="Z438" s="152"/>
      <c r="AA438" s="152"/>
      <c r="AB438" s="152"/>
      <c r="AC438" s="152"/>
      <c r="AD438" s="151"/>
      <c r="AE438" s="151"/>
      <c r="AF438" s="151"/>
      <c r="AG438" s="151"/>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c r="BR438" s="151"/>
      <c r="BS438" s="151"/>
      <c r="BT438" s="151"/>
      <c r="BU438" s="151"/>
      <c r="BV438" s="195"/>
      <c r="BW438" s="195"/>
    </row>
    <row r="439" spans="1:75" x14ac:dyDescent="0.2">
      <c r="A439" s="151"/>
      <c r="B439" s="151"/>
      <c r="C439" s="151"/>
      <c r="D439" s="151"/>
      <c r="E439" s="153"/>
      <c r="F439" s="151"/>
      <c r="G439" s="151"/>
      <c r="H439" s="153"/>
      <c r="I439" s="151"/>
      <c r="J439" s="151"/>
      <c r="K439" s="151"/>
      <c r="L439" s="151"/>
      <c r="M439" s="151"/>
      <c r="N439" s="151"/>
      <c r="O439" s="151"/>
      <c r="P439" s="151"/>
      <c r="Q439" s="151"/>
      <c r="R439" s="151"/>
      <c r="S439" s="151"/>
      <c r="T439" s="151"/>
      <c r="U439" s="151"/>
      <c r="V439" s="151"/>
      <c r="W439" s="151"/>
      <c r="X439" s="152"/>
      <c r="Y439" s="152"/>
      <c r="Z439" s="152"/>
      <c r="AA439" s="152"/>
      <c r="AB439" s="152"/>
      <c r="AC439" s="152"/>
      <c r="AD439" s="151"/>
      <c r="AE439" s="151"/>
      <c r="AF439" s="151"/>
      <c r="AG439" s="151"/>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c r="BR439" s="151"/>
      <c r="BS439" s="151"/>
      <c r="BT439" s="151"/>
      <c r="BU439" s="151"/>
      <c r="BV439" s="195"/>
      <c r="BW439" s="195"/>
    </row>
    <row r="440" spans="1:75" x14ac:dyDescent="0.2">
      <c r="A440" s="151"/>
      <c r="B440" s="151"/>
      <c r="C440" s="151"/>
      <c r="D440" s="151"/>
      <c r="E440" s="153"/>
      <c r="F440" s="151"/>
      <c r="G440" s="151"/>
      <c r="H440" s="153"/>
      <c r="I440" s="151"/>
      <c r="J440" s="151"/>
      <c r="K440" s="151"/>
      <c r="L440" s="151"/>
      <c r="M440" s="151"/>
      <c r="N440" s="151"/>
      <c r="O440" s="151"/>
      <c r="P440" s="151"/>
      <c r="Q440" s="151"/>
      <c r="R440" s="151"/>
      <c r="S440" s="151"/>
      <c r="T440" s="151"/>
      <c r="U440" s="151"/>
      <c r="V440" s="151"/>
      <c r="W440" s="151"/>
      <c r="X440" s="152"/>
      <c r="Y440" s="152"/>
      <c r="Z440" s="152"/>
      <c r="AA440" s="152"/>
      <c r="AB440" s="152"/>
      <c r="AC440" s="152"/>
      <c r="AD440" s="151"/>
      <c r="AE440" s="151"/>
      <c r="AF440" s="151"/>
      <c r="AG440" s="151"/>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151"/>
      <c r="BN440" s="151"/>
      <c r="BO440" s="151"/>
      <c r="BP440" s="151"/>
      <c r="BQ440" s="151"/>
      <c r="BR440" s="151"/>
      <c r="BS440" s="151"/>
      <c r="BT440" s="151"/>
      <c r="BU440" s="151"/>
      <c r="BV440" s="195"/>
      <c r="BW440" s="195"/>
    </row>
    <row r="441" spans="1:75" x14ac:dyDescent="0.2">
      <c r="A441" s="151"/>
      <c r="B441" s="151"/>
      <c r="C441" s="151"/>
      <c r="D441" s="151"/>
      <c r="E441" s="153"/>
      <c r="F441" s="151"/>
      <c r="G441" s="151"/>
      <c r="H441" s="153"/>
      <c r="I441" s="151"/>
      <c r="J441" s="151"/>
      <c r="K441" s="151"/>
      <c r="L441" s="151"/>
      <c r="M441" s="151"/>
      <c r="N441" s="151"/>
      <c r="O441" s="151"/>
      <c r="P441" s="151"/>
      <c r="Q441" s="151"/>
      <c r="R441" s="151"/>
      <c r="S441" s="151"/>
      <c r="T441" s="151"/>
      <c r="U441" s="151"/>
      <c r="V441" s="151"/>
      <c r="W441" s="151"/>
      <c r="X441" s="152"/>
      <c r="Y441" s="152"/>
      <c r="Z441" s="152"/>
      <c r="AA441" s="152"/>
      <c r="AB441" s="152"/>
      <c r="AC441" s="152"/>
      <c r="AD441" s="151"/>
      <c r="AE441" s="151"/>
      <c r="AF441" s="151"/>
      <c r="AG441" s="151"/>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151"/>
      <c r="BN441" s="151"/>
      <c r="BO441" s="151"/>
      <c r="BP441" s="151"/>
      <c r="BQ441" s="151"/>
      <c r="BR441" s="151"/>
      <c r="BS441" s="151"/>
      <c r="BT441" s="151"/>
      <c r="BU441" s="151"/>
      <c r="BV441" s="195"/>
      <c r="BW441" s="195"/>
    </row>
    <row r="442" spans="1:75" x14ac:dyDescent="0.2">
      <c r="A442" s="151"/>
      <c r="B442" s="151"/>
      <c r="C442" s="151"/>
      <c r="D442" s="151"/>
      <c r="E442" s="153"/>
      <c r="F442" s="151"/>
      <c r="G442" s="151"/>
      <c r="H442" s="153"/>
      <c r="I442" s="151"/>
      <c r="J442" s="151"/>
      <c r="K442" s="151"/>
      <c r="L442" s="151"/>
      <c r="M442" s="151"/>
      <c r="N442" s="151"/>
      <c r="O442" s="151"/>
      <c r="P442" s="151"/>
      <c r="Q442" s="151"/>
      <c r="R442" s="151"/>
      <c r="S442" s="151"/>
      <c r="T442" s="151"/>
      <c r="U442" s="151"/>
      <c r="V442" s="151"/>
      <c r="W442" s="151"/>
      <c r="X442" s="152"/>
      <c r="Y442" s="152"/>
      <c r="Z442" s="152"/>
      <c r="AA442" s="152"/>
      <c r="AB442" s="152"/>
      <c r="AC442" s="152"/>
      <c r="AD442" s="151"/>
      <c r="AE442" s="151"/>
      <c r="AF442" s="151"/>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151"/>
      <c r="BU442" s="151"/>
      <c r="BV442" s="195"/>
      <c r="BW442" s="195"/>
    </row>
    <row r="443" spans="1:75" x14ac:dyDescent="0.2">
      <c r="A443" s="151"/>
      <c r="B443" s="151"/>
      <c r="C443" s="151"/>
      <c r="D443" s="151"/>
      <c r="E443" s="153"/>
      <c r="F443" s="151"/>
      <c r="G443" s="151"/>
      <c r="H443" s="153"/>
      <c r="I443" s="151"/>
      <c r="J443" s="151"/>
      <c r="K443" s="151"/>
      <c r="L443" s="151"/>
      <c r="M443" s="151"/>
      <c r="N443" s="151"/>
      <c r="O443" s="151"/>
      <c r="P443" s="151"/>
      <c r="Q443" s="151"/>
      <c r="R443" s="151"/>
      <c r="S443" s="151"/>
      <c r="T443" s="151"/>
      <c r="U443" s="151"/>
      <c r="V443" s="151"/>
      <c r="W443" s="151"/>
      <c r="X443" s="152"/>
      <c r="Y443" s="152"/>
      <c r="Z443" s="152"/>
      <c r="AA443" s="152"/>
      <c r="AB443" s="152"/>
      <c r="AC443" s="152"/>
      <c r="AD443" s="151"/>
      <c r="AE443" s="151"/>
      <c r="AF443" s="151"/>
      <c r="AG443" s="151"/>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c r="BS443" s="151"/>
      <c r="BT443" s="151"/>
      <c r="BU443" s="151"/>
      <c r="BV443" s="195"/>
      <c r="BW443" s="195"/>
    </row>
    <row r="444" spans="1:75" x14ac:dyDescent="0.2">
      <c r="A444" s="151"/>
      <c r="B444" s="151"/>
      <c r="C444" s="151"/>
      <c r="D444" s="151"/>
      <c r="E444" s="153"/>
      <c r="F444" s="151"/>
      <c r="G444" s="151"/>
      <c r="H444" s="153"/>
      <c r="I444" s="151"/>
      <c r="J444" s="151"/>
      <c r="K444" s="151"/>
      <c r="L444" s="151"/>
      <c r="M444" s="151"/>
      <c r="N444" s="151"/>
      <c r="O444" s="151"/>
      <c r="P444" s="151"/>
      <c r="Q444" s="151"/>
      <c r="R444" s="151"/>
      <c r="S444" s="151"/>
      <c r="T444" s="151"/>
      <c r="U444" s="151"/>
      <c r="V444" s="151"/>
      <c r="W444" s="151"/>
      <c r="X444" s="152"/>
      <c r="Y444" s="152"/>
      <c r="Z444" s="152"/>
      <c r="AA444" s="152"/>
      <c r="AB444" s="152"/>
      <c r="AC444" s="152"/>
      <c r="AD444" s="151"/>
      <c r="AE444" s="151"/>
      <c r="AF444" s="151"/>
      <c r="AG444" s="151"/>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c r="BR444" s="151"/>
      <c r="BS444" s="151"/>
      <c r="BT444" s="151"/>
      <c r="BU444" s="151"/>
      <c r="BV444" s="195"/>
      <c r="BW444" s="195"/>
    </row>
    <row r="445" spans="1:75" x14ac:dyDescent="0.2">
      <c r="A445" s="151"/>
      <c r="B445" s="151"/>
      <c r="C445" s="151"/>
      <c r="D445" s="151"/>
      <c r="E445" s="153"/>
      <c r="F445" s="151"/>
      <c r="G445" s="151"/>
      <c r="H445" s="153"/>
      <c r="I445" s="151"/>
      <c r="J445" s="151"/>
      <c r="K445" s="151"/>
      <c r="L445" s="151"/>
      <c r="M445" s="151"/>
      <c r="N445" s="151"/>
      <c r="O445" s="151"/>
      <c r="P445" s="151"/>
      <c r="Q445" s="151"/>
      <c r="R445" s="151"/>
      <c r="S445" s="151"/>
      <c r="T445" s="151"/>
      <c r="U445" s="151"/>
      <c r="V445" s="151"/>
      <c r="W445" s="151"/>
      <c r="X445" s="152"/>
      <c r="Y445" s="152"/>
      <c r="Z445" s="152"/>
      <c r="AA445" s="152"/>
      <c r="AB445" s="152"/>
      <c r="AC445" s="152"/>
      <c r="AD445" s="151"/>
      <c r="AE445" s="151"/>
      <c r="AF445" s="151"/>
      <c r="AG445" s="151"/>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151"/>
      <c r="BU445" s="151"/>
      <c r="BV445" s="195"/>
      <c r="BW445" s="195"/>
    </row>
    <row r="446" spans="1:75" x14ac:dyDescent="0.2">
      <c r="A446" s="151"/>
      <c r="B446" s="151"/>
      <c r="C446" s="151"/>
      <c r="D446" s="151"/>
      <c r="E446" s="153"/>
      <c r="F446" s="151"/>
      <c r="G446" s="151"/>
      <c r="H446" s="153"/>
      <c r="I446" s="151"/>
      <c r="J446" s="151"/>
      <c r="K446" s="151"/>
      <c r="L446" s="151"/>
      <c r="M446" s="151"/>
      <c r="N446" s="151"/>
      <c r="O446" s="151"/>
      <c r="P446" s="151"/>
      <c r="Q446" s="151"/>
      <c r="R446" s="151"/>
      <c r="S446" s="151"/>
      <c r="T446" s="151"/>
      <c r="U446" s="151"/>
      <c r="V446" s="151"/>
      <c r="W446" s="151"/>
      <c r="X446" s="152"/>
      <c r="Y446" s="152"/>
      <c r="Z446" s="152"/>
      <c r="AA446" s="152"/>
      <c r="AB446" s="152"/>
      <c r="AC446" s="152"/>
      <c r="AD446" s="151"/>
      <c r="AE446" s="151"/>
      <c r="AF446" s="151"/>
      <c r="AG446" s="151"/>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151"/>
      <c r="BU446" s="151"/>
      <c r="BV446" s="195"/>
      <c r="BW446" s="195"/>
    </row>
    <row r="447" spans="1:75" x14ac:dyDescent="0.2">
      <c r="A447" s="151"/>
      <c r="B447" s="151"/>
      <c r="C447" s="151"/>
      <c r="D447" s="151"/>
      <c r="E447" s="153"/>
      <c r="F447" s="151"/>
      <c r="G447" s="151"/>
      <c r="H447" s="153"/>
      <c r="I447" s="151"/>
      <c r="J447" s="151"/>
      <c r="K447" s="151"/>
      <c r="L447" s="151"/>
      <c r="M447" s="151"/>
      <c r="N447" s="151"/>
      <c r="O447" s="151"/>
      <c r="P447" s="151"/>
      <c r="Q447" s="151"/>
      <c r="R447" s="151"/>
      <c r="S447" s="151"/>
      <c r="T447" s="151"/>
      <c r="U447" s="151"/>
      <c r="V447" s="151"/>
      <c r="W447" s="151"/>
      <c r="X447" s="152"/>
      <c r="Y447" s="152"/>
      <c r="Z447" s="152"/>
      <c r="AA447" s="152"/>
      <c r="AB447" s="152"/>
      <c r="AC447" s="152"/>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151"/>
      <c r="BU447" s="151"/>
      <c r="BV447" s="195"/>
      <c r="BW447" s="195"/>
    </row>
    <row r="448" spans="1:75" x14ac:dyDescent="0.2">
      <c r="A448" s="151"/>
      <c r="B448" s="151"/>
      <c r="C448" s="151"/>
      <c r="D448" s="151"/>
      <c r="E448" s="153"/>
      <c r="F448" s="151"/>
      <c r="G448" s="151"/>
      <c r="H448" s="153"/>
      <c r="I448" s="151"/>
      <c r="J448" s="151"/>
      <c r="K448" s="151"/>
      <c r="L448" s="151"/>
      <c r="M448" s="151"/>
      <c r="N448" s="151"/>
      <c r="O448" s="151"/>
      <c r="P448" s="151"/>
      <c r="Q448" s="151"/>
      <c r="R448" s="151"/>
      <c r="S448" s="151"/>
      <c r="T448" s="151"/>
      <c r="U448" s="151"/>
      <c r="V448" s="151"/>
      <c r="W448" s="151"/>
      <c r="X448" s="152"/>
      <c r="Y448" s="152"/>
      <c r="Z448" s="152"/>
      <c r="AA448" s="152"/>
      <c r="AB448" s="152"/>
      <c r="AC448" s="152"/>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c r="BR448" s="151"/>
      <c r="BS448" s="151"/>
      <c r="BT448" s="151"/>
      <c r="BU448" s="151"/>
      <c r="BV448" s="195"/>
      <c r="BW448" s="195"/>
    </row>
    <row r="449" spans="1:75" x14ac:dyDescent="0.2">
      <c r="A449" s="151"/>
      <c r="B449" s="151"/>
      <c r="C449" s="151"/>
      <c r="D449" s="151"/>
      <c r="E449" s="153"/>
      <c r="F449" s="151"/>
      <c r="G449" s="151"/>
      <c r="H449" s="153"/>
      <c r="I449" s="151"/>
      <c r="J449" s="151"/>
      <c r="K449" s="151"/>
      <c r="L449" s="151"/>
      <c r="M449" s="151"/>
      <c r="N449" s="151"/>
      <c r="O449" s="151"/>
      <c r="P449" s="151"/>
      <c r="Q449" s="151"/>
      <c r="R449" s="151"/>
      <c r="S449" s="151"/>
      <c r="T449" s="151"/>
      <c r="U449" s="151"/>
      <c r="V449" s="151"/>
      <c r="W449" s="151"/>
      <c r="X449" s="152"/>
      <c r="Y449" s="152"/>
      <c r="Z449" s="152"/>
      <c r="AA449" s="152"/>
      <c r="AB449" s="152"/>
      <c r="AC449" s="152"/>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c r="BS449" s="151"/>
      <c r="BT449" s="151"/>
      <c r="BU449" s="151"/>
      <c r="BV449" s="195"/>
      <c r="BW449" s="195"/>
    </row>
    <row r="450" spans="1:75" x14ac:dyDescent="0.2">
      <c r="O450" s="203"/>
      <c r="AB450" s="152"/>
      <c r="AC450" s="152"/>
      <c r="AD450" s="151"/>
    </row>
    <row r="451" spans="1:75" x14ac:dyDescent="0.2">
      <c r="O451" s="203"/>
      <c r="AB451" s="152"/>
      <c r="AC451" s="152"/>
      <c r="AD451" s="151"/>
    </row>
    <row r="452" spans="1:75" x14ac:dyDescent="0.2">
      <c r="O452" s="203"/>
      <c r="AB452" s="152"/>
      <c r="AC452" s="152"/>
      <c r="AD452" s="151"/>
    </row>
    <row r="453" spans="1:75" x14ac:dyDescent="0.2">
      <c r="O453" s="203"/>
      <c r="AB453" s="152"/>
      <c r="AC453" s="152"/>
      <c r="AD453" s="151"/>
    </row>
    <row r="454" spans="1:75" x14ac:dyDescent="0.2">
      <c r="O454" s="203"/>
      <c r="AB454" s="152"/>
      <c r="AC454" s="152"/>
      <c r="AD454" s="151"/>
    </row>
    <row r="455" spans="1:75" x14ac:dyDescent="0.2">
      <c r="O455" s="203"/>
      <c r="AB455" s="152"/>
      <c r="AC455" s="152"/>
      <c r="AD455" s="151"/>
    </row>
    <row r="456" spans="1:75" x14ac:dyDescent="0.2">
      <c r="O456" s="203"/>
      <c r="AB456" s="152"/>
      <c r="AC456" s="152"/>
      <c r="AD456" s="151"/>
    </row>
    <row r="457" spans="1:75" x14ac:dyDescent="0.2">
      <c r="O457" s="203"/>
      <c r="AB457" s="152"/>
      <c r="AC457" s="152"/>
      <c r="AD457" s="151"/>
    </row>
    <row r="458" spans="1:75" x14ac:dyDescent="0.2">
      <c r="O458" s="203"/>
      <c r="AB458" s="152"/>
      <c r="AC458" s="152"/>
      <c r="AD458" s="151"/>
    </row>
    <row r="459" spans="1:75" x14ac:dyDescent="0.2">
      <c r="O459" s="203"/>
      <c r="AB459" s="152"/>
      <c r="AC459" s="152"/>
      <c r="AD459" s="151"/>
    </row>
    <row r="460" spans="1:75" x14ac:dyDescent="0.2">
      <c r="O460" s="203"/>
      <c r="AB460" s="152"/>
      <c r="AC460" s="152"/>
      <c r="AD460" s="151"/>
    </row>
    <row r="461" spans="1:75" x14ac:dyDescent="0.2">
      <c r="O461" s="203"/>
      <c r="AB461" s="152"/>
      <c r="AC461" s="152"/>
      <c r="AD461" s="151"/>
    </row>
    <row r="462" spans="1:75" x14ac:dyDescent="0.2">
      <c r="O462" s="203"/>
      <c r="AB462" s="152"/>
      <c r="AC462" s="152"/>
      <c r="AD462" s="151"/>
    </row>
    <row r="463" spans="1:75" x14ac:dyDescent="0.2">
      <c r="O463" s="203"/>
      <c r="AB463" s="152"/>
      <c r="AC463" s="152"/>
      <c r="AD463" s="151"/>
    </row>
    <row r="464" spans="1:75" x14ac:dyDescent="0.2">
      <c r="O464" s="203"/>
      <c r="AB464" s="152"/>
      <c r="AC464" s="152"/>
      <c r="AD464" s="151"/>
    </row>
    <row r="465" spans="15:30" x14ac:dyDescent="0.2">
      <c r="O465" s="203"/>
      <c r="AB465" s="152"/>
      <c r="AC465" s="152"/>
      <c r="AD465" s="151"/>
    </row>
    <row r="466" spans="15:30" x14ac:dyDescent="0.2">
      <c r="O466" s="203"/>
    </row>
    <row r="467" spans="15:30" x14ac:dyDescent="0.2">
      <c r="O467" s="203"/>
    </row>
    <row r="468" spans="15:30" x14ac:dyDescent="0.2">
      <c r="O468" s="203"/>
    </row>
    <row r="469" spans="15:30" x14ac:dyDescent="0.2">
      <c r="O469" s="203"/>
    </row>
    <row r="470" spans="15:30" x14ac:dyDescent="0.2">
      <c r="O470" s="203"/>
    </row>
    <row r="471" spans="15:30" x14ac:dyDescent="0.2">
      <c r="O471" s="203"/>
    </row>
    <row r="472" spans="15:30" x14ac:dyDescent="0.2">
      <c r="O472" s="203"/>
    </row>
    <row r="473" spans="15:30" x14ac:dyDescent="0.2">
      <c r="O473" s="203"/>
    </row>
    <row r="474" spans="15:30" x14ac:dyDescent="0.2">
      <c r="O474" s="203"/>
    </row>
    <row r="475" spans="15:30" x14ac:dyDescent="0.2">
      <c r="O475" s="203"/>
    </row>
    <row r="476" spans="15:30" x14ac:dyDescent="0.2">
      <c r="O476" s="203"/>
    </row>
    <row r="477" spans="15:30" x14ac:dyDescent="0.2">
      <c r="O477" s="203"/>
    </row>
    <row r="478" spans="15:30" x14ac:dyDescent="0.2">
      <c r="O478" s="203"/>
    </row>
    <row r="479" spans="15:30" x14ac:dyDescent="0.2">
      <c r="O479" s="203"/>
    </row>
    <row r="480" spans="15:30" x14ac:dyDescent="0.2">
      <c r="O480" s="203"/>
    </row>
    <row r="481" spans="15:15" x14ac:dyDescent="0.2">
      <c r="O481" s="203"/>
    </row>
    <row r="482" spans="15:15" x14ac:dyDescent="0.2">
      <c r="O482" s="203"/>
    </row>
    <row r="483" spans="15:15" x14ac:dyDescent="0.2">
      <c r="O483" s="203"/>
    </row>
    <row r="484" spans="15:15" x14ac:dyDescent="0.2">
      <c r="O484" s="203"/>
    </row>
    <row r="485" spans="15:15" x14ac:dyDescent="0.2">
      <c r="O485" s="203"/>
    </row>
    <row r="486" spans="15:15" x14ac:dyDescent="0.2">
      <c r="O486" s="203"/>
    </row>
    <row r="487" spans="15:15" x14ac:dyDescent="0.2">
      <c r="O487" s="203"/>
    </row>
    <row r="488" spans="15:15" x14ac:dyDescent="0.2">
      <c r="O488" s="205"/>
    </row>
  </sheetData>
  <sheetProtection algorithmName="SHA-512" hashValue="DROiP7vJRAyz4UTeMj4h6iBJC5y/x7r0n9wJSK1co5yKFveDppsnDAwuPxtuzoMAh3pxB/YehqARXUSyWU73oQ==" saltValue="nyrAlxwgTMVZwbPk9WebSw==" spinCount="100000" sheet="1" objects="1" scenarios="1"/>
  <mergeCells count="8">
    <mergeCell ref="A348:AC348"/>
    <mergeCell ref="A1:BU4"/>
    <mergeCell ref="A5:AC5"/>
    <mergeCell ref="BV5:BV6"/>
    <mergeCell ref="AO5:AY5"/>
    <mergeCell ref="AZ5:BJ5"/>
    <mergeCell ref="AD5:AN5"/>
    <mergeCell ref="BK5:BU5"/>
  </mergeCells>
  <conditionalFormatting sqref="U11:V11">
    <cfRule type="duplicateValues" dxfId="88" priority="612"/>
  </conditionalFormatting>
  <conditionalFormatting sqref="U17 U19">
    <cfRule type="duplicateValues" dxfId="87" priority="608"/>
  </conditionalFormatting>
  <conditionalFormatting sqref="U17">
    <cfRule type="duplicateValues" dxfId="86" priority="609"/>
  </conditionalFormatting>
  <conditionalFormatting sqref="U23">
    <cfRule type="duplicateValues" dxfId="85" priority="606"/>
  </conditionalFormatting>
  <conditionalFormatting sqref="U23">
    <cfRule type="duplicateValues" dxfId="84" priority="607"/>
  </conditionalFormatting>
  <conditionalFormatting sqref="U126">
    <cfRule type="duplicateValues" dxfId="83" priority="605"/>
  </conditionalFormatting>
  <conditionalFormatting sqref="U127">
    <cfRule type="duplicateValues" dxfId="82" priority="604"/>
  </conditionalFormatting>
  <conditionalFormatting sqref="U128">
    <cfRule type="duplicateValues" dxfId="81" priority="603"/>
  </conditionalFormatting>
  <conditionalFormatting sqref="U130">
    <cfRule type="duplicateValues" dxfId="80" priority="602"/>
  </conditionalFormatting>
  <conditionalFormatting sqref="U131">
    <cfRule type="duplicateValues" dxfId="79" priority="601"/>
  </conditionalFormatting>
  <conditionalFormatting sqref="U132:U133">
    <cfRule type="duplicateValues" dxfId="78" priority="600"/>
  </conditionalFormatting>
  <conditionalFormatting sqref="U134">
    <cfRule type="duplicateValues" dxfId="77" priority="599"/>
  </conditionalFormatting>
  <conditionalFormatting sqref="U137">
    <cfRule type="duplicateValues" dxfId="76" priority="598"/>
  </conditionalFormatting>
  <conditionalFormatting sqref="U189 U191">
    <cfRule type="duplicateValues" dxfId="75" priority="595"/>
  </conditionalFormatting>
  <conditionalFormatting sqref="U190">
    <cfRule type="duplicateValues" dxfId="74" priority="594"/>
  </conditionalFormatting>
  <conditionalFormatting sqref="U192">
    <cfRule type="duplicateValues" dxfId="73" priority="592"/>
  </conditionalFormatting>
  <conditionalFormatting sqref="U192">
    <cfRule type="duplicateValues" dxfId="72" priority="593"/>
  </conditionalFormatting>
  <conditionalFormatting sqref="Q195">
    <cfRule type="duplicateValues" dxfId="71" priority="587"/>
  </conditionalFormatting>
  <conditionalFormatting sqref="Q195">
    <cfRule type="duplicateValues" dxfId="70" priority="588"/>
  </conditionalFormatting>
  <conditionalFormatting sqref="Q195">
    <cfRule type="duplicateValues" dxfId="69" priority="589"/>
  </conditionalFormatting>
  <conditionalFormatting sqref="U195">
    <cfRule type="duplicateValues" dxfId="68" priority="584"/>
  </conditionalFormatting>
  <conditionalFormatting sqref="U195">
    <cfRule type="duplicateValues" dxfId="67" priority="585"/>
  </conditionalFormatting>
  <conditionalFormatting sqref="U195">
    <cfRule type="duplicateValues" dxfId="66" priority="586"/>
  </conditionalFormatting>
  <conditionalFormatting sqref="U196:U200 U193:U194">
    <cfRule type="duplicateValues" dxfId="65" priority="590"/>
  </conditionalFormatting>
  <conditionalFormatting sqref="U196:U200">
    <cfRule type="duplicateValues" dxfId="64" priority="591"/>
  </conditionalFormatting>
  <conditionalFormatting sqref="V202">
    <cfRule type="duplicateValues" dxfId="63" priority="582"/>
  </conditionalFormatting>
  <conditionalFormatting sqref="V202">
    <cfRule type="duplicateValues" dxfId="62" priority="583"/>
  </conditionalFormatting>
  <conditionalFormatting sqref="V204:V205">
    <cfRule type="duplicateValues" dxfId="61" priority="580"/>
  </conditionalFormatting>
  <conditionalFormatting sqref="V204:V205">
    <cfRule type="duplicateValues" dxfId="60" priority="581"/>
  </conditionalFormatting>
  <conditionalFormatting sqref="V207">
    <cfRule type="duplicateValues" dxfId="59" priority="578"/>
  </conditionalFormatting>
  <conditionalFormatting sqref="V207">
    <cfRule type="duplicateValues" dxfId="58" priority="579"/>
  </conditionalFormatting>
  <conditionalFormatting sqref="V209">
    <cfRule type="duplicateValues" dxfId="57" priority="576"/>
  </conditionalFormatting>
  <conditionalFormatting sqref="V209">
    <cfRule type="duplicateValues" dxfId="56" priority="577"/>
  </conditionalFormatting>
  <conditionalFormatting sqref="V211:V212">
    <cfRule type="duplicateValues" dxfId="55" priority="574"/>
  </conditionalFormatting>
  <conditionalFormatting sqref="V211:V212">
    <cfRule type="duplicateValues" dxfId="54" priority="575"/>
  </conditionalFormatting>
  <conditionalFormatting sqref="U214:U215">
    <cfRule type="duplicateValues" dxfId="53" priority="572"/>
  </conditionalFormatting>
  <conditionalFormatting sqref="U214:U215">
    <cfRule type="duplicateValues" dxfId="52" priority="573"/>
  </conditionalFormatting>
  <conditionalFormatting sqref="U216">
    <cfRule type="duplicateValues" dxfId="51" priority="570"/>
  </conditionalFormatting>
  <conditionalFormatting sqref="U216">
    <cfRule type="duplicateValues" dxfId="50" priority="571"/>
  </conditionalFormatting>
  <conditionalFormatting sqref="U217">
    <cfRule type="duplicateValues" dxfId="49" priority="568"/>
  </conditionalFormatting>
  <conditionalFormatting sqref="U217">
    <cfRule type="duplicateValues" dxfId="48" priority="569"/>
  </conditionalFormatting>
  <conditionalFormatting sqref="U218">
    <cfRule type="duplicateValues" dxfId="47" priority="566"/>
  </conditionalFormatting>
  <conditionalFormatting sqref="U218">
    <cfRule type="duplicateValues" dxfId="46" priority="567"/>
  </conditionalFormatting>
  <conditionalFormatting sqref="U275">
    <cfRule type="duplicateValues" dxfId="45" priority="564"/>
  </conditionalFormatting>
  <conditionalFormatting sqref="U275">
    <cfRule type="duplicateValues" dxfId="44" priority="565"/>
  </conditionalFormatting>
  <conditionalFormatting sqref="Q137 Q135:R135 Q128 R129:R134">
    <cfRule type="duplicateValues" dxfId="43" priority="559"/>
  </conditionalFormatting>
  <conditionalFormatting sqref="V17:V19">
    <cfRule type="duplicateValues" dxfId="42" priority="77"/>
  </conditionalFormatting>
  <conditionalFormatting sqref="V17:V19">
    <cfRule type="duplicateValues" dxfId="41" priority="78"/>
  </conditionalFormatting>
  <conditionalFormatting sqref="V23">
    <cfRule type="duplicateValues" dxfId="40" priority="75"/>
  </conditionalFormatting>
  <conditionalFormatting sqref="V23">
    <cfRule type="duplicateValues" dxfId="39" priority="76"/>
  </conditionalFormatting>
  <conditionalFormatting sqref="V126">
    <cfRule type="duplicateValues" dxfId="38" priority="74"/>
  </conditionalFormatting>
  <conditionalFormatting sqref="V127">
    <cfRule type="duplicateValues" dxfId="37" priority="73"/>
  </conditionalFormatting>
  <conditionalFormatting sqref="V130">
    <cfRule type="duplicateValues" dxfId="36" priority="72"/>
  </conditionalFormatting>
  <conditionalFormatting sqref="V131">
    <cfRule type="duplicateValues" dxfId="35" priority="71"/>
  </conditionalFormatting>
  <conditionalFormatting sqref="V132:V133">
    <cfRule type="duplicateValues" dxfId="34" priority="70"/>
  </conditionalFormatting>
  <conditionalFormatting sqref="V134">
    <cfRule type="duplicateValues" dxfId="33" priority="69"/>
  </conditionalFormatting>
  <conditionalFormatting sqref="R137">
    <cfRule type="duplicateValues" dxfId="32" priority="68"/>
  </conditionalFormatting>
  <conditionalFormatting sqref="V137">
    <cfRule type="duplicateValues" dxfId="31" priority="67"/>
  </conditionalFormatting>
  <conditionalFormatting sqref="R195">
    <cfRule type="duplicateValues" dxfId="30" priority="64"/>
  </conditionalFormatting>
  <conditionalFormatting sqref="R195">
    <cfRule type="duplicateValues" dxfId="29" priority="65"/>
  </conditionalFormatting>
  <conditionalFormatting sqref="R195">
    <cfRule type="duplicateValues" dxfId="28" priority="66"/>
  </conditionalFormatting>
  <conditionalFormatting sqref="V189 V191">
    <cfRule type="duplicateValues" dxfId="27" priority="63"/>
  </conditionalFormatting>
  <conditionalFormatting sqref="V190">
    <cfRule type="duplicateValues" dxfId="26" priority="62"/>
  </conditionalFormatting>
  <conditionalFormatting sqref="V192">
    <cfRule type="duplicateValues" dxfId="25" priority="60"/>
  </conditionalFormatting>
  <conditionalFormatting sqref="V192">
    <cfRule type="duplicateValues" dxfId="24" priority="61"/>
  </conditionalFormatting>
  <conditionalFormatting sqref="V195">
    <cfRule type="duplicateValues" dxfId="23" priority="55"/>
  </conditionalFormatting>
  <conditionalFormatting sqref="V195">
    <cfRule type="duplicateValues" dxfId="22" priority="56"/>
  </conditionalFormatting>
  <conditionalFormatting sqref="V195">
    <cfRule type="duplicateValues" dxfId="21" priority="57"/>
  </conditionalFormatting>
  <conditionalFormatting sqref="V196:V200 V193:V194">
    <cfRule type="duplicateValues" dxfId="20" priority="58"/>
  </conditionalFormatting>
  <conditionalFormatting sqref="V196:V200">
    <cfRule type="duplicateValues" dxfId="19" priority="59"/>
  </conditionalFormatting>
  <conditionalFormatting sqref="V214:V215">
    <cfRule type="duplicateValues" dxfId="18" priority="53"/>
  </conditionalFormatting>
  <conditionalFormatting sqref="V214:V215">
    <cfRule type="duplicateValues" dxfId="17" priority="54"/>
  </conditionalFormatting>
  <conditionalFormatting sqref="V216">
    <cfRule type="duplicateValues" dxfId="16" priority="51"/>
  </conditionalFormatting>
  <conditionalFormatting sqref="V216">
    <cfRule type="duplicateValues" dxfId="15" priority="52"/>
  </conditionalFormatting>
  <conditionalFormatting sqref="V217">
    <cfRule type="duplicateValues" dxfId="14" priority="49"/>
  </conditionalFormatting>
  <conditionalFormatting sqref="V217">
    <cfRule type="duplicateValues" dxfId="13" priority="50"/>
  </conditionalFormatting>
  <conditionalFormatting sqref="V218">
    <cfRule type="duplicateValues" dxfId="12" priority="47"/>
  </conditionalFormatting>
  <conditionalFormatting sqref="V218">
    <cfRule type="duplicateValues" dxfId="11" priority="48"/>
  </conditionalFormatting>
  <conditionalFormatting sqref="V275">
    <cfRule type="duplicateValues" dxfId="10" priority="45"/>
  </conditionalFormatting>
  <conditionalFormatting sqref="V275">
    <cfRule type="duplicateValues" dxfId="9" priority="46"/>
  </conditionalFormatting>
  <conditionalFormatting sqref="U279">
    <cfRule type="duplicateValues" dxfId="8" priority="43"/>
  </conditionalFormatting>
  <conditionalFormatting sqref="U279">
    <cfRule type="duplicateValues" dxfId="7" priority="44"/>
  </conditionalFormatting>
  <conditionalFormatting sqref="V279">
    <cfRule type="duplicateValues" dxfId="6" priority="41"/>
  </conditionalFormatting>
  <conditionalFormatting sqref="V279">
    <cfRule type="duplicateValues" dxfId="5" priority="42"/>
  </conditionalFormatting>
  <conditionalFormatting sqref="V135">
    <cfRule type="duplicateValues" dxfId="4" priority="40"/>
  </conditionalFormatting>
  <conditionalFormatting sqref="U202 U204:U205 U207 U209 U211:U212">
    <cfRule type="duplicateValues" dxfId="3" priority="38"/>
  </conditionalFormatting>
  <conditionalFormatting sqref="U202">
    <cfRule type="duplicateValues" dxfId="2" priority="39"/>
  </conditionalFormatting>
  <conditionalFormatting sqref="U18">
    <cfRule type="duplicateValues" dxfId="1" priority="16"/>
  </conditionalFormatting>
  <conditionalFormatting sqref="U18">
    <cfRule type="duplicateValues" dxfId="0" priority="17"/>
  </conditionalFormatting>
  <hyperlinks>
    <hyperlink ref="G111" r:id="rId1" display="https://app.powerbi.com/view?r=eyJrIjoiNmUyZjc2ZDgtODg3OC00OTg2LWE5NDEtYTQyZjM2NzM2ZmQ2IiwidCI6IjFhMDY3M2M2LTI0ZTEtNDc2ZC1iYjRkLWJhNmE5MWEzYzU4OCIsImMiOjR9" xr:uid="{00000000-0004-0000-0000-000000000000}"/>
    <hyperlink ref="G114" r:id="rId2" display="https://app.powerbi.com/view?r=eyJrIjoiNmUyZjc2ZDgtODg3OC00OTg2LWE5NDEtYTQyZjM2NzM2ZmQ2IiwidCI6IjFhMDY3M2M2LTI0ZTEtNDc2ZC1iYjRkLWJhNmE5MWEzYzU4OCIsImMiOjR9" xr:uid="{00000000-0004-0000-0000-000001000000}"/>
    <hyperlink ref="G116" r:id="rId3" display="https://app.powerbi.com/view?r=eyJrIjoiNmUyZjc2ZDgtODg3OC00OTg2LWE5NDEtYTQyZjM2NzM2ZmQ2IiwidCI6IjFhMDY3M2M2LTI0ZTEtNDc2ZC1iYjRkLWJhNmE5MWEzYzU4OCIsImMiOjR9" xr:uid="{00000000-0004-0000-0000-000002000000}"/>
    <hyperlink ref="G115" r:id="rId4" display="https://app.powerbi.com/view?r=eyJrIjoiNmUyZjc2ZDgtODg3OC00OTg2LWE5NDEtYTQyZjM2NzM2ZmQ2IiwidCI6IjFhMDY3M2M2LTI0ZTEtNDc2ZC1iYjRkLWJhNmE5MWEzYzU4OCIsImMiOjR9" xr:uid="{00000000-0004-0000-0000-000003000000}"/>
    <hyperlink ref="G109" r:id="rId5" display="https://app.powerbi.com/view?r=eyJrIjoiNmUyZjc2ZDgtODg3OC00OTg2LWE5NDEtYTQyZjM2NzM2ZmQ2IiwidCI6IjFhMDY3M2M2LTI0ZTEtNDc2ZC1iYjRkLWJhNmE5MWEzYzU4OCIsImMiOjR9" xr:uid="{00000000-0004-0000-0000-000004000000}"/>
    <hyperlink ref="G119" r:id="rId6" display="https://app.powerbi.com/view?r=eyJrIjoiNmUyZjc2ZDgtODg3OC00OTg2LWE5NDEtYTQyZjM2NzM2ZmQ2IiwidCI6IjFhMDY3M2M2LTI0ZTEtNDc2ZC1iYjRkLWJhNmE5MWEzYzU4OCIsImMiOjR9" xr:uid="{00000000-0004-0000-0000-000005000000}"/>
    <hyperlink ref="G123" r:id="rId7" display="https://app.powerbi.com/view?r=eyJrIjoiNmUyZjc2ZDgtODg3OC00OTg2LWE5NDEtYTQyZjM2NzM2ZmQ2IiwidCI6IjFhMDY3M2M2LTI0ZTEtNDc2ZC1iYjRkLWJhNmE5MWEzYzU4OCIsImMiOjR9" xr:uid="{00000000-0004-0000-0000-000006000000}"/>
  </hyperlinks>
  <pageMargins left="0.7" right="0.7" top="0.75" bottom="0.75" header="0.3" footer="0.3"/>
  <pageSetup orientation="portrait" horizontalDpi="360" verticalDpi="360" r:id="rId8"/>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F-PLA-04 PLAN INDIC 2020</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AUXPLANEACION32</dc:creator>
  <cp:lastModifiedBy>DIRPLANEACION04</cp:lastModifiedBy>
  <dcterms:created xsi:type="dcterms:W3CDTF">2020-07-11T21:43:52Z</dcterms:created>
  <dcterms:modified xsi:type="dcterms:W3CDTF">2021-02-24T13:39:11Z</dcterms:modified>
</cp:coreProperties>
</file>