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INSTRUMENTOS DE PLANIFDICACION\INSTRUMENTOS 2016\PLANES PDD 2016-2019\PLAN INDICATIVO 2016-2019\"/>
    </mc:Choice>
  </mc:AlternateContent>
  <bookViews>
    <workbookView xWindow="0" yWindow="0" windowWidth="24000" windowHeight="9135"/>
  </bookViews>
  <sheets>
    <sheet name="SGTO P. NDICATIVO" sheetId="51" r:id="rId1"/>
  </sheets>
  <externalReferences>
    <externalReference r:id="rId2"/>
  </externalReferences>
  <definedNames>
    <definedName name="_xlnm._FilterDatabase" localSheetId="0" hidden="1">'SGTO P. NDICATIVO'!$A$10:$BM$432</definedName>
  </definedNames>
  <calcPr calcId="152511"/>
  <fileRecoveryPr autoRecover="0"/>
</workbook>
</file>

<file path=xl/calcChain.xml><?xml version="1.0" encoding="utf-8"?>
<calcChain xmlns="http://schemas.openxmlformats.org/spreadsheetml/2006/main">
  <c r="Z423" i="51" l="1"/>
  <c r="AA423" i="51"/>
  <c r="AG423" i="51"/>
  <c r="AG367" i="51"/>
  <c r="AF423" i="51" l="1"/>
  <c r="AE423" i="51"/>
  <c r="AD423" i="51"/>
  <c r="AC423" i="51"/>
  <c r="AB423" i="51"/>
  <c r="Y423" i="51"/>
  <c r="BG423" i="51"/>
  <c r="BH423" i="51"/>
  <c r="BI423" i="51"/>
  <c r="BJ423" i="51"/>
  <c r="X365" i="51" l="1"/>
  <c r="X370" i="51"/>
  <c r="X374" i="51"/>
  <c r="X381" i="51"/>
  <c r="X384" i="51"/>
  <c r="X404" i="51"/>
  <c r="X410" i="51"/>
  <c r="X324" i="51"/>
  <c r="X330" i="51"/>
  <c r="X335" i="51"/>
  <c r="X340" i="51"/>
  <c r="X346" i="51"/>
  <c r="X350" i="51"/>
  <c r="X354" i="51"/>
  <c r="X360" i="51"/>
  <c r="X97" i="51"/>
  <c r="X101" i="51"/>
  <c r="X108" i="51"/>
  <c r="X111" i="51"/>
  <c r="X120" i="51"/>
  <c r="X131" i="51"/>
  <c r="X136" i="51"/>
  <c r="X139" i="51"/>
  <c r="X145" i="51"/>
  <c r="X152" i="51"/>
  <c r="X155" i="51"/>
  <c r="X157" i="51"/>
  <c r="X159" i="51"/>
  <c r="X163" i="51"/>
  <c r="X167" i="51"/>
  <c r="X169" i="51"/>
  <c r="X172" i="51"/>
  <c r="X174" i="51"/>
  <c r="X178" i="51"/>
  <c r="X184" i="51"/>
  <c r="X189" i="51"/>
  <c r="X192" i="51"/>
  <c r="X197" i="51"/>
  <c r="X201" i="51"/>
  <c r="X205" i="51"/>
  <c r="X214" i="51"/>
  <c r="X217" i="51"/>
  <c r="X221" i="51"/>
  <c r="X226" i="51"/>
  <c r="X229" i="51"/>
  <c r="X234" i="51"/>
  <c r="X236" i="51"/>
  <c r="X238" i="51"/>
  <c r="X241" i="51"/>
  <c r="X245" i="51"/>
  <c r="X247" i="51"/>
  <c r="X251" i="51"/>
  <c r="X254" i="51"/>
  <c r="X258" i="51"/>
  <c r="X257" i="51" s="1"/>
  <c r="X263" i="51"/>
  <c r="X266" i="51"/>
  <c r="X269" i="51"/>
  <c r="X271" i="51"/>
  <c r="X275" i="51"/>
  <c r="X279" i="51"/>
  <c r="X282" i="51"/>
  <c r="X285" i="51"/>
  <c r="X288" i="51"/>
  <c r="X290" i="51"/>
  <c r="X292" i="51"/>
  <c r="X295" i="51"/>
  <c r="X294" i="51" s="1"/>
  <c r="X301" i="51"/>
  <c r="X304" i="51"/>
  <c r="X306" i="51"/>
  <c r="X308" i="51"/>
  <c r="X313" i="51"/>
  <c r="X317" i="51"/>
  <c r="X320" i="51"/>
  <c r="X319" i="51" s="1"/>
  <c r="X37" i="51"/>
  <c r="X42" i="51"/>
  <c r="X49" i="51"/>
  <c r="X54" i="51"/>
  <c r="X58" i="51"/>
  <c r="X64" i="51"/>
  <c r="X69" i="51"/>
  <c r="X74" i="51"/>
  <c r="X77" i="51"/>
  <c r="X79" i="51"/>
  <c r="X82" i="51"/>
  <c r="X86" i="51"/>
  <c r="X12" i="51"/>
  <c r="X19" i="51"/>
  <c r="X27" i="51"/>
  <c r="Y365" i="51"/>
  <c r="Y370" i="51"/>
  <c r="Y374" i="51"/>
  <c r="Y381" i="51"/>
  <c r="Y384" i="51"/>
  <c r="Y404" i="51"/>
  <c r="Y410" i="51"/>
  <c r="Y325" i="51"/>
  <c r="Y324" i="51" s="1"/>
  <c r="Y330" i="51"/>
  <c r="Y335" i="51"/>
  <c r="Y340" i="51"/>
  <c r="Y346" i="51"/>
  <c r="Y350" i="51"/>
  <c r="Y354" i="51"/>
  <c r="Y360" i="51"/>
  <c r="Y98" i="51"/>
  <c r="Y97" i="51" s="1"/>
  <c r="Y101" i="51"/>
  <c r="Y108" i="51"/>
  <c r="Y111" i="51"/>
  <c r="Y120" i="51"/>
  <c r="Y131" i="51"/>
  <c r="Y136" i="51"/>
  <c r="Y139" i="51"/>
  <c r="Y145" i="51"/>
  <c r="Y152" i="51"/>
  <c r="Y155" i="51"/>
  <c r="Y157" i="51"/>
  <c r="Y159" i="51"/>
  <c r="Y164" i="51"/>
  <c r="Y163" i="51" s="1"/>
  <c r="Y167" i="51"/>
  <c r="Y169" i="51"/>
  <c r="Y172" i="51"/>
  <c r="Y174" i="51"/>
  <c r="Y178" i="51"/>
  <c r="Y184" i="51"/>
  <c r="Y189" i="51"/>
  <c r="Y192" i="51"/>
  <c r="Y197" i="51"/>
  <c r="Y201" i="51"/>
  <c r="Y205" i="51"/>
  <c r="Y211" i="51"/>
  <c r="Y214" i="51"/>
  <c r="Y217" i="51"/>
  <c r="Y221" i="51"/>
  <c r="Y226" i="51"/>
  <c r="Y229" i="51"/>
  <c r="Y234" i="51"/>
  <c r="Y236" i="51"/>
  <c r="Y238" i="51"/>
  <c r="Y241" i="51"/>
  <c r="Y245" i="51"/>
  <c r="Y247" i="51"/>
  <c r="Y251" i="51"/>
  <c r="Y255" i="51"/>
  <c r="Y254" i="51" s="1"/>
  <c r="Y258" i="51"/>
  <c r="Y257" i="51" s="1"/>
  <c r="Y263" i="51"/>
  <c r="Y266" i="51"/>
  <c r="Y269" i="51"/>
  <c r="Y271" i="51"/>
  <c r="Y275" i="51"/>
  <c r="Y279" i="51"/>
  <c r="Y282" i="51"/>
  <c r="Y285" i="51"/>
  <c r="Y288" i="51"/>
  <c r="Y290" i="51"/>
  <c r="Y292" i="51"/>
  <c r="Y295" i="51"/>
  <c r="Y294" i="51" s="1"/>
  <c r="Y301" i="51"/>
  <c r="Y304" i="51"/>
  <c r="Y306" i="51"/>
  <c r="Y308" i="51"/>
  <c r="Y313" i="51"/>
  <c r="Y317" i="51"/>
  <c r="Y320" i="51"/>
  <c r="Y319" i="51" s="1"/>
  <c r="Y37" i="51"/>
  <c r="Y42" i="51"/>
  <c r="Y49" i="51"/>
  <c r="Y54" i="51"/>
  <c r="Y58" i="51"/>
  <c r="Y64" i="51"/>
  <c r="Y69" i="51"/>
  <c r="Y74" i="51"/>
  <c r="Y77" i="51"/>
  <c r="Y79" i="51"/>
  <c r="Y83" i="51"/>
  <c r="AG83" i="51" s="1"/>
  <c r="Y93" i="51"/>
  <c r="AG93" i="51" s="1"/>
  <c r="Y12" i="51"/>
  <c r="Y19" i="51"/>
  <c r="Y27" i="51"/>
  <c r="Z366" i="51"/>
  <c r="Z365" i="51" s="1"/>
  <c r="Z370" i="51"/>
  <c r="Z374" i="51"/>
  <c r="Z382" i="51"/>
  <c r="Z381" i="51" s="1"/>
  <c r="Z384" i="51"/>
  <c r="Z404" i="51"/>
  <c r="Z419" i="51"/>
  <c r="Z410" i="51" s="1"/>
  <c r="Z324" i="51"/>
  <c r="Z330" i="51"/>
  <c r="Z335" i="51"/>
  <c r="Z340" i="51"/>
  <c r="Z349" i="51"/>
  <c r="Z346" i="51" s="1"/>
  <c r="Z351" i="51"/>
  <c r="AG351" i="51" s="1"/>
  <c r="Z352" i="51"/>
  <c r="AG352" i="51" s="1"/>
  <c r="Z356" i="51"/>
  <c r="AG356" i="51" s="1"/>
  <c r="Z357" i="51"/>
  <c r="AG357" i="51" s="1"/>
  <c r="Z359" i="51"/>
  <c r="AG359" i="51" s="1"/>
  <c r="Z360" i="51"/>
  <c r="Z98" i="51"/>
  <c r="Z97" i="51" s="1"/>
  <c r="Z101" i="51"/>
  <c r="Z108" i="51"/>
  <c r="Z111" i="51"/>
  <c r="Z120" i="51"/>
  <c r="Z131" i="51"/>
  <c r="Z136" i="51"/>
  <c r="Z139" i="51"/>
  <c r="Z145" i="51"/>
  <c r="Z152" i="51"/>
  <c r="Z155" i="51"/>
  <c r="Z157" i="51"/>
  <c r="Z159" i="51"/>
  <c r="Z163" i="51"/>
  <c r="Z167" i="51"/>
  <c r="Z169" i="51"/>
  <c r="Z172" i="51"/>
  <c r="Z174" i="51"/>
  <c r="Z178" i="51"/>
  <c r="Z184" i="51"/>
  <c r="Z189" i="51"/>
  <c r="Z192" i="51"/>
  <c r="Z197" i="51"/>
  <c r="Z201" i="51"/>
  <c r="Z205" i="51"/>
  <c r="Z211" i="51"/>
  <c r="Z214" i="51"/>
  <c r="Z217" i="51"/>
  <c r="Z221" i="51"/>
  <c r="Z226" i="51"/>
  <c r="Z229" i="51"/>
  <c r="Z234" i="51"/>
  <c r="Z236" i="51"/>
  <c r="Z238" i="51"/>
  <c r="Z241" i="51"/>
  <c r="Z245" i="51"/>
  <c r="Z247" i="51"/>
  <c r="Z251" i="51"/>
  <c r="Z254" i="51"/>
  <c r="Z258" i="51"/>
  <c r="Z257" i="51" s="1"/>
  <c r="Z263" i="51"/>
  <c r="Z266" i="51"/>
  <c r="Z270" i="51"/>
  <c r="Z269" i="51" s="1"/>
  <c r="Z272" i="51"/>
  <c r="Z271" i="51" s="1"/>
  <c r="Z277" i="51"/>
  <c r="Z275" i="51" s="1"/>
  <c r="Z280" i="51"/>
  <c r="Z279" i="51" s="1"/>
  <c r="Z282" i="51"/>
  <c r="Z287" i="51"/>
  <c r="Z285" i="51" s="1"/>
  <c r="Z288" i="51"/>
  <c r="Z291" i="51"/>
  <c r="Z290" i="51" s="1"/>
  <c r="Z292" i="51"/>
  <c r="Z296" i="51"/>
  <c r="AG296" i="51" s="1"/>
  <c r="Z302" i="51"/>
  <c r="AG302" i="51" s="1"/>
  <c r="Z303" i="51"/>
  <c r="AG303" i="51" s="1"/>
  <c r="Z304" i="51"/>
  <c r="Z306" i="51"/>
  <c r="Z308" i="51"/>
  <c r="Z313" i="51"/>
  <c r="Z317" i="51"/>
  <c r="Z320" i="51"/>
  <c r="Z319" i="51" s="1"/>
  <c r="Z37" i="51"/>
  <c r="Z42" i="51"/>
  <c r="Z50" i="51"/>
  <c r="Z49" i="51" s="1"/>
  <c r="Z54" i="51"/>
  <c r="Z58" i="51"/>
  <c r="Z64" i="51"/>
  <c r="Z69" i="51"/>
  <c r="Z74" i="51"/>
  <c r="Z77" i="51"/>
  <c r="Z79" i="51"/>
  <c r="Z82" i="51"/>
  <c r="Z86" i="51"/>
  <c r="Z12" i="51"/>
  <c r="Z19" i="51"/>
  <c r="Z29" i="51"/>
  <c r="AG29" i="51" s="1"/>
  <c r="Z33" i="51"/>
  <c r="AG33" i="51" s="1"/>
  <c r="AA365" i="51"/>
  <c r="AA370" i="51"/>
  <c r="AA374" i="51"/>
  <c r="AA381" i="51"/>
  <c r="AA384" i="51"/>
  <c r="AA404" i="51"/>
  <c r="AA410" i="51"/>
  <c r="AA324" i="51"/>
  <c r="AA330" i="51"/>
  <c r="AA335" i="51"/>
  <c r="AA340" i="51"/>
  <c r="AA346" i="51"/>
  <c r="AA350" i="51"/>
  <c r="AA354" i="51"/>
  <c r="AA360" i="51"/>
  <c r="AA97" i="51"/>
  <c r="AA101" i="51"/>
  <c r="AA108" i="51"/>
  <c r="AA111" i="51"/>
  <c r="AA120" i="51"/>
  <c r="AA131" i="51"/>
  <c r="AA136" i="51"/>
  <c r="AA139" i="51"/>
  <c r="AA145" i="51"/>
  <c r="AA152" i="51"/>
  <c r="AA155" i="51"/>
  <c r="AA157" i="51"/>
  <c r="AA159" i="51"/>
  <c r="AA163" i="51"/>
  <c r="AA167" i="51"/>
  <c r="AA169" i="51"/>
  <c r="AA172" i="51"/>
  <c r="AA174" i="51"/>
  <c r="AA178" i="51"/>
  <c r="AA184" i="51"/>
  <c r="AA189" i="51"/>
  <c r="AA192" i="51"/>
  <c r="AA197" i="51"/>
  <c r="AA201" i="51"/>
  <c r="AA205" i="51"/>
  <c r="AA211" i="51"/>
  <c r="AA214" i="51"/>
  <c r="AA217" i="51"/>
  <c r="AA221" i="51"/>
  <c r="AA226" i="51"/>
  <c r="AA229" i="51"/>
  <c r="AA234" i="51"/>
  <c r="AA236" i="51"/>
  <c r="AA238" i="51"/>
  <c r="AA243" i="51"/>
  <c r="AA241" i="51" s="1"/>
  <c r="AA245" i="51"/>
  <c r="AA247" i="51"/>
  <c r="AA251" i="51"/>
  <c r="AA254" i="51"/>
  <c r="AA258" i="51"/>
  <c r="AA257" i="51" s="1"/>
  <c r="AA263" i="51"/>
  <c r="AA266" i="51"/>
  <c r="AA269" i="51"/>
  <c r="AA271" i="51"/>
  <c r="AA275" i="51"/>
  <c r="AA279" i="51"/>
  <c r="AA282" i="51"/>
  <c r="AA285" i="51"/>
  <c r="AA288" i="51"/>
  <c r="AA290" i="51"/>
  <c r="AA292" i="51"/>
  <c r="AA295" i="51"/>
  <c r="AA294" i="51" s="1"/>
  <c r="AA301" i="51"/>
  <c r="AA304" i="51"/>
  <c r="AA306" i="51"/>
  <c r="AA308" i="51"/>
  <c r="AA313" i="51"/>
  <c r="AA317" i="51"/>
  <c r="AA320" i="51"/>
  <c r="AA319" i="51" s="1"/>
  <c r="AA37" i="51"/>
  <c r="AA42" i="51"/>
  <c r="AA49" i="51"/>
  <c r="AA54" i="51"/>
  <c r="AA58" i="51"/>
  <c r="AA64" i="51"/>
  <c r="AA69" i="51"/>
  <c r="AA74" i="51"/>
  <c r="AA77" i="51"/>
  <c r="AA79" i="51"/>
  <c r="AA82" i="51"/>
  <c r="AA86" i="51"/>
  <c r="AA12" i="51"/>
  <c r="AA19" i="51"/>
  <c r="AA27" i="51"/>
  <c r="AB365" i="51"/>
  <c r="AB370" i="51"/>
  <c r="AB374" i="51"/>
  <c r="AB381" i="51"/>
  <c r="AB384" i="51"/>
  <c r="AB404" i="51"/>
  <c r="AB410" i="51"/>
  <c r="AB324" i="51"/>
  <c r="AB330" i="51"/>
  <c r="AB335" i="51"/>
  <c r="AB340" i="51"/>
  <c r="AB346" i="51"/>
  <c r="AB350" i="51"/>
  <c r="AB354" i="51"/>
  <c r="AB360" i="51"/>
  <c r="AB97" i="51"/>
  <c r="AB101" i="51"/>
  <c r="AB108" i="51"/>
  <c r="AB111" i="51"/>
  <c r="AB120" i="51"/>
  <c r="AB131" i="51"/>
  <c r="AB136" i="51"/>
  <c r="AB139" i="51"/>
  <c r="AB145" i="51"/>
  <c r="AB152" i="51"/>
  <c r="AB155" i="51"/>
  <c r="AB157" i="51"/>
  <c r="AB159" i="51"/>
  <c r="AB163" i="51"/>
  <c r="AB167" i="51"/>
  <c r="AB169" i="51"/>
  <c r="AB172" i="51"/>
  <c r="AB174" i="51"/>
  <c r="AB178" i="51"/>
  <c r="AB184" i="51"/>
  <c r="AB189" i="51"/>
  <c r="AB192" i="51"/>
  <c r="AB197" i="51"/>
  <c r="AB201" i="51"/>
  <c r="AB205" i="51"/>
  <c r="AB211" i="51"/>
  <c r="AB214" i="51"/>
  <c r="AB217" i="51"/>
  <c r="AB221" i="51"/>
  <c r="AB226" i="51"/>
  <c r="AB229" i="51"/>
  <c r="AB234" i="51"/>
  <c r="AB236" i="51"/>
  <c r="AB238" i="51"/>
  <c r="AB241" i="51"/>
  <c r="AB245" i="51"/>
  <c r="AB247" i="51"/>
  <c r="AB251" i="51"/>
  <c r="AB254" i="51"/>
  <c r="AB258" i="51"/>
  <c r="AB257" i="51" s="1"/>
  <c r="AB263" i="51"/>
  <c r="AB266" i="51"/>
  <c r="AB269" i="51"/>
  <c r="AB271" i="51"/>
  <c r="AB275" i="51"/>
  <c r="AB279" i="51"/>
  <c r="AB282" i="51"/>
  <c r="AB285" i="51"/>
  <c r="AB288" i="51"/>
  <c r="AB290" i="51"/>
  <c r="AB292" i="51"/>
  <c r="AB295" i="51"/>
  <c r="AB294" i="51" s="1"/>
  <c r="AB301" i="51"/>
  <c r="AB304" i="51"/>
  <c r="AB306" i="51"/>
  <c r="AB308" i="51"/>
  <c r="AB313" i="51"/>
  <c r="AB317" i="51"/>
  <c r="AB320" i="51"/>
  <c r="AB319" i="51" s="1"/>
  <c r="AB37" i="51"/>
  <c r="AB42" i="51"/>
  <c r="AB49" i="51"/>
  <c r="AB54" i="51"/>
  <c r="AB58" i="51"/>
  <c r="AB64" i="51"/>
  <c r="AB69" i="51"/>
  <c r="AB74" i="51"/>
  <c r="AB77" i="51"/>
  <c r="AB79" i="51"/>
  <c r="AB82" i="51"/>
  <c r="AB86" i="51"/>
  <c r="AB12" i="51"/>
  <c r="AB19" i="51"/>
  <c r="AB27" i="51"/>
  <c r="AC365" i="51"/>
  <c r="AC370" i="51"/>
  <c r="AC374" i="51"/>
  <c r="AC381" i="51"/>
  <c r="AC384" i="51"/>
  <c r="AC404" i="51"/>
  <c r="AC410" i="51"/>
  <c r="AC324" i="51"/>
  <c r="AC330" i="51"/>
  <c r="AC335" i="51"/>
  <c r="AC340" i="51"/>
  <c r="AC346" i="51"/>
  <c r="AC350" i="51"/>
  <c r="AC354" i="51"/>
  <c r="AC360" i="51"/>
  <c r="AC97" i="51"/>
  <c r="AC101" i="51"/>
  <c r="AC108" i="51"/>
  <c r="AC111" i="51"/>
  <c r="AC120" i="51"/>
  <c r="AC131" i="51"/>
  <c r="AC136" i="51"/>
  <c r="AC139" i="51"/>
  <c r="AC145" i="51"/>
  <c r="AC152" i="51"/>
  <c r="AC155" i="51"/>
  <c r="AC157" i="51"/>
  <c r="AC159" i="51"/>
  <c r="AC163" i="51"/>
  <c r="AC167" i="51"/>
  <c r="AC169" i="51"/>
  <c r="AC172" i="51"/>
  <c r="AC174" i="51"/>
  <c r="AC178" i="51"/>
  <c r="AC184" i="51"/>
  <c r="AC189" i="51"/>
  <c r="AC192" i="51"/>
  <c r="AC197" i="51"/>
  <c r="AC201" i="51"/>
  <c r="AC205" i="51"/>
  <c r="AC211" i="51"/>
  <c r="AC214" i="51"/>
  <c r="AC217" i="51"/>
  <c r="AC221" i="51"/>
  <c r="AC226" i="51"/>
  <c r="AC229" i="51"/>
  <c r="AC234" i="51"/>
  <c r="AC236" i="51"/>
  <c r="AC238" i="51"/>
  <c r="AC241" i="51"/>
  <c r="AC245" i="51"/>
  <c r="AC247" i="51"/>
  <c r="AC251" i="51"/>
  <c r="AC254" i="51"/>
  <c r="AC258" i="51"/>
  <c r="AC257" i="51" s="1"/>
  <c r="AC263" i="51"/>
  <c r="AC266" i="51"/>
  <c r="AC269" i="51"/>
  <c r="AC271" i="51"/>
  <c r="AC275" i="51"/>
  <c r="AC279" i="51"/>
  <c r="AC282" i="51"/>
  <c r="AC285" i="51"/>
  <c r="AC288" i="51"/>
  <c r="AC290" i="51"/>
  <c r="AC292" i="51"/>
  <c r="AC295" i="51"/>
  <c r="AC294" i="51" s="1"/>
  <c r="AC301" i="51"/>
  <c r="AC304" i="51"/>
  <c r="AC306" i="51"/>
  <c r="AC308" i="51"/>
  <c r="AC313" i="51"/>
  <c r="AC317" i="51"/>
  <c r="AC320" i="51"/>
  <c r="AC319" i="51" s="1"/>
  <c r="AC37" i="51"/>
  <c r="AC42" i="51"/>
  <c r="AC49" i="51"/>
  <c r="AC54" i="51"/>
  <c r="AC58" i="51"/>
  <c r="AC64" i="51"/>
  <c r="AC69" i="51"/>
  <c r="AC74" i="51"/>
  <c r="AC77" i="51"/>
  <c r="AC79" i="51"/>
  <c r="AC82" i="51"/>
  <c r="AC86" i="51"/>
  <c r="AC12" i="51"/>
  <c r="AC19" i="51"/>
  <c r="AC27" i="51"/>
  <c r="AD365" i="51"/>
  <c r="AD370" i="51"/>
  <c r="AD374" i="51"/>
  <c r="AD381" i="51"/>
  <c r="AD384" i="51"/>
  <c r="AD404" i="51"/>
  <c r="AD410" i="51"/>
  <c r="AD324" i="51"/>
  <c r="AD330" i="51"/>
  <c r="AD335" i="51"/>
  <c r="AD340" i="51"/>
  <c r="AD346" i="51"/>
  <c r="AD350" i="51"/>
  <c r="AD354" i="51"/>
  <c r="AD360" i="51"/>
  <c r="AD97" i="51"/>
  <c r="AD101" i="51"/>
  <c r="AD108" i="51"/>
  <c r="AD111" i="51"/>
  <c r="AD120" i="51"/>
  <c r="AD131" i="51"/>
  <c r="AD136" i="51"/>
  <c r="AD139" i="51"/>
  <c r="AD145" i="51"/>
  <c r="AD152" i="51"/>
  <c r="AD155" i="51"/>
  <c r="AD157" i="51"/>
  <c r="AD159" i="51"/>
  <c r="AD163" i="51"/>
  <c r="AD167" i="51"/>
  <c r="AD169" i="51"/>
  <c r="AD172" i="51"/>
  <c r="AD174" i="51"/>
  <c r="AD178" i="51"/>
  <c r="AD184" i="51"/>
  <c r="AD189" i="51"/>
  <c r="AD192" i="51"/>
  <c r="AD197" i="51"/>
  <c r="AD201" i="51"/>
  <c r="AD205" i="51"/>
  <c r="AD211" i="51"/>
  <c r="AD214" i="51"/>
  <c r="AD217" i="51"/>
  <c r="AD221" i="51"/>
  <c r="AD226" i="51"/>
  <c r="AD229" i="51"/>
  <c r="AD234" i="51"/>
  <c r="AD236" i="51"/>
  <c r="AD238" i="51"/>
  <c r="AD241" i="51"/>
  <c r="AD245" i="51"/>
  <c r="AD247" i="51"/>
  <c r="AD251" i="51"/>
  <c r="AD254" i="51"/>
  <c r="AD258" i="51"/>
  <c r="AD257" i="51" s="1"/>
  <c r="AD263" i="51"/>
  <c r="AD266" i="51"/>
  <c r="AD269" i="51"/>
  <c r="AD271" i="51"/>
  <c r="AD275" i="51"/>
  <c r="AD279" i="51"/>
  <c r="AD282" i="51"/>
  <c r="AD285" i="51"/>
  <c r="AD288" i="51"/>
  <c r="AD290" i="51"/>
  <c r="AD292" i="51"/>
  <c r="AD295" i="51"/>
  <c r="AD294" i="51" s="1"/>
  <c r="AD301" i="51"/>
  <c r="AD304" i="51"/>
  <c r="AD306" i="51"/>
  <c r="AD308" i="51"/>
  <c r="AD313" i="51"/>
  <c r="AD317" i="51"/>
  <c r="AD320" i="51"/>
  <c r="AD319" i="51" s="1"/>
  <c r="AD37" i="51"/>
  <c r="AD42" i="51"/>
  <c r="AD49" i="51"/>
  <c r="AD54" i="51"/>
  <c r="AD58" i="51"/>
  <c r="AD64" i="51"/>
  <c r="AD69" i="51"/>
  <c r="AD74" i="51"/>
  <c r="AD77" i="51"/>
  <c r="AD79" i="51"/>
  <c r="AD82" i="51"/>
  <c r="AD86" i="51"/>
  <c r="AD12" i="51"/>
  <c r="AD19" i="51"/>
  <c r="AD27" i="51"/>
  <c r="AE365" i="51"/>
  <c r="AE370" i="51"/>
  <c r="AE374" i="51"/>
  <c r="AE381" i="51"/>
  <c r="AE384" i="51"/>
  <c r="AE404" i="51"/>
  <c r="AE410" i="51"/>
  <c r="AE324" i="51"/>
  <c r="AE330" i="51"/>
  <c r="AE335" i="51"/>
  <c r="AE340" i="51"/>
  <c r="AE346" i="51"/>
  <c r="AE350" i="51"/>
  <c r="AE354" i="51"/>
  <c r="AE360" i="51"/>
  <c r="AE97" i="51"/>
  <c r="AE101" i="51"/>
  <c r="AE108" i="51"/>
  <c r="AE111" i="51"/>
  <c r="AE120" i="51"/>
  <c r="AE131" i="51"/>
  <c r="AE136" i="51"/>
  <c r="AE139" i="51"/>
  <c r="AE145" i="51"/>
  <c r="AE152" i="51"/>
  <c r="AE155" i="51"/>
  <c r="AE157" i="51"/>
  <c r="AE159" i="51"/>
  <c r="AE163" i="51"/>
  <c r="AE167" i="51"/>
  <c r="AE169" i="51"/>
  <c r="AE172" i="51"/>
  <c r="AE174" i="51"/>
  <c r="AE178" i="51"/>
  <c r="AE184" i="51"/>
  <c r="AE189" i="51"/>
  <c r="AE192" i="51"/>
  <c r="AE200" i="51"/>
  <c r="AE197" i="51" s="1"/>
  <c r="AE202" i="51"/>
  <c r="AE201" i="51" s="1"/>
  <c r="AE208" i="51"/>
  <c r="AE205" i="51" s="1"/>
  <c r="AE211" i="51"/>
  <c r="AE215" i="51"/>
  <c r="AE214" i="51" s="1"/>
  <c r="AE217" i="51"/>
  <c r="AE224" i="51"/>
  <c r="AG224" i="51" s="1"/>
  <c r="AE226" i="51"/>
  <c r="AE229" i="51"/>
  <c r="AE234" i="51"/>
  <c r="AE236" i="51"/>
  <c r="AE238" i="51"/>
  <c r="AE241" i="51"/>
  <c r="AE245" i="51"/>
  <c r="AE247" i="51"/>
  <c r="AE251" i="51"/>
  <c r="AE254" i="51"/>
  <c r="AE258" i="51"/>
  <c r="AE257" i="51" s="1"/>
  <c r="AE263" i="51"/>
  <c r="AE266" i="51"/>
  <c r="AE269" i="51"/>
  <c r="AE271" i="51"/>
  <c r="AE275" i="51"/>
  <c r="AE279" i="51"/>
  <c r="AE282" i="51"/>
  <c r="AE285" i="51"/>
  <c r="AE288" i="51"/>
  <c r="AE290" i="51"/>
  <c r="AE292" i="51"/>
  <c r="AE295" i="51"/>
  <c r="AE294" i="51" s="1"/>
  <c r="AE301" i="51"/>
  <c r="AE304" i="51"/>
  <c r="AE306" i="51"/>
  <c r="AE308" i="51"/>
  <c r="AE313" i="51"/>
  <c r="AE317" i="51"/>
  <c r="AE320" i="51"/>
  <c r="AE319" i="51" s="1"/>
  <c r="AE37" i="51"/>
  <c r="AE42" i="51"/>
  <c r="AE49" i="51"/>
  <c r="AE54" i="51"/>
  <c r="AE58" i="51"/>
  <c r="AE64" i="51"/>
  <c r="AE69" i="51"/>
  <c r="AE74" i="51"/>
  <c r="AE77" i="51"/>
  <c r="AE79" i="51"/>
  <c r="AE82" i="51"/>
  <c r="AE86" i="51"/>
  <c r="AE12" i="51"/>
  <c r="AE19" i="51"/>
  <c r="AE27" i="51"/>
  <c r="AF365" i="51"/>
  <c r="AF370" i="51"/>
  <c r="AF374" i="51"/>
  <c r="AF381" i="51"/>
  <c r="AF384" i="51"/>
  <c r="AF404" i="51"/>
  <c r="AF410" i="51"/>
  <c r="AF324" i="51"/>
  <c r="AF330" i="51"/>
  <c r="AF335" i="51"/>
  <c r="AF340" i="51"/>
  <c r="AF346" i="51"/>
  <c r="AF350" i="51"/>
  <c r="AF354" i="51"/>
  <c r="AF360" i="51"/>
  <c r="AF97" i="51"/>
  <c r="AF101" i="51"/>
  <c r="AF108" i="51"/>
  <c r="AF111" i="51"/>
  <c r="AF120" i="51"/>
  <c r="AF131" i="51"/>
  <c r="AF136" i="51"/>
  <c r="AF139" i="51"/>
  <c r="AF145" i="51"/>
  <c r="AF152" i="51"/>
  <c r="AF155" i="51"/>
  <c r="AF157" i="51"/>
  <c r="AF159" i="51"/>
  <c r="AF163" i="51"/>
  <c r="AF167" i="51"/>
  <c r="AF169" i="51"/>
  <c r="AF172" i="51"/>
  <c r="AF174" i="51"/>
  <c r="AF178" i="51"/>
  <c r="AF184" i="51"/>
  <c r="AF189" i="51"/>
  <c r="AF192" i="51"/>
  <c r="AF197" i="51"/>
  <c r="AF201" i="51"/>
  <c r="AF205" i="51"/>
  <c r="AF211" i="51"/>
  <c r="AF214" i="51"/>
  <c r="AF217" i="51"/>
  <c r="AF221" i="51"/>
  <c r="AF226" i="51"/>
  <c r="AF229" i="51"/>
  <c r="AF234" i="51"/>
  <c r="AF236" i="51"/>
  <c r="AF238" i="51"/>
  <c r="AF241" i="51"/>
  <c r="AF245" i="51"/>
  <c r="AF247" i="51"/>
  <c r="AF251" i="51"/>
  <c r="AF254" i="51"/>
  <c r="AF258" i="51"/>
  <c r="AF257" i="51" s="1"/>
  <c r="AF263" i="51"/>
  <c r="AF266" i="51"/>
  <c r="AF269" i="51"/>
  <c r="AF271" i="51"/>
  <c r="AF275" i="51"/>
  <c r="AF279" i="51"/>
  <c r="AF282" i="51"/>
  <c r="AF285" i="51"/>
  <c r="AF288" i="51"/>
  <c r="AF290" i="51"/>
  <c r="AF292" i="51"/>
  <c r="AF295" i="51"/>
  <c r="AF294" i="51" s="1"/>
  <c r="AF301" i="51"/>
  <c r="AF304" i="51"/>
  <c r="AF306" i="51"/>
  <c r="AF308" i="51"/>
  <c r="AF313" i="51"/>
  <c r="AF317" i="51"/>
  <c r="AF320" i="51"/>
  <c r="AF319" i="51" s="1"/>
  <c r="AF37" i="51"/>
  <c r="AF42" i="51"/>
  <c r="AF49" i="51"/>
  <c r="AF54" i="51"/>
  <c r="AF58" i="51"/>
  <c r="AF64" i="51"/>
  <c r="AF69" i="51"/>
  <c r="AF74" i="51"/>
  <c r="AF77" i="51"/>
  <c r="AF79" i="51"/>
  <c r="AF82" i="51"/>
  <c r="AF86" i="51"/>
  <c r="AF15" i="51"/>
  <c r="AF12" i="51" s="1"/>
  <c r="AF19" i="51"/>
  <c r="AF27" i="51"/>
  <c r="AG368" i="51"/>
  <c r="AG369" i="51"/>
  <c r="AG371" i="51"/>
  <c r="AG372" i="51"/>
  <c r="AG375" i="51"/>
  <c r="AG376" i="51"/>
  <c r="AG377" i="51"/>
  <c r="AG378" i="51"/>
  <c r="AG379" i="51"/>
  <c r="AG380" i="51"/>
  <c r="AG385" i="51"/>
  <c r="AG386" i="51"/>
  <c r="AG387" i="51"/>
  <c r="AG388" i="51"/>
  <c r="AG389" i="51"/>
  <c r="AG390" i="51"/>
  <c r="AG391" i="51"/>
  <c r="AG392" i="51"/>
  <c r="AG393" i="51"/>
  <c r="AG394" i="51"/>
  <c r="AG395" i="51"/>
  <c r="AG396" i="51"/>
  <c r="AG397" i="51"/>
  <c r="AG398" i="51"/>
  <c r="AG399" i="51"/>
  <c r="AG400" i="51"/>
  <c r="AG401" i="51"/>
  <c r="AG402" i="51"/>
  <c r="AG403" i="51"/>
  <c r="AG405" i="51"/>
  <c r="AG406" i="51"/>
  <c r="AG407" i="51"/>
  <c r="AG408" i="51"/>
  <c r="AG409" i="51"/>
  <c r="AG411" i="51"/>
  <c r="AG412" i="51"/>
  <c r="AG413" i="51"/>
  <c r="AG414" i="51"/>
  <c r="AG415" i="51"/>
  <c r="AG416" i="51"/>
  <c r="AG417" i="51"/>
  <c r="AG418" i="51"/>
  <c r="AG420" i="51"/>
  <c r="AG326" i="51"/>
  <c r="AG327" i="51"/>
  <c r="AG328" i="51"/>
  <c r="AG329" i="51"/>
  <c r="AG331" i="51"/>
  <c r="AG332" i="51"/>
  <c r="AG333" i="51"/>
  <c r="AG334" i="51"/>
  <c r="AG336" i="51"/>
  <c r="AG337" i="51"/>
  <c r="AG338" i="51"/>
  <c r="AG341" i="51"/>
  <c r="AG342" i="51"/>
  <c r="AG343" i="51"/>
  <c r="AG344" i="51"/>
  <c r="AG345" i="51"/>
  <c r="AG347" i="51"/>
  <c r="AG348" i="51"/>
  <c r="AG355" i="51"/>
  <c r="AG358" i="51"/>
  <c r="AG361" i="51"/>
  <c r="AG362" i="51"/>
  <c r="AG98" i="51"/>
  <c r="AG99" i="51"/>
  <c r="AG100" i="51"/>
  <c r="AG102" i="51"/>
  <c r="AG103" i="51"/>
  <c r="AG104" i="51"/>
  <c r="AG105" i="51"/>
  <c r="AG106" i="51"/>
  <c r="AG107" i="51"/>
  <c r="AG109" i="51"/>
  <c r="AG112" i="51"/>
  <c r="AG113" i="51"/>
  <c r="AG114" i="51"/>
  <c r="AG115" i="51"/>
  <c r="AG116" i="51"/>
  <c r="AG117" i="51"/>
  <c r="AG118" i="51"/>
  <c r="AG119" i="51"/>
  <c r="AG121" i="51"/>
  <c r="AG122" i="51"/>
  <c r="AG123" i="51"/>
  <c r="AG124" i="51"/>
  <c r="AG125" i="51"/>
  <c r="AG126" i="51"/>
  <c r="AG127" i="51"/>
  <c r="AG128" i="51"/>
  <c r="AG129" i="51"/>
  <c r="AG130" i="51"/>
  <c r="AG132" i="51"/>
  <c r="AG133" i="51"/>
  <c r="AG134" i="51"/>
  <c r="AG135" i="51"/>
  <c r="AG137" i="51"/>
  <c r="AG140" i="51"/>
  <c r="AG141" i="51"/>
  <c r="AG142" i="51"/>
  <c r="AG143" i="51"/>
  <c r="AG144" i="51"/>
  <c r="AG146" i="51"/>
  <c r="AG147" i="51"/>
  <c r="AG148" i="51"/>
  <c r="AG149" i="51"/>
  <c r="AG150" i="51"/>
  <c r="AG153" i="51"/>
  <c r="AG154" i="51"/>
  <c r="AG156" i="51"/>
  <c r="AG155" i="51" s="1"/>
  <c r="AG158" i="51"/>
  <c r="AG160" i="51"/>
  <c r="AG161" i="51"/>
  <c r="AG165" i="51"/>
  <c r="AG166" i="51"/>
  <c r="AG168" i="51"/>
  <c r="AG170" i="51"/>
  <c r="AG169" i="51" s="1"/>
  <c r="AG173" i="51"/>
  <c r="AG172" i="51" s="1"/>
  <c r="AG175" i="51"/>
  <c r="AG176" i="51"/>
  <c r="AG179" i="51"/>
  <c r="AG180" i="51"/>
  <c r="AG181" i="51"/>
  <c r="AG182" i="51"/>
  <c r="AG183" i="51"/>
  <c r="AG185" i="51"/>
  <c r="AG186" i="51"/>
  <c r="AG187" i="51"/>
  <c r="AG190" i="51"/>
  <c r="AG191" i="51"/>
  <c r="AG193" i="51"/>
  <c r="AG194" i="51"/>
  <c r="AG195" i="51"/>
  <c r="AG196" i="51"/>
  <c r="AG198" i="51"/>
  <c r="AG199" i="51"/>
  <c r="AG203" i="51"/>
  <c r="AG204" i="51"/>
  <c r="AG206" i="51"/>
  <c r="AG207" i="51"/>
  <c r="AG209" i="51"/>
  <c r="AG210" i="51"/>
  <c r="AG212" i="51"/>
  <c r="AG213" i="51"/>
  <c r="AG216" i="51"/>
  <c r="AG218" i="51"/>
  <c r="AG219" i="51"/>
  <c r="AG220" i="51"/>
  <c r="AG222" i="51"/>
  <c r="AG223" i="51"/>
  <c r="AG225" i="51"/>
  <c r="AG227" i="51"/>
  <c r="AG228" i="51"/>
  <c r="AG230" i="51"/>
  <c r="AG231" i="51"/>
  <c r="AG232" i="51"/>
  <c r="AG235" i="51"/>
  <c r="AG234" i="51" s="1"/>
  <c r="AG237" i="51"/>
  <c r="AG236" i="51" s="1"/>
  <c r="AG239" i="51"/>
  <c r="AG238" i="51" s="1"/>
  <c r="U239" i="51" s="1"/>
  <c r="AG242" i="51"/>
  <c r="AG244" i="51"/>
  <c r="AG246" i="51"/>
  <c r="AG245" i="51" s="1"/>
  <c r="AG248" i="51"/>
  <c r="AG249" i="51"/>
  <c r="AG250" i="51"/>
  <c r="AG252" i="51"/>
  <c r="AG253" i="51"/>
  <c r="AG256" i="51"/>
  <c r="AG259" i="51"/>
  <c r="AG260" i="51"/>
  <c r="AG261" i="51"/>
  <c r="AG264" i="51"/>
  <c r="AG265" i="51"/>
  <c r="AG267" i="51"/>
  <c r="AG266" i="51" s="1"/>
  <c r="U270" i="51" s="1"/>
  <c r="AG273" i="51"/>
  <c r="AG274" i="51"/>
  <c r="AG276" i="51"/>
  <c r="AG278" i="51"/>
  <c r="AG283" i="51"/>
  <c r="AG284" i="51"/>
  <c r="AG286" i="51"/>
  <c r="AG289" i="51"/>
  <c r="AG288" i="51" s="1"/>
  <c r="AG293" i="51"/>
  <c r="AG292" i="51" s="1"/>
  <c r="AG297" i="51"/>
  <c r="AG298" i="51"/>
  <c r="AG299" i="51"/>
  <c r="AG305" i="51"/>
  <c r="AG304" i="51" s="1"/>
  <c r="AG307" i="51"/>
  <c r="AG306" i="51" s="1"/>
  <c r="AG309" i="51"/>
  <c r="AG310" i="51"/>
  <c r="AG311" i="51"/>
  <c r="AG314" i="51"/>
  <c r="AG315" i="51"/>
  <c r="AG316" i="51"/>
  <c r="AG318" i="51"/>
  <c r="AG317" i="51" s="1"/>
  <c r="AG321" i="51"/>
  <c r="AG320" i="51" s="1"/>
  <c r="AG319" i="51" s="1"/>
  <c r="AG38" i="51"/>
  <c r="AG39" i="51"/>
  <c r="AG40" i="51"/>
  <c r="AG41" i="51"/>
  <c r="AG43" i="51"/>
  <c r="AG44" i="51"/>
  <c r="AG45" i="51"/>
  <c r="AG46" i="51"/>
  <c r="AG47" i="51"/>
  <c r="AG48" i="51"/>
  <c r="AG51" i="51"/>
  <c r="AG52" i="51"/>
  <c r="AG53" i="51"/>
  <c r="AG55" i="51"/>
  <c r="AG56" i="51"/>
  <c r="AG57" i="51"/>
  <c r="AG59" i="51"/>
  <c r="AG60" i="51"/>
  <c r="AG61" i="51"/>
  <c r="AG62" i="51"/>
  <c r="AG63" i="51"/>
  <c r="AG65" i="51"/>
  <c r="AG66" i="51"/>
  <c r="AG67" i="51"/>
  <c r="AG68" i="51"/>
  <c r="AG70" i="51"/>
  <c r="AG71" i="51"/>
  <c r="AG72" i="51"/>
  <c r="AG75" i="51"/>
  <c r="AG76" i="51"/>
  <c r="AG78" i="51"/>
  <c r="AG77" i="51" s="1"/>
  <c r="AG80" i="51"/>
  <c r="AG79" i="51" s="1"/>
  <c r="AG84" i="51"/>
  <c r="AG85" i="51"/>
  <c r="AG87" i="51"/>
  <c r="AG88" i="51"/>
  <c r="AG89" i="51"/>
  <c r="AG90" i="51"/>
  <c r="AG91" i="51"/>
  <c r="AG92" i="51"/>
  <c r="AG94" i="51"/>
  <c r="AG13" i="51"/>
  <c r="AG14" i="51"/>
  <c r="AG16" i="51"/>
  <c r="AG17" i="51"/>
  <c r="AG18" i="51"/>
  <c r="AG20" i="51"/>
  <c r="AG21" i="51"/>
  <c r="AG22" i="51"/>
  <c r="AG23" i="51"/>
  <c r="AG24" i="51"/>
  <c r="AG25" i="51"/>
  <c r="AG26" i="51"/>
  <c r="AG28" i="51"/>
  <c r="AG30" i="51"/>
  <c r="AG31" i="51"/>
  <c r="AG32" i="51"/>
  <c r="AG34" i="51"/>
  <c r="AH365" i="51"/>
  <c r="AH370" i="51"/>
  <c r="AH374" i="51"/>
  <c r="AH381" i="51"/>
  <c r="AH384" i="51"/>
  <c r="AH404" i="51"/>
  <c r="AH410" i="51"/>
  <c r="AH324" i="51"/>
  <c r="AH330" i="51"/>
  <c r="AH335" i="51"/>
  <c r="AH340" i="51"/>
  <c r="AH346" i="51"/>
  <c r="AH350" i="51"/>
  <c r="AH354" i="51"/>
  <c r="AH360" i="51"/>
  <c r="AH97" i="51"/>
  <c r="AH101" i="51"/>
  <c r="AH108" i="51"/>
  <c r="AH111" i="51"/>
  <c r="AH120" i="51"/>
  <c r="AH131" i="51"/>
  <c r="AH136" i="51"/>
  <c r="AH139" i="51"/>
  <c r="AH145" i="51"/>
  <c r="AH152" i="51"/>
  <c r="AH155" i="51"/>
  <c r="AH157" i="51"/>
  <c r="AH159" i="51"/>
  <c r="AH163" i="51"/>
  <c r="AH167" i="51"/>
  <c r="AH169" i="51"/>
  <c r="AH172" i="51"/>
  <c r="AH174" i="51"/>
  <c r="AH178" i="51"/>
  <c r="AH184" i="51"/>
  <c r="AH189" i="51"/>
  <c r="AH192" i="51"/>
  <c r="AH197" i="51"/>
  <c r="AH201" i="51"/>
  <c r="AH205" i="51"/>
  <c r="AH211" i="51"/>
  <c r="AH214" i="51"/>
  <c r="AH217" i="51"/>
  <c r="AH221" i="51"/>
  <c r="AH226" i="51"/>
  <c r="AH229" i="51"/>
  <c r="AH234" i="51"/>
  <c r="AH236" i="51"/>
  <c r="AH238" i="51"/>
  <c r="AH241" i="51"/>
  <c r="AH245" i="51"/>
  <c r="AH247" i="51"/>
  <c r="AH251" i="51"/>
  <c r="AH254" i="51"/>
  <c r="AH258" i="51"/>
  <c r="AH257" i="51" s="1"/>
  <c r="AH263" i="51"/>
  <c r="AH266" i="51"/>
  <c r="AH269" i="51"/>
  <c r="AH271" i="51"/>
  <c r="AH275" i="51"/>
  <c r="AH279" i="51"/>
  <c r="AH282" i="51"/>
  <c r="AH285" i="51"/>
  <c r="AH288" i="51"/>
  <c r="AH290" i="51"/>
  <c r="AH292" i="51"/>
  <c r="AH295" i="51"/>
  <c r="AH294" i="51" s="1"/>
  <c r="AH301" i="51"/>
  <c r="AH304" i="51"/>
  <c r="AH306" i="51"/>
  <c r="AH308" i="51"/>
  <c r="AH313" i="51"/>
  <c r="AH317" i="51"/>
  <c r="AH320" i="51"/>
  <c r="AH319" i="51" s="1"/>
  <c r="AH37" i="51"/>
  <c r="AH42" i="51"/>
  <c r="AH49" i="51"/>
  <c r="AH54" i="51"/>
  <c r="AH58" i="51"/>
  <c r="AH64" i="51"/>
  <c r="AH69" i="51"/>
  <c r="AH74" i="51"/>
  <c r="AH77" i="51"/>
  <c r="AH79" i="51"/>
  <c r="AH82" i="51"/>
  <c r="AH86" i="51"/>
  <c r="AH12" i="51"/>
  <c r="AH19" i="51"/>
  <c r="AH27" i="51"/>
  <c r="AI365" i="51"/>
  <c r="AI370" i="51"/>
  <c r="AI374" i="51"/>
  <c r="AI381" i="51"/>
  <c r="AI384" i="51"/>
  <c r="AI404" i="51"/>
  <c r="AI410" i="51"/>
  <c r="AI324" i="51"/>
  <c r="AI333" i="51"/>
  <c r="AQ333" i="51" s="1"/>
  <c r="AI335" i="51"/>
  <c r="AI340" i="51"/>
  <c r="AI346" i="51"/>
  <c r="AI350" i="51"/>
  <c r="AI354" i="51"/>
  <c r="AI360" i="51"/>
  <c r="AI97" i="51"/>
  <c r="AI101" i="51"/>
  <c r="AI108" i="51"/>
  <c r="AI111" i="51"/>
  <c r="AI120" i="51"/>
  <c r="AI131" i="51"/>
  <c r="AI136" i="51"/>
  <c r="AI139" i="51"/>
  <c r="AI145" i="51"/>
  <c r="AI152" i="51"/>
  <c r="AI155" i="51"/>
  <c r="AI157" i="51"/>
  <c r="AI159" i="51"/>
  <c r="AI163" i="51"/>
  <c r="AI167" i="51"/>
  <c r="AI169" i="51"/>
  <c r="AI172" i="51"/>
  <c r="AI174" i="51"/>
  <c r="AI178" i="51"/>
  <c r="AI184" i="51"/>
  <c r="AI189" i="51"/>
  <c r="AI192" i="51"/>
  <c r="AI197" i="51"/>
  <c r="AI201" i="51"/>
  <c r="AI205" i="51"/>
  <c r="AI211" i="51"/>
  <c r="AI214" i="51"/>
  <c r="AI217" i="51"/>
  <c r="AI221" i="51"/>
  <c r="AI226" i="51"/>
  <c r="AI229" i="51"/>
  <c r="AI234" i="51"/>
  <c r="AI236" i="51"/>
  <c r="AI238" i="51"/>
  <c r="AI241" i="51"/>
  <c r="AI245" i="51"/>
  <c r="AI247" i="51"/>
  <c r="AI251" i="51"/>
  <c r="AI254" i="51"/>
  <c r="AI258" i="51"/>
  <c r="AI257" i="51" s="1"/>
  <c r="AI263" i="51"/>
  <c r="AI266" i="51"/>
  <c r="AI269" i="51"/>
  <c r="AI271" i="51"/>
  <c r="AI275" i="51"/>
  <c r="AI279" i="51"/>
  <c r="AI282" i="51"/>
  <c r="AI285" i="51"/>
  <c r="AI288" i="51"/>
  <c r="AI290" i="51"/>
  <c r="AI292" i="51"/>
  <c r="AI298" i="51"/>
  <c r="AQ298" i="51" s="1"/>
  <c r="AI299" i="51"/>
  <c r="AQ299" i="51" s="1"/>
  <c r="AI302" i="51"/>
  <c r="AI303" i="51"/>
  <c r="AI304" i="51"/>
  <c r="AI306" i="51"/>
  <c r="AI308" i="51"/>
  <c r="AI313" i="51"/>
  <c r="AI317" i="51"/>
  <c r="AI320" i="51"/>
  <c r="AI319" i="51" s="1"/>
  <c r="AI37" i="51"/>
  <c r="AI42" i="51"/>
  <c r="AI49" i="51"/>
  <c r="AI54" i="51"/>
  <c r="AI58" i="51"/>
  <c r="AI64" i="51"/>
  <c r="AI69" i="51"/>
  <c r="AI74" i="51"/>
  <c r="AI77" i="51"/>
  <c r="AI79" i="51"/>
  <c r="AI82" i="51"/>
  <c r="AI93" i="51"/>
  <c r="AQ93" i="51" s="1"/>
  <c r="AI12" i="51"/>
  <c r="AI19" i="51"/>
  <c r="AI27" i="51"/>
  <c r="AJ365" i="51"/>
  <c r="AJ370" i="51"/>
  <c r="AJ374" i="51"/>
  <c r="AJ381" i="51"/>
  <c r="AJ384" i="51"/>
  <c r="AJ404" i="51"/>
  <c r="AJ410" i="51"/>
  <c r="AJ324" i="51"/>
  <c r="AJ330" i="51"/>
  <c r="AJ335" i="51"/>
  <c r="AJ340" i="51"/>
  <c r="AJ346" i="51"/>
  <c r="AJ350" i="51"/>
  <c r="AJ354" i="51"/>
  <c r="AJ360" i="51"/>
  <c r="AJ97" i="51"/>
  <c r="AJ101" i="51"/>
  <c r="AJ108" i="51"/>
  <c r="AJ111" i="51"/>
  <c r="AJ120" i="51"/>
  <c r="AJ134" i="51"/>
  <c r="AJ131" i="51" s="1"/>
  <c r="AJ136" i="51"/>
  <c r="AJ139" i="51"/>
  <c r="AJ145" i="51"/>
  <c r="AJ152" i="51"/>
  <c r="AJ155" i="51"/>
  <c r="AJ157" i="51"/>
  <c r="AJ159" i="51"/>
  <c r="AJ164" i="51"/>
  <c r="AJ163" i="51" s="1"/>
  <c r="AJ167" i="51"/>
  <c r="AJ169" i="51"/>
  <c r="AJ172" i="51"/>
  <c r="AJ174" i="51"/>
  <c r="AJ178" i="51"/>
  <c r="AJ184" i="51"/>
  <c r="AJ189" i="51"/>
  <c r="AJ192" i="51"/>
  <c r="AJ197" i="51"/>
  <c r="AJ201" i="51"/>
  <c r="AJ205" i="51"/>
  <c r="AJ211" i="51"/>
  <c r="AJ214" i="51"/>
  <c r="AJ219" i="51"/>
  <c r="AJ221" i="51"/>
  <c r="AJ226" i="51"/>
  <c r="AJ229" i="51"/>
  <c r="AJ234" i="51"/>
  <c r="AJ236" i="51"/>
  <c r="AJ238" i="51"/>
  <c r="AJ241" i="51"/>
  <c r="AJ245" i="51"/>
  <c r="AJ247" i="51"/>
  <c r="AJ251" i="51"/>
  <c r="AJ254" i="51"/>
  <c r="AJ258" i="51"/>
  <c r="AJ257" i="51" s="1"/>
  <c r="AJ263" i="51"/>
  <c r="AJ266" i="51"/>
  <c r="AJ269" i="51"/>
  <c r="AJ271" i="51"/>
  <c r="AJ275" i="51"/>
  <c r="AJ279" i="51"/>
  <c r="AJ282" i="51"/>
  <c r="AJ285" i="51"/>
  <c r="AJ288" i="51"/>
  <c r="AJ290" i="51"/>
  <c r="AJ292" i="51"/>
  <c r="AJ295" i="51"/>
  <c r="AJ294" i="51" s="1"/>
  <c r="AJ302" i="51"/>
  <c r="AJ303" i="51"/>
  <c r="AJ304" i="51"/>
  <c r="AJ306" i="51"/>
  <c r="AJ308" i="51"/>
  <c r="AJ313" i="51"/>
  <c r="AJ317" i="51"/>
  <c r="AJ320" i="51"/>
  <c r="AJ319" i="51" s="1"/>
  <c r="AJ37" i="51"/>
  <c r="AJ42" i="51"/>
  <c r="AJ49" i="51"/>
  <c r="AJ54" i="51"/>
  <c r="AJ58" i="51"/>
  <c r="AJ64" i="51"/>
  <c r="AJ69" i="51"/>
  <c r="AJ74" i="51"/>
  <c r="AJ77" i="51"/>
  <c r="AJ79" i="51"/>
  <c r="AJ82" i="51"/>
  <c r="AJ86" i="51"/>
  <c r="AJ12" i="51"/>
  <c r="AJ19" i="51"/>
  <c r="AJ27" i="51"/>
  <c r="AK365" i="51"/>
  <c r="AK370" i="51"/>
  <c r="AK374" i="51"/>
  <c r="AK381" i="51"/>
  <c r="AK384" i="51"/>
  <c r="AK404" i="51"/>
  <c r="AK410" i="51"/>
  <c r="AK324" i="51"/>
  <c r="AK330" i="51"/>
  <c r="AK335" i="51"/>
  <c r="AK340" i="51"/>
  <c r="AK346" i="51"/>
  <c r="AK350" i="51"/>
  <c r="AK354" i="51"/>
  <c r="AK360" i="51"/>
  <c r="AK97" i="51"/>
  <c r="AK101" i="51"/>
  <c r="AK108" i="51"/>
  <c r="AK111" i="51"/>
  <c r="AK120" i="51"/>
  <c r="AK131" i="51"/>
  <c r="AK136" i="51"/>
  <c r="AK139" i="51"/>
  <c r="AK145" i="51"/>
  <c r="AK152" i="51"/>
  <c r="AK155" i="51"/>
  <c r="AK157" i="51"/>
  <c r="AK159" i="51"/>
  <c r="AK163" i="51"/>
  <c r="AK167" i="51"/>
  <c r="AK169" i="51"/>
  <c r="AK172" i="51"/>
  <c r="AK174" i="51"/>
  <c r="AK178" i="51"/>
  <c r="AK184" i="51"/>
  <c r="AK189" i="51"/>
  <c r="AK192" i="51"/>
  <c r="AK197" i="51"/>
  <c r="AK201" i="51"/>
  <c r="AK205" i="51"/>
  <c r="AK211" i="51"/>
  <c r="AK214" i="51"/>
  <c r="AK217" i="51"/>
  <c r="AK221" i="51"/>
  <c r="AK226" i="51"/>
  <c r="AK229" i="51"/>
  <c r="AK234" i="51"/>
  <c r="AK236" i="51"/>
  <c r="AK238" i="51"/>
  <c r="AK241" i="51"/>
  <c r="AK245" i="51"/>
  <c r="AK247" i="51"/>
  <c r="AK251" i="51"/>
  <c r="AK254" i="51"/>
  <c r="AK258" i="51"/>
  <c r="AK257" i="51" s="1"/>
  <c r="AK263" i="51"/>
  <c r="AK266" i="51"/>
  <c r="AK269" i="51"/>
  <c r="AK271" i="51"/>
  <c r="AK275" i="51"/>
  <c r="AK279" i="51"/>
  <c r="AK282" i="51"/>
  <c r="AK285" i="51"/>
  <c r="AK288" i="51"/>
  <c r="AK290" i="51"/>
  <c r="AK292" i="51"/>
  <c r="AK295" i="51"/>
  <c r="AK294" i="51" s="1"/>
  <c r="AK301" i="51"/>
  <c r="AK304" i="51"/>
  <c r="AK306" i="51"/>
  <c r="AK308" i="51"/>
  <c r="AK313" i="51"/>
  <c r="AK317" i="51"/>
  <c r="AK320" i="51"/>
  <c r="AK319" i="51" s="1"/>
  <c r="AK37" i="51"/>
  <c r="AK42" i="51"/>
  <c r="AK49" i="51"/>
  <c r="AK54" i="51"/>
  <c r="AK58" i="51"/>
  <c r="AK64" i="51"/>
  <c r="AK69" i="51"/>
  <c r="AK74" i="51"/>
  <c r="AK77" i="51"/>
  <c r="AK79" i="51"/>
  <c r="AK82" i="51"/>
  <c r="AK86" i="51"/>
  <c r="AK12" i="51"/>
  <c r="AK19" i="51"/>
  <c r="AK27" i="51"/>
  <c r="AL365" i="51"/>
  <c r="AL370" i="51"/>
  <c r="AL374" i="51"/>
  <c r="AL381" i="51"/>
  <c r="AL384" i="51"/>
  <c r="AL404" i="51"/>
  <c r="AL410" i="51"/>
  <c r="AL324" i="51"/>
  <c r="AL330" i="51"/>
  <c r="AL335" i="51"/>
  <c r="AL340" i="51"/>
  <c r="AL346" i="51"/>
  <c r="AL350" i="51"/>
  <c r="AL354" i="51"/>
  <c r="AL360" i="51"/>
  <c r="AL97" i="51"/>
  <c r="AL101" i="51"/>
  <c r="AL108" i="51"/>
  <c r="AL111" i="51"/>
  <c r="AL120" i="51"/>
  <c r="AL131" i="51"/>
  <c r="AL136" i="51"/>
  <c r="AL139" i="51"/>
  <c r="AL145" i="51"/>
  <c r="AL152" i="51"/>
  <c r="AL155" i="51"/>
  <c r="AL157" i="51"/>
  <c r="AL159" i="51"/>
  <c r="AL163" i="51"/>
  <c r="AL167" i="51"/>
  <c r="AL169" i="51"/>
  <c r="AL172" i="51"/>
  <c r="AL174" i="51"/>
  <c r="AL178" i="51"/>
  <c r="AL184" i="51"/>
  <c r="AL189" i="51"/>
  <c r="AL192" i="51"/>
  <c r="AL197" i="51"/>
  <c r="AL201" i="51"/>
  <c r="AL205" i="51"/>
  <c r="AL211" i="51"/>
  <c r="AL214" i="51"/>
  <c r="AL217" i="51"/>
  <c r="AL221" i="51"/>
  <c r="AL226" i="51"/>
  <c r="AL229" i="51"/>
  <c r="AL234" i="51"/>
  <c r="AL236" i="51"/>
  <c r="AL238" i="51"/>
  <c r="AL241" i="51"/>
  <c r="AL245" i="51"/>
  <c r="AL247" i="51"/>
  <c r="AL251" i="51"/>
  <c r="AL254" i="51"/>
  <c r="AL258" i="51"/>
  <c r="AL257" i="51" s="1"/>
  <c r="AL263" i="51"/>
  <c r="AL266" i="51"/>
  <c r="AL269" i="51"/>
  <c r="AL271" i="51"/>
  <c r="AL275" i="51"/>
  <c r="AL279" i="51"/>
  <c r="AL282" i="51"/>
  <c r="AL285" i="51"/>
  <c r="AL288" i="51"/>
  <c r="AL290" i="51"/>
  <c r="AL292" i="51"/>
  <c r="AL295" i="51"/>
  <c r="AL294" i="51" s="1"/>
  <c r="AL301" i="51"/>
  <c r="AL304" i="51"/>
  <c r="AL306" i="51"/>
  <c r="AL308" i="51"/>
  <c r="AL313" i="51"/>
  <c r="AL317" i="51"/>
  <c r="AL320" i="51"/>
  <c r="AL319" i="51" s="1"/>
  <c r="AL37" i="51"/>
  <c r="AL42" i="51"/>
  <c r="AL49" i="51"/>
  <c r="AL54" i="51"/>
  <c r="AL58" i="51"/>
  <c r="AL64" i="51"/>
  <c r="AL69" i="51"/>
  <c r="AL74" i="51"/>
  <c r="AL77" i="51"/>
  <c r="AL79" i="51"/>
  <c r="AL82" i="51"/>
  <c r="AL86" i="51"/>
  <c r="AL12" i="51"/>
  <c r="AL19" i="51"/>
  <c r="AL27" i="51"/>
  <c r="AM365" i="51"/>
  <c r="AM370" i="51"/>
  <c r="AM374" i="51"/>
  <c r="AM381" i="51"/>
  <c r="AM384" i="51"/>
  <c r="AM404" i="51"/>
  <c r="AM410" i="51"/>
  <c r="AM324" i="51"/>
  <c r="AM330" i="51"/>
  <c r="AM335" i="51"/>
  <c r="AM340" i="51"/>
  <c r="AM346" i="51"/>
  <c r="AM350" i="51"/>
  <c r="AM354" i="51"/>
  <c r="AM360" i="51"/>
  <c r="AM97" i="51"/>
  <c r="AM101" i="51"/>
  <c r="AM108" i="51"/>
  <c r="AM111" i="51"/>
  <c r="AM120" i="51"/>
  <c r="AM131" i="51"/>
  <c r="AM136" i="51"/>
  <c r="AM139" i="51"/>
  <c r="AM145" i="51"/>
  <c r="AM152" i="51"/>
  <c r="AM155" i="51"/>
  <c r="AM157" i="51"/>
  <c r="AM159" i="51"/>
  <c r="AM163" i="51"/>
  <c r="AM167" i="51"/>
  <c r="AM169" i="51"/>
  <c r="AM172" i="51"/>
  <c r="AM174" i="51"/>
  <c r="AM178" i="51"/>
  <c r="AM184" i="51"/>
  <c r="AM189" i="51"/>
  <c r="AM192" i="51"/>
  <c r="AM197" i="51"/>
  <c r="AM201" i="51"/>
  <c r="AM205" i="51"/>
  <c r="AM211" i="51"/>
  <c r="AM214" i="51"/>
  <c r="AM217" i="51"/>
  <c r="AM221" i="51"/>
  <c r="AM226" i="51"/>
  <c r="AM229" i="51"/>
  <c r="AM234" i="51"/>
  <c r="AM236" i="51"/>
  <c r="AM238" i="51"/>
  <c r="AM241" i="51"/>
  <c r="AM245" i="51"/>
  <c r="AM247" i="51"/>
  <c r="AM251" i="51"/>
  <c r="AM254" i="51"/>
  <c r="AM258" i="51"/>
  <c r="AM257" i="51" s="1"/>
  <c r="AM263" i="51"/>
  <c r="AM266" i="51"/>
  <c r="AM269" i="51"/>
  <c r="AM271" i="51"/>
  <c r="AM275" i="51"/>
  <c r="AM279" i="51"/>
  <c r="AM282" i="51"/>
  <c r="AM285" i="51"/>
  <c r="AM288" i="51"/>
  <c r="AM290" i="51"/>
  <c r="AM292" i="51"/>
  <c r="AM295" i="51"/>
  <c r="AM294" i="51" s="1"/>
  <c r="AM301" i="51"/>
  <c r="AM304" i="51"/>
  <c r="AM306" i="51"/>
  <c r="AM308" i="51"/>
  <c r="AM313" i="51"/>
  <c r="AM317" i="51"/>
  <c r="AM320" i="51"/>
  <c r="AM319" i="51" s="1"/>
  <c r="AM37" i="51"/>
  <c r="AM42" i="51"/>
  <c r="AM49" i="51"/>
  <c r="AM54" i="51"/>
  <c r="AM58" i="51"/>
  <c r="AM64" i="51"/>
  <c r="AM69" i="51"/>
  <c r="AM74" i="51"/>
  <c r="AM77" i="51"/>
  <c r="AM79" i="51"/>
  <c r="AM82" i="51"/>
  <c r="AM86" i="51"/>
  <c r="AM12" i="51"/>
  <c r="AM22" i="51"/>
  <c r="AQ22" i="51" s="1"/>
  <c r="AM23" i="51"/>
  <c r="AQ23" i="51" s="1"/>
  <c r="AM27" i="51"/>
  <c r="AN365" i="51"/>
  <c r="AN370" i="51"/>
  <c r="AN374" i="51"/>
  <c r="AN381" i="51"/>
  <c r="AN384" i="51"/>
  <c r="AN404" i="51"/>
  <c r="AN410" i="51"/>
  <c r="AN324" i="51"/>
  <c r="AN330" i="51"/>
  <c r="AN335" i="51"/>
  <c r="AN340" i="51"/>
  <c r="AN346" i="51"/>
  <c r="AN350" i="51"/>
  <c r="AN354" i="51"/>
  <c r="AN360" i="51"/>
  <c r="AN97" i="51"/>
  <c r="AN101" i="51"/>
  <c r="AN108" i="51"/>
  <c r="AN111" i="51"/>
  <c r="AN120" i="51"/>
  <c r="AN131" i="51"/>
  <c r="AN136" i="51"/>
  <c r="AN139" i="51"/>
  <c r="AN150" i="51"/>
  <c r="AN145" i="51" s="1"/>
  <c r="AN152" i="51"/>
  <c r="AN155" i="51"/>
  <c r="AN157" i="51"/>
  <c r="AN160" i="51"/>
  <c r="AN159" i="51" s="1"/>
  <c r="AN163" i="51"/>
  <c r="AN167" i="51"/>
  <c r="AN169" i="51"/>
  <c r="AN172" i="51"/>
  <c r="AN174" i="51"/>
  <c r="AN178" i="51"/>
  <c r="AN184" i="51"/>
  <c r="AN189" i="51"/>
  <c r="AN192" i="51"/>
  <c r="AN197" i="51"/>
  <c r="AN201" i="51"/>
  <c r="AN205" i="51"/>
  <c r="AN211" i="51"/>
  <c r="AN214" i="51"/>
  <c r="AN217" i="51"/>
  <c r="AN221" i="51"/>
  <c r="AN226" i="51"/>
  <c r="AN229" i="51"/>
  <c r="AN234" i="51"/>
  <c r="AN236" i="51"/>
  <c r="AN238" i="51"/>
  <c r="AN241" i="51"/>
  <c r="AN245" i="51"/>
  <c r="AN247" i="51"/>
  <c r="AN251" i="51"/>
  <c r="AN254" i="51"/>
  <c r="AN258" i="51"/>
  <c r="AN257" i="51" s="1"/>
  <c r="AN263" i="51"/>
  <c r="AN266" i="51"/>
  <c r="AN269" i="51"/>
  <c r="AN271" i="51"/>
  <c r="AN275" i="51"/>
  <c r="AN279" i="51"/>
  <c r="AN282" i="51"/>
  <c r="AN285" i="51"/>
  <c r="AN288" i="51"/>
  <c r="AN290" i="51"/>
  <c r="AN292" i="51"/>
  <c r="AN295" i="51"/>
  <c r="AN294" i="51" s="1"/>
  <c r="AN301" i="51"/>
  <c r="AN304" i="51"/>
  <c r="AN306" i="51"/>
  <c r="AN308" i="51"/>
  <c r="AN313" i="51"/>
  <c r="AN317" i="51"/>
  <c r="AN320" i="51"/>
  <c r="AN319" i="51" s="1"/>
  <c r="AN37" i="51"/>
  <c r="AN42" i="51"/>
  <c r="AN49" i="51"/>
  <c r="AN54" i="51"/>
  <c r="AN58" i="51"/>
  <c r="AN64" i="51"/>
  <c r="AN69" i="51"/>
  <c r="AN74" i="51"/>
  <c r="AN77" i="51"/>
  <c r="AN79" i="51"/>
  <c r="AN82" i="51"/>
  <c r="AN86" i="51"/>
  <c r="AN12" i="51"/>
  <c r="AN19" i="51"/>
  <c r="AN27" i="51"/>
  <c r="AO365" i="51"/>
  <c r="AO370" i="51"/>
  <c r="AO374" i="51"/>
  <c r="AO381" i="51"/>
  <c r="AO384" i="51"/>
  <c r="AO404" i="51"/>
  <c r="AO410" i="51"/>
  <c r="AO324" i="51"/>
  <c r="AO330" i="51"/>
  <c r="AO335" i="51"/>
  <c r="AO340" i="51"/>
  <c r="AO346" i="51"/>
  <c r="AO350" i="51"/>
  <c r="AO354" i="51"/>
  <c r="AO360" i="51"/>
  <c r="AO97" i="51"/>
  <c r="AO101" i="51"/>
  <c r="AO108" i="51"/>
  <c r="AO111" i="51"/>
  <c r="AO120" i="51"/>
  <c r="AO131" i="51"/>
  <c r="AO136" i="51"/>
  <c r="AO139" i="51"/>
  <c r="AO145" i="51"/>
  <c r="AO152" i="51"/>
  <c r="AO155" i="51"/>
  <c r="AO157" i="51"/>
  <c r="AO159" i="51"/>
  <c r="AO163" i="51"/>
  <c r="AO167" i="51"/>
  <c r="AO169" i="51"/>
  <c r="AO172" i="51"/>
  <c r="AO174" i="51"/>
  <c r="AO178" i="51"/>
  <c r="AO184" i="51"/>
  <c r="AO189" i="51"/>
  <c r="AO192" i="51"/>
  <c r="AO197" i="51"/>
  <c r="AO201" i="51"/>
  <c r="AO205" i="51"/>
  <c r="AO211" i="51"/>
  <c r="AO214" i="51"/>
  <c r="AO217" i="51"/>
  <c r="AO221" i="51"/>
  <c r="AO226" i="51"/>
  <c r="AO229" i="51"/>
  <c r="AO234" i="51"/>
  <c r="AO236" i="51"/>
  <c r="AO238" i="51"/>
  <c r="AO241" i="51"/>
  <c r="AO245" i="51"/>
  <c r="AO247" i="51"/>
  <c r="AO251" i="51"/>
  <c r="AO254" i="51"/>
  <c r="AO258" i="51"/>
  <c r="AO257" i="51" s="1"/>
  <c r="AO263" i="51"/>
  <c r="AO266" i="51"/>
  <c r="AO269" i="51"/>
  <c r="AO271" i="51"/>
  <c r="AO275" i="51"/>
  <c r="AO279" i="51"/>
  <c r="AO282" i="51"/>
  <c r="AO285" i="51"/>
  <c r="AO288" i="51"/>
  <c r="AO290" i="51"/>
  <c r="AO292" i="51"/>
  <c r="AO295" i="51"/>
  <c r="AO294" i="51" s="1"/>
  <c r="AO301" i="51"/>
  <c r="AO304" i="51"/>
  <c r="AO306" i="51"/>
  <c r="AO308" i="51"/>
  <c r="AO313" i="51"/>
  <c r="AO317" i="51"/>
  <c r="AO320" i="51"/>
  <c r="AO319" i="51" s="1"/>
  <c r="AO37" i="51"/>
  <c r="AO42" i="51"/>
  <c r="AO49" i="51"/>
  <c r="AO54" i="51"/>
  <c r="AO58" i="51"/>
  <c r="AO64" i="51"/>
  <c r="AO69" i="51"/>
  <c r="AO74" i="51"/>
  <c r="AO77" i="51"/>
  <c r="AO79" i="51"/>
  <c r="AO82" i="51"/>
  <c r="AO86" i="51"/>
  <c r="AO12" i="51"/>
  <c r="AO19" i="51"/>
  <c r="AO27" i="51"/>
  <c r="AP365" i="51"/>
  <c r="AP370" i="51"/>
  <c r="AP374" i="51"/>
  <c r="AP381" i="51"/>
  <c r="AP384" i="51"/>
  <c r="AP404" i="51"/>
  <c r="AP410" i="51"/>
  <c r="AP324" i="51"/>
  <c r="AP330" i="51"/>
  <c r="AP335" i="51"/>
  <c r="AP340" i="51"/>
  <c r="AP346" i="51"/>
  <c r="AP350" i="51"/>
  <c r="AP354" i="51"/>
  <c r="AP360" i="51"/>
  <c r="AP97" i="51"/>
  <c r="AP101" i="51"/>
  <c r="AP108" i="51"/>
  <c r="AP111" i="51"/>
  <c r="AP120" i="51"/>
  <c r="AP131" i="51"/>
  <c r="AP136" i="51"/>
  <c r="AP139" i="51"/>
  <c r="AP145" i="51"/>
  <c r="AP152" i="51"/>
  <c r="AP155" i="51"/>
  <c r="AP157" i="51"/>
  <c r="AP159" i="51"/>
  <c r="AP163" i="51"/>
  <c r="AP167" i="51"/>
  <c r="AP169" i="51"/>
  <c r="AP172" i="51"/>
  <c r="AP174" i="51"/>
  <c r="AP178" i="51"/>
  <c r="AP184" i="51"/>
  <c r="AP189" i="51"/>
  <c r="AP192" i="51"/>
  <c r="AP197" i="51"/>
  <c r="AP201" i="51"/>
  <c r="AP205" i="51"/>
  <c r="AP211" i="51"/>
  <c r="AP214" i="51"/>
  <c r="AP217" i="51"/>
  <c r="AP221" i="51"/>
  <c r="AP226" i="51"/>
  <c r="AP229" i="51"/>
  <c r="AP234" i="51"/>
  <c r="AP236" i="51"/>
  <c r="AP238" i="51"/>
  <c r="AP241" i="51"/>
  <c r="AP245" i="51"/>
  <c r="AP247" i="51"/>
  <c r="AP251" i="51"/>
  <c r="AP254" i="51"/>
  <c r="AP258" i="51"/>
  <c r="AP257" i="51" s="1"/>
  <c r="AP263" i="51"/>
  <c r="AP266" i="51"/>
  <c r="AP269" i="51"/>
  <c r="AP271" i="51"/>
  <c r="AP275" i="51"/>
  <c r="AP279" i="51"/>
  <c r="AP282" i="51"/>
  <c r="AP285" i="51"/>
  <c r="AP288" i="51"/>
  <c r="AP290" i="51"/>
  <c r="AP292" i="51"/>
  <c r="AP295" i="51"/>
  <c r="AP294" i="51" s="1"/>
  <c r="AP301" i="51"/>
  <c r="AP304" i="51"/>
  <c r="AP306" i="51"/>
  <c r="AP308" i="51"/>
  <c r="AP313" i="51"/>
  <c r="AP317" i="51"/>
  <c r="AP320" i="51"/>
  <c r="AP319" i="51" s="1"/>
  <c r="AP37" i="51"/>
  <c r="AP42" i="51"/>
  <c r="AP49" i="51"/>
  <c r="AP54" i="51"/>
  <c r="AP58" i="51"/>
  <c r="AP64" i="51"/>
  <c r="AP69" i="51"/>
  <c r="AP74" i="51"/>
  <c r="AP77" i="51"/>
  <c r="AP79" i="51"/>
  <c r="AP82" i="51"/>
  <c r="AP86" i="51"/>
  <c r="AP12" i="51"/>
  <c r="AP19" i="51"/>
  <c r="AP27" i="51"/>
  <c r="AQ366" i="51"/>
  <c r="AQ367" i="51"/>
  <c r="AQ368" i="51"/>
  <c r="AQ369" i="51"/>
  <c r="AQ371" i="51"/>
  <c r="AQ372" i="51"/>
  <c r="AQ375" i="51"/>
  <c r="AQ376" i="51"/>
  <c r="AQ377" i="51"/>
  <c r="AQ378" i="51"/>
  <c r="AQ379" i="51"/>
  <c r="AQ380" i="51"/>
  <c r="AQ382" i="51"/>
  <c r="AQ381" i="51" s="1"/>
  <c r="AQ385" i="51"/>
  <c r="AQ386" i="51"/>
  <c r="AQ387" i="51"/>
  <c r="AQ388" i="51"/>
  <c r="AQ389" i="51"/>
  <c r="AQ390" i="51"/>
  <c r="AQ391" i="51"/>
  <c r="AQ392" i="51"/>
  <c r="AQ393" i="51"/>
  <c r="AQ394" i="51"/>
  <c r="AQ395" i="51"/>
  <c r="AQ396" i="51"/>
  <c r="AQ397" i="51"/>
  <c r="AQ398" i="51"/>
  <c r="AQ399" i="51"/>
  <c r="AQ400" i="51"/>
  <c r="AQ401" i="51"/>
  <c r="AQ402" i="51"/>
  <c r="AQ403" i="51"/>
  <c r="AQ405" i="51"/>
  <c r="AQ406" i="51"/>
  <c r="AQ407" i="51"/>
  <c r="AQ408" i="51"/>
  <c r="AQ409" i="51"/>
  <c r="AQ411" i="51"/>
  <c r="AQ412" i="51"/>
  <c r="AQ413" i="51"/>
  <c r="AQ414" i="51"/>
  <c r="AQ415" i="51"/>
  <c r="AQ416" i="51"/>
  <c r="AQ417" i="51"/>
  <c r="AQ418" i="51"/>
  <c r="AQ419" i="51"/>
  <c r="AQ420" i="51"/>
  <c r="AQ325" i="51"/>
  <c r="AQ326" i="51"/>
  <c r="AQ327" i="51"/>
  <c r="AQ328" i="51"/>
  <c r="AQ329" i="51"/>
  <c r="AQ331" i="51"/>
  <c r="AQ332" i="51"/>
  <c r="AQ334" i="51"/>
  <c r="AQ336" i="51"/>
  <c r="AQ337" i="51"/>
  <c r="AQ338" i="51"/>
  <c r="AQ341" i="51"/>
  <c r="AQ342" i="51"/>
  <c r="AQ343" i="51"/>
  <c r="AQ344" i="51"/>
  <c r="AQ345" i="51"/>
  <c r="AQ347" i="51"/>
  <c r="AQ348" i="51"/>
  <c r="AQ349" i="51"/>
  <c r="AQ351" i="51"/>
  <c r="AQ352" i="51"/>
  <c r="AQ355" i="51"/>
  <c r="AQ356" i="51"/>
  <c r="AQ357" i="51"/>
  <c r="AQ358" i="51"/>
  <c r="AQ359" i="51"/>
  <c r="AQ361" i="51"/>
  <c r="AQ362" i="51"/>
  <c r="AQ98" i="51"/>
  <c r="AQ99" i="51"/>
  <c r="AQ100" i="51"/>
  <c r="AQ102" i="51"/>
  <c r="AQ103" i="51"/>
  <c r="AQ104" i="51"/>
  <c r="AQ105" i="51"/>
  <c r="AQ106" i="51"/>
  <c r="AQ107" i="51"/>
  <c r="AQ109" i="51"/>
  <c r="AQ108" i="51" s="1"/>
  <c r="AQ112" i="51"/>
  <c r="AQ113" i="51"/>
  <c r="AQ114" i="51"/>
  <c r="AQ115" i="51"/>
  <c r="AQ116" i="51"/>
  <c r="AQ117" i="51"/>
  <c r="AQ118" i="51"/>
  <c r="AQ119" i="51"/>
  <c r="AQ121" i="51"/>
  <c r="AQ122" i="51"/>
  <c r="AQ123" i="51"/>
  <c r="AQ124" i="51"/>
  <c r="AQ125" i="51"/>
  <c r="AQ126" i="51"/>
  <c r="AQ127" i="51"/>
  <c r="AQ128" i="51"/>
  <c r="AQ129" i="51"/>
  <c r="AQ130" i="51"/>
  <c r="AQ132" i="51"/>
  <c r="AQ133" i="51"/>
  <c r="AQ135" i="51"/>
  <c r="AQ137" i="51"/>
  <c r="AQ136" i="51" s="1"/>
  <c r="AQ140" i="51"/>
  <c r="AQ141" i="51"/>
  <c r="AQ142" i="51"/>
  <c r="AQ143" i="51"/>
  <c r="AQ144" i="51"/>
  <c r="AQ146" i="51"/>
  <c r="AQ147" i="51"/>
  <c r="AQ148" i="51"/>
  <c r="AQ149" i="51"/>
  <c r="AQ150" i="51"/>
  <c r="AQ153" i="51"/>
  <c r="AQ154" i="51"/>
  <c r="AQ156" i="51"/>
  <c r="AQ155" i="51" s="1"/>
  <c r="AQ158" i="51"/>
  <c r="AQ157" i="51" s="1"/>
  <c r="AQ161" i="51"/>
  <c r="AQ165" i="51"/>
  <c r="AQ166" i="51"/>
  <c r="AQ168" i="51"/>
  <c r="AQ167" i="51" s="1"/>
  <c r="AQ170" i="51"/>
  <c r="AQ169" i="51" s="1"/>
  <c r="AQ173" i="51"/>
  <c r="AQ172" i="51" s="1"/>
  <c r="AQ175" i="51"/>
  <c r="AQ176" i="51"/>
  <c r="AQ179" i="51"/>
  <c r="AQ180" i="51"/>
  <c r="AQ181" i="51"/>
  <c r="AQ182" i="51"/>
  <c r="AQ183" i="51"/>
  <c r="AQ185" i="51"/>
  <c r="AQ186" i="51"/>
  <c r="AQ187" i="51"/>
  <c r="AQ190" i="51"/>
  <c r="AQ191" i="51"/>
  <c r="AQ193" i="51"/>
  <c r="AQ194" i="51"/>
  <c r="AQ195" i="51"/>
  <c r="AQ196" i="51"/>
  <c r="AQ198" i="51"/>
  <c r="AQ199" i="51"/>
  <c r="AQ200" i="51"/>
  <c r="AQ202" i="51"/>
  <c r="AQ203" i="51"/>
  <c r="AQ204" i="51"/>
  <c r="AQ206" i="51"/>
  <c r="AQ207" i="51"/>
  <c r="AQ208" i="51"/>
  <c r="AQ209" i="51"/>
  <c r="AQ212" i="51"/>
  <c r="AQ213" i="51"/>
  <c r="AQ215" i="51"/>
  <c r="AQ216" i="51"/>
  <c r="AQ218" i="51"/>
  <c r="AQ220" i="51"/>
  <c r="AQ222" i="51"/>
  <c r="AQ223" i="51"/>
  <c r="AQ224" i="51"/>
  <c r="AQ225" i="51"/>
  <c r="AQ227" i="51"/>
  <c r="AQ228" i="51"/>
  <c r="AQ230" i="51"/>
  <c r="AQ231" i="51"/>
  <c r="AQ232" i="51"/>
  <c r="AQ235" i="51"/>
  <c r="AQ234" i="51" s="1"/>
  <c r="AQ237" i="51"/>
  <c r="AQ236" i="51" s="1"/>
  <c r="AQ239" i="51"/>
  <c r="AQ238" i="51" s="1"/>
  <c r="AQ242" i="51"/>
  <c r="AQ243" i="51"/>
  <c r="AQ244" i="51"/>
  <c r="AQ246" i="51"/>
  <c r="AQ245" i="51" s="1"/>
  <c r="AQ248" i="51"/>
  <c r="AQ249" i="51"/>
  <c r="AQ250" i="51"/>
  <c r="AQ252" i="51"/>
  <c r="AQ253" i="51"/>
  <c r="AQ255" i="51"/>
  <c r="AQ256" i="51"/>
  <c r="AQ259" i="51"/>
  <c r="AQ260" i="51"/>
  <c r="AQ261" i="51"/>
  <c r="AQ264" i="51"/>
  <c r="AQ265" i="51"/>
  <c r="AQ267" i="51"/>
  <c r="AQ266" i="51" s="1"/>
  <c r="AQ270" i="51"/>
  <c r="AQ269" i="51" s="1"/>
  <c r="AQ272" i="51"/>
  <c r="AQ273" i="51"/>
  <c r="AQ274" i="51"/>
  <c r="AQ276" i="51"/>
  <c r="AQ277" i="51"/>
  <c r="AQ278" i="51"/>
  <c r="AQ280" i="51"/>
  <c r="AQ279" i="51" s="1"/>
  <c r="AQ283" i="51"/>
  <c r="AQ284" i="51"/>
  <c r="AQ286" i="51"/>
  <c r="AQ287" i="51"/>
  <c r="AQ289" i="51"/>
  <c r="AQ291" i="51"/>
  <c r="AQ290" i="51" s="1"/>
  <c r="AQ293" i="51"/>
  <c r="AQ292" i="51" s="1"/>
  <c r="AQ296" i="51"/>
  <c r="AQ297" i="51"/>
  <c r="AQ305" i="51"/>
  <c r="AQ307" i="51"/>
  <c r="AQ306" i="51" s="1"/>
  <c r="AQ309" i="51"/>
  <c r="AQ310" i="51"/>
  <c r="AQ311" i="51"/>
  <c r="AQ314" i="51"/>
  <c r="AQ315" i="51"/>
  <c r="AQ316" i="51"/>
  <c r="AQ318" i="51"/>
  <c r="AQ317" i="51" s="1"/>
  <c r="AQ321" i="51"/>
  <c r="AQ38" i="51"/>
  <c r="AQ39" i="51"/>
  <c r="AQ40" i="51"/>
  <c r="AQ41" i="51"/>
  <c r="AQ43" i="51"/>
  <c r="AQ44" i="51"/>
  <c r="AQ45" i="51"/>
  <c r="AQ46" i="51"/>
  <c r="AQ47" i="51"/>
  <c r="AQ48" i="51"/>
  <c r="AQ50" i="51"/>
  <c r="AQ51" i="51"/>
  <c r="AQ52" i="51"/>
  <c r="AQ53" i="51"/>
  <c r="AQ55" i="51"/>
  <c r="AQ56" i="51"/>
  <c r="AQ57" i="51"/>
  <c r="AQ59" i="51"/>
  <c r="AQ60" i="51"/>
  <c r="AQ61" i="51"/>
  <c r="AQ62" i="51"/>
  <c r="AQ63" i="51"/>
  <c r="AQ65" i="51"/>
  <c r="AQ66" i="51"/>
  <c r="AQ67" i="51"/>
  <c r="AQ68" i="51"/>
  <c r="AQ70" i="51"/>
  <c r="AQ71" i="51"/>
  <c r="AQ72" i="51"/>
  <c r="AQ74" i="51"/>
  <c r="AQ77" i="51"/>
  <c r="AQ80" i="51"/>
  <c r="AQ79" i="51" s="1"/>
  <c r="AQ83" i="51"/>
  <c r="AQ84" i="51"/>
  <c r="AQ85" i="51"/>
  <c r="AQ87" i="51"/>
  <c r="AQ88" i="51"/>
  <c r="AQ89" i="51"/>
  <c r="AQ90" i="51"/>
  <c r="AQ91" i="51"/>
  <c r="AQ92" i="51"/>
  <c r="AQ94" i="51"/>
  <c r="AQ13" i="51"/>
  <c r="AQ14" i="51"/>
  <c r="AQ15" i="51"/>
  <c r="AQ16" i="51"/>
  <c r="AQ17" i="51"/>
  <c r="AQ18" i="51"/>
  <c r="AQ20" i="51"/>
  <c r="AQ21" i="51"/>
  <c r="AQ24" i="51"/>
  <c r="AQ25" i="51"/>
  <c r="AQ26" i="51"/>
  <c r="AQ28" i="51"/>
  <c r="AQ29" i="51"/>
  <c r="AQ30" i="51"/>
  <c r="AQ31" i="51"/>
  <c r="AQ32" i="51"/>
  <c r="AQ33" i="51"/>
  <c r="AQ34" i="51"/>
  <c r="AU421" i="51"/>
  <c r="BB90" i="51"/>
  <c r="BK90" i="51" s="1"/>
  <c r="BB93" i="51"/>
  <c r="BC93" i="51"/>
  <c r="BC98" i="51"/>
  <c r="BK98" i="51" s="1"/>
  <c r="BC99" i="51"/>
  <c r="BK99" i="51" s="1"/>
  <c r="BC100" i="51"/>
  <c r="BK100" i="51" s="1"/>
  <c r="BC302" i="51"/>
  <c r="BC303" i="51"/>
  <c r="BC325" i="51"/>
  <c r="BC333" i="51"/>
  <c r="BK333" i="51" s="1"/>
  <c r="BD103" i="51"/>
  <c r="BD302" i="51"/>
  <c r="BD303" i="51"/>
  <c r="BE421" i="51"/>
  <c r="BF421" i="51"/>
  <c r="BG21" i="51"/>
  <c r="BG421" i="51" s="1"/>
  <c r="BH103" i="51"/>
  <c r="BH421" i="51" s="1"/>
  <c r="BI421" i="51"/>
  <c r="BJ421" i="51"/>
  <c r="BK411" i="51"/>
  <c r="BK412" i="51"/>
  <c r="BK413" i="51"/>
  <c r="BK414" i="51"/>
  <c r="BK415" i="51"/>
  <c r="BK416" i="51"/>
  <c r="BK417" i="51"/>
  <c r="BK418" i="51"/>
  <c r="BK419" i="51"/>
  <c r="BK420" i="51"/>
  <c r="BK405" i="51"/>
  <c r="BK406" i="51"/>
  <c r="BK407" i="51"/>
  <c r="BK408" i="51"/>
  <c r="BK409" i="51"/>
  <c r="BK385" i="51"/>
  <c r="BK386" i="51"/>
  <c r="BK387" i="51"/>
  <c r="BK388" i="51"/>
  <c r="BK389" i="51"/>
  <c r="BK390" i="51"/>
  <c r="BK391" i="51"/>
  <c r="BK392" i="51"/>
  <c r="BK393" i="51"/>
  <c r="BK394" i="51"/>
  <c r="BK395" i="51"/>
  <c r="BK396" i="51"/>
  <c r="BK397" i="51"/>
  <c r="BK398" i="51"/>
  <c r="BK399" i="51"/>
  <c r="BK400" i="51"/>
  <c r="BK401" i="51"/>
  <c r="BK402" i="51"/>
  <c r="BK403" i="51"/>
  <c r="BK375" i="51"/>
  <c r="BK376" i="51"/>
  <c r="BK377" i="51"/>
  <c r="BK378" i="51"/>
  <c r="BK379" i="51"/>
  <c r="BK380" i="51"/>
  <c r="BK371" i="51"/>
  <c r="BK372" i="51"/>
  <c r="BK366" i="51"/>
  <c r="BK367" i="51"/>
  <c r="BK368" i="51"/>
  <c r="BK369" i="51"/>
  <c r="BK361" i="51"/>
  <c r="BK362" i="51"/>
  <c r="BK355" i="51"/>
  <c r="BK356" i="51"/>
  <c r="BK357" i="51"/>
  <c r="BK358" i="51"/>
  <c r="BK359" i="51"/>
  <c r="BK351" i="51"/>
  <c r="BK352" i="51"/>
  <c r="BK347" i="51"/>
  <c r="BK348" i="51"/>
  <c r="BK349" i="51"/>
  <c r="BK341" i="51"/>
  <c r="BK342" i="51"/>
  <c r="BK343" i="51"/>
  <c r="BK344" i="51"/>
  <c r="BK345" i="51"/>
  <c r="BK336" i="51"/>
  <c r="BK337" i="51"/>
  <c r="BK338" i="51"/>
  <c r="BK331" i="51"/>
  <c r="BK332" i="51"/>
  <c r="BK334" i="51"/>
  <c r="BK325" i="51"/>
  <c r="BK326" i="51"/>
  <c r="BK327" i="51"/>
  <c r="BK328" i="51"/>
  <c r="BK329" i="51"/>
  <c r="BK321" i="51"/>
  <c r="BK320" i="51" s="1"/>
  <c r="BK319" i="51" s="1"/>
  <c r="BK318" i="51"/>
  <c r="BK317" i="51" s="1"/>
  <c r="BK314" i="51"/>
  <c r="BK315" i="51"/>
  <c r="BK316" i="51"/>
  <c r="BK309" i="51"/>
  <c r="BK310" i="51"/>
  <c r="BK311" i="51"/>
  <c r="BK307" i="51"/>
  <c r="BK306" i="51" s="1"/>
  <c r="BK305" i="51"/>
  <c r="BK304" i="51" s="1"/>
  <c r="BK296" i="51"/>
  <c r="BK297" i="51"/>
  <c r="BK298" i="51"/>
  <c r="BK299" i="51"/>
  <c r="BK293" i="51"/>
  <c r="BK291" i="51"/>
  <c r="BK290" i="51" s="1"/>
  <c r="BK289" i="51"/>
  <c r="BK288" i="51" s="1"/>
  <c r="BK286" i="51"/>
  <c r="BK287" i="51"/>
  <c r="BK283" i="51"/>
  <c r="BK284" i="51"/>
  <c r="BK280" i="51"/>
  <c r="BK279" i="51" s="1"/>
  <c r="BK276" i="51"/>
  <c r="BK277" i="51"/>
  <c r="BK278" i="51"/>
  <c r="BK272" i="51"/>
  <c r="BK273" i="51"/>
  <c r="BK274" i="51"/>
  <c r="BK270" i="51"/>
  <c r="BK269" i="51" s="1"/>
  <c r="BK267" i="51"/>
  <c r="BK266" i="51" s="1"/>
  <c r="BK264" i="51"/>
  <c r="BK265" i="51"/>
  <c r="BK260" i="51"/>
  <c r="BK258" i="51" s="1"/>
  <c r="BK257" i="51" s="1"/>
  <c r="BK255" i="51"/>
  <c r="BK254" i="51" s="1"/>
  <c r="BK252" i="51"/>
  <c r="BK253" i="51"/>
  <c r="BK248" i="51"/>
  <c r="BK249" i="51"/>
  <c r="BK250" i="51"/>
  <c r="BK246" i="51"/>
  <c r="BK245" i="51" s="1"/>
  <c r="BK243" i="51"/>
  <c r="BK239" i="51"/>
  <c r="BK238" i="51" s="1"/>
  <c r="BK237" i="51"/>
  <c r="BK235" i="51"/>
  <c r="BK234" i="51" s="1"/>
  <c r="BK230" i="51"/>
  <c r="BK231" i="51"/>
  <c r="BK232" i="51"/>
  <c r="BK227" i="51"/>
  <c r="BK228" i="51"/>
  <c r="BK222" i="51"/>
  <c r="BK223" i="51"/>
  <c r="BK224" i="51"/>
  <c r="BK225" i="51"/>
  <c r="BK218" i="51"/>
  <c r="BK219" i="51"/>
  <c r="BK220" i="51"/>
  <c r="BK215" i="51"/>
  <c r="BK216" i="51"/>
  <c r="BK212" i="51"/>
  <c r="BK213" i="51"/>
  <c r="BK206" i="51"/>
  <c r="BK207" i="51"/>
  <c r="BK208" i="51"/>
  <c r="BK209" i="51"/>
  <c r="BK210" i="51"/>
  <c r="BK202" i="51"/>
  <c r="BK203" i="51"/>
  <c r="BK204" i="51"/>
  <c r="BK198" i="51"/>
  <c r="BK199" i="51"/>
  <c r="BK200" i="51"/>
  <c r="BK193" i="51"/>
  <c r="BK194" i="51"/>
  <c r="BK195" i="51"/>
  <c r="BK196" i="51"/>
  <c r="BK190" i="51"/>
  <c r="BK191" i="51"/>
  <c r="BK185" i="51"/>
  <c r="BK186" i="51"/>
  <c r="BK187" i="51"/>
  <c r="BK179" i="51"/>
  <c r="BK180" i="51"/>
  <c r="BK181" i="51"/>
  <c r="BK182" i="51"/>
  <c r="BK183" i="51"/>
  <c r="BK175" i="51"/>
  <c r="BK176" i="51"/>
  <c r="BK173" i="51"/>
  <c r="BK170" i="51"/>
  <c r="BK169" i="51" s="1"/>
  <c r="BK168" i="51"/>
  <c r="BK167" i="51" s="1"/>
  <c r="BK164" i="51"/>
  <c r="BK165" i="51"/>
  <c r="BK166" i="51"/>
  <c r="BK160" i="51"/>
  <c r="BK161" i="51"/>
  <c r="BK158" i="51"/>
  <c r="BK157" i="51" s="1"/>
  <c r="BK156" i="51"/>
  <c r="BK155" i="51" s="1"/>
  <c r="BK153" i="51"/>
  <c r="BK154" i="51"/>
  <c r="BK146" i="51"/>
  <c r="BK147" i="51"/>
  <c r="BK148" i="51"/>
  <c r="BK149" i="51"/>
  <c r="BK150" i="51"/>
  <c r="BK140" i="51"/>
  <c r="BK141" i="51"/>
  <c r="BK142" i="51"/>
  <c r="BK143" i="51"/>
  <c r="BK144" i="51"/>
  <c r="BK137" i="51"/>
  <c r="BK136" i="51" s="1"/>
  <c r="BK132" i="51"/>
  <c r="BK133" i="51"/>
  <c r="BK134" i="51"/>
  <c r="BK135" i="51"/>
  <c r="BK121" i="51"/>
  <c r="BK122" i="51"/>
  <c r="BK123" i="51"/>
  <c r="BK124" i="51"/>
  <c r="BK125" i="51"/>
  <c r="BK126" i="51"/>
  <c r="BK127" i="51"/>
  <c r="BK128" i="51"/>
  <c r="BK129" i="51"/>
  <c r="BK130" i="51"/>
  <c r="BK113" i="51"/>
  <c r="BK111" i="51" s="1"/>
  <c r="BK109" i="51"/>
  <c r="BK108" i="51" s="1"/>
  <c r="BK102" i="51"/>
  <c r="BK104" i="51"/>
  <c r="BK105" i="51"/>
  <c r="BK106" i="51"/>
  <c r="BK107" i="51"/>
  <c r="BK87" i="51"/>
  <c r="BK88" i="51"/>
  <c r="BK89" i="51"/>
  <c r="BK91" i="51"/>
  <c r="BK92" i="51"/>
  <c r="BK94" i="51"/>
  <c r="BK83" i="51"/>
  <c r="BK84" i="51"/>
  <c r="BK85" i="51"/>
  <c r="BK80" i="51"/>
  <c r="BK79" i="51" s="1"/>
  <c r="BK78" i="51"/>
  <c r="BK77" i="51" s="1"/>
  <c r="BK75" i="51"/>
  <c r="BK76" i="51"/>
  <c r="BK70" i="51"/>
  <c r="BK71" i="51"/>
  <c r="BK72" i="51"/>
  <c r="BK65" i="51"/>
  <c r="BK66" i="51"/>
  <c r="BK67" i="51"/>
  <c r="BK68" i="51"/>
  <c r="BK59" i="51"/>
  <c r="BK60" i="51"/>
  <c r="BK61" i="51"/>
  <c r="BK62" i="51"/>
  <c r="BK63" i="51"/>
  <c r="BK55" i="51"/>
  <c r="BK56" i="51"/>
  <c r="BK57" i="51"/>
  <c r="BK50" i="51"/>
  <c r="BK51" i="51"/>
  <c r="BK52" i="51"/>
  <c r="BK53" i="51"/>
  <c r="BK28" i="51"/>
  <c r="BK29" i="51"/>
  <c r="BK30" i="51"/>
  <c r="BK31" i="51"/>
  <c r="BK32" i="51"/>
  <c r="BK33" i="51"/>
  <c r="BK34" i="51"/>
  <c r="BK20" i="51"/>
  <c r="BK22" i="51"/>
  <c r="BK23" i="51"/>
  <c r="BK24" i="51"/>
  <c r="BK25" i="51"/>
  <c r="BK26" i="51"/>
  <c r="BK13" i="51"/>
  <c r="BK14" i="51"/>
  <c r="BK15" i="51"/>
  <c r="BK16" i="51"/>
  <c r="BK17" i="51"/>
  <c r="BK18" i="51"/>
  <c r="BK38" i="51"/>
  <c r="BK39" i="51"/>
  <c r="BK40" i="51"/>
  <c r="BK41" i="51"/>
  <c r="BK43" i="51"/>
  <c r="BK44" i="51"/>
  <c r="BK45" i="51"/>
  <c r="BK46" i="51"/>
  <c r="BK47" i="51"/>
  <c r="BK48" i="51"/>
  <c r="BK382" i="51"/>
  <c r="BK381" i="51" s="1"/>
  <c r="BA83" i="51"/>
  <c r="BA84" i="51"/>
  <c r="BA85" i="51"/>
  <c r="AS87" i="51"/>
  <c r="BA87" i="51" s="1"/>
  <c r="BA88" i="51"/>
  <c r="AS89" i="51"/>
  <c r="BA89" i="51" s="1"/>
  <c r="BA90" i="51"/>
  <c r="BA91" i="51"/>
  <c r="BA92" i="51"/>
  <c r="AS93" i="51"/>
  <c r="BA93" i="51" s="1"/>
  <c r="BA94" i="51"/>
  <c r="AS98" i="51"/>
  <c r="BA98" i="51" s="1"/>
  <c r="AS99" i="51"/>
  <c r="BA99" i="51" s="1"/>
  <c r="AS100" i="51"/>
  <c r="BA100" i="51" s="1"/>
  <c r="BA102" i="51"/>
  <c r="BA103" i="51"/>
  <c r="BA104" i="51"/>
  <c r="BA105" i="51"/>
  <c r="BA106" i="51"/>
  <c r="BA107" i="51"/>
  <c r="BA109" i="51"/>
  <c r="BA108" i="51" s="1"/>
  <c r="BA113" i="51"/>
  <c r="BA111" i="51" s="1"/>
  <c r="BA122" i="51"/>
  <c r="BA123" i="51"/>
  <c r="BA124" i="51"/>
  <c r="BA125" i="51"/>
  <c r="BA126" i="51"/>
  <c r="BA127" i="51"/>
  <c r="AZ128" i="51"/>
  <c r="BA128" i="51" s="1"/>
  <c r="BA129" i="51"/>
  <c r="BA130" i="51"/>
  <c r="BA132" i="51"/>
  <c r="BA133" i="51"/>
  <c r="AT134" i="51"/>
  <c r="BA134" i="51" s="1"/>
  <c r="BA135" i="51"/>
  <c r="BA137" i="51"/>
  <c r="BA136" i="51" s="1"/>
  <c r="BA140" i="51"/>
  <c r="BA141" i="51"/>
  <c r="BA142" i="51"/>
  <c r="BA143" i="51"/>
  <c r="BA144" i="51"/>
  <c r="BA146" i="51"/>
  <c r="BA147" i="51"/>
  <c r="BA148" i="51"/>
  <c r="BA149" i="51"/>
  <c r="BA150" i="51"/>
  <c r="BA153" i="51"/>
  <c r="BA154" i="51"/>
  <c r="BA156" i="51"/>
  <c r="BA155" i="51" s="1"/>
  <c r="BA158" i="51"/>
  <c r="BA157" i="51" s="1"/>
  <c r="BA160" i="51"/>
  <c r="BA161" i="51"/>
  <c r="BA164" i="51"/>
  <c r="BA165" i="51"/>
  <c r="BA166" i="51"/>
  <c r="BA168" i="51"/>
  <c r="BA167" i="51" s="1"/>
  <c r="BA170" i="51"/>
  <c r="BA169" i="51" s="1"/>
  <c r="BA173" i="51"/>
  <c r="BA172" i="51" s="1"/>
  <c r="BA175" i="51"/>
  <c r="BA176" i="51"/>
  <c r="BA179" i="51"/>
  <c r="BA180" i="51"/>
  <c r="BA181" i="51"/>
  <c r="BA182" i="51"/>
  <c r="BA183" i="51"/>
  <c r="BA185" i="51"/>
  <c r="BA186" i="51"/>
  <c r="BA187" i="51"/>
  <c r="BA190" i="51"/>
  <c r="BA191" i="51"/>
  <c r="BA193" i="51"/>
  <c r="BA194" i="51"/>
  <c r="BA195" i="51"/>
  <c r="BA196" i="51"/>
  <c r="BA198" i="51"/>
  <c r="BA199" i="51"/>
  <c r="BA200" i="51"/>
  <c r="BA202" i="51"/>
  <c r="BA203" i="51"/>
  <c r="BA204" i="51"/>
  <c r="BA206" i="51"/>
  <c r="BA207" i="51"/>
  <c r="BA208" i="51"/>
  <c r="BA209" i="51"/>
  <c r="BA210" i="51"/>
  <c r="BA212" i="51"/>
  <c r="BA213" i="51"/>
  <c r="BA215" i="51"/>
  <c r="BA216" i="51"/>
  <c r="BA218" i="51"/>
  <c r="BA219" i="51"/>
  <c r="BA220" i="51"/>
  <c r="BA222" i="51"/>
  <c r="BA223" i="51"/>
  <c r="BA224" i="51"/>
  <c r="BA225" i="51"/>
  <c r="BA227" i="51"/>
  <c r="BA228" i="51"/>
  <c r="BA230" i="51"/>
  <c r="BA231" i="51"/>
  <c r="BA232" i="51"/>
  <c r="BA235" i="51"/>
  <c r="BA237" i="51"/>
  <c r="BA236" i="51" s="1"/>
  <c r="BA239" i="51"/>
  <c r="BA243" i="51"/>
  <c r="BA241" i="51" s="1"/>
  <c r="BA246" i="51"/>
  <c r="BA245" i="51" s="1"/>
  <c r="BA248" i="51"/>
  <c r="BA249" i="51"/>
  <c r="BA250" i="51"/>
  <c r="BA252" i="51"/>
  <c r="BA253" i="51"/>
  <c r="BA255" i="51"/>
  <c r="BA259" i="51"/>
  <c r="BA260" i="51"/>
  <c r="BA261" i="51"/>
  <c r="BA264" i="51"/>
  <c r="BA265" i="51"/>
  <c r="BA267" i="51"/>
  <c r="BA266" i="51" s="1"/>
  <c r="BA270" i="51"/>
  <c r="BA269" i="51" s="1"/>
  <c r="BA272" i="51"/>
  <c r="BA273" i="51"/>
  <c r="BA274" i="51"/>
  <c r="BA276" i="51"/>
  <c r="BA277" i="51"/>
  <c r="BA278" i="51"/>
  <c r="BA280" i="51"/>
  <c r="BA279" i="51" s="1"/>
  <c r="BA283" i="51"/>
  <c r="BA284" i="51"/>
  <c r="BA286" i="51"/>
  <c r="BA287" i="51"/>
  <c r="BA289" i="51"/>
  <c r="BA288" i="51" s="1"/>
  <c r="BA291" i="51"/>
  <c r="BA293" i="51"/>
  <c r="BA292" i="51" s="1"/>
  <c r="BA296" i="51"/>
  <c r="BA297" i="51"/>
  <c r="AS298" i="51"/>
  <c r="BA298" i="51" s="1"/>
  <c r="AS299" i="51"/>
  <c r="BA299" i="51" s="1"/>
  <c r="BA302" i="51"/>
  <c r="BA303" i="51"/>
  <c r="BA305" i="51"/>
  <c r="BA304" i="51" s="1"/>
  <c r="BA307" i="51"/>
  <c r="BA306" i="51" s="1"/>
  <c r="BA309" i="51"/>
  <c r="BA310" i="51"/>
  <c r="BA311" i="51"/>
  <c r="BA314" i="51"/>
  <c r="BA315" i="51"/>
  <c r="BA316" i="51"/>
  <c r="BA318" i="51"/>
  <c r="BA317" i="51" s="1"/>
  <c r="BA321" i="51"/>
  <c r="BA320" i="51" s="1"/>
  <c r="BA319" i="51" s="1"/>
  <c r="AS325" i="51"/>
  <c r="BA325" i="51" s="1"/>
  <c r="BA326" i="51"/>
  <c r="BA327" i="51"/>
  <c r="BA328" i="51"/>
  <c r="AS329" i="51"/>
  <c r="BA329" i="51" s="1"/>
  <c r="BA331" i="51"/>
  <c r="BA332" i="51"/>
  <c r="AS333" i="51"/>
  <c r="BA333" i="51" s="1"/>
  <c r="BA334" i="51"/>
  <c r="BA336" i="51"/>
  <c r="BA337" i="51"/>
  <c r="BA338" i="51"/>
  <c r="AR421" i="51"/>
  <c r="AT352" i="51"/>
  <c r="BA352" i="51" s="1"/>
  <c r="AT369" i="51"/>
  <c r="BA369" i="51" s="1"/>
  <c r="AT409" i="51"/>
  <c r="BA409" i="51" s="1"/>
  <c r="AV421" i="51"/>
  <c r="AW21" i="51"/>
  <c r="AW421" i="51" s="1"/>
  <c r="AX421" i="51"/>
  <c r="AY421" i="51"/>
  <c r="BA80" i="51"/>
  <c r="BA78" i="51"/>
  <c r="BA75" i="51"/>
  <c r="BA76" i="51"/>
  <c r="BA70" i="51"/>
  <c r="BA71" i="51"/>
  <c r="BA72" i="51"/>
  <c r="BA65" i="51"/>
  <c r="BA66" i="51"/>
  <c r="BA67" i="51"/>
  <c r="BA68" i="51"/>
  <c r="BA59" i="51"/>
  <c r="BA60" i="51"/>
  <c r="BA61" i="51"/>
  <c r="BA62" i="51"/>
  <c r="BA63" i="51"/>
  <c r="BA55" i="51"/>
  <c r="BA56" i="51"/>
  <c r="BA57" i="51"/>
  <c r="BA50" i="51"/>
  <c r="BA51" i="51"/>
  <c r="BA52" i="51"/>
  <c r="BA53" i="51"/>
  <c r="BA46" i="51"/>
  <c r="BA43" i="51"/>
  <c r="BA44" i="51"/>
  <c r="BA45" i="51"/>
  <c r="BA47" i="51"/>
  <c r="BA48" i="51"/>
  <c r="BA38" i="51"/>
  <c r="BA39" i="51"/>
  <c r="BA40" i="51"/>
  <c r="BA41" i="51"/>
  <c r="BA28" i="51"/>
  <c r="BA29" i="51"/>
  <c r="BA30" i="51"/>
  <c r="BA31" i="51"/>
  <c r="BA32" i="51"/>
  <c r="BA33" i="51"/>
  <c r="BA34" i="51"/>
  <c r="BA20" i="51"/>
  <c r="BA22" i="51"/>
  <c r="BA23" i="51"/>
  <c r="BA24" i="51"/>
  <c r="BA25" i="51"/>
  <c r="BA26" i="51"/>
  <c r="BA13" i="51"/>
  <c r="BA14" i="51"/>
  <c r="BA15" i="51"/>
  <c r="BA16" i="51"/>
  <c r="BA17" i="51"/>
  <c r="BA18" i="51"/>
  <c r="BA341" i="51"/>
  <c r="BA342" i="51"/>
  <c r="BA343" i="51"/>
  <c r="BA344" i="51"/>
  <c r="BA345" i="51"/>
  <c r="BA347" i="51"/>
  <c r="BA348" i="51"/>
  <c r="BA349" i="51"/>
  <c r="BA351" i="51"/>
  <c r="BA355" i="51"/>
  <c r="BA356" i="51"/>
  <c r="BA357" i="51"/>
  <c r="BA358" i="51"/>
  <c r="BA359" i="51"/>
  <c r="BA361" i="51"/>
  <c r="BA362" i="51"/>
  <c r="BA366" i="51"/>
  <c r="BA367" i="51"/>
  <c r="BA368" i="51"/>
  <c r="BA371" i="51"/>
  <c r="BA372" i="51"/>
  <c r="BA420" i="51"/>
  <c r="BA411" i="51"/>
  <c r="BA412" i="51"/>
  <c r="BA413" i="51"/>
  <c r="BA414" i="51"/>
  <c r="BA415" i="51"/>
  <c r="BA416" i="51"/>
  <c r="BA417" i="51"/>
  <c r="BA418" i="51"/>
  <c r="BA419" i="51"/>
  <c r="BA385" i="51"/>
  <c r="BA386" i="51"/>
  <c r="BA387" i="51"/>
  <c r="BA388" i="51"/>
  <c r="BA389" i="51"/>
  <c r="BA390" i="51"/>
  <c r="BA391" i="51"/>
  <c r="BA392" i="51"/>
  <c r="BA393" i="51"/>
  <c r="BA394" i="51"/>
  <c r="BA395" i="51"/>
  <c r="BA396" i="51"/>
  <c r="BA397" i="51"/>
  <c r="BA398" i="51"/>
  <c r="BA399" i="51"/>
  <c r="BA400" i="51"/>
  <c r="BA401" i="51"/>
  <c r="BA402" i="51"/>
  <c r="BA403" i="51"/>
  <c r="BA405" i="51"/>
  <c r="BA406" i="51"/>
  <c r="BA407" i="51"/>
  <c r="BA408" i="51"/>
  <c r="BA375" i="51"/>
  <c r="BA376" i="51"/>
  <c r="BA377" i="51"/>
  <c r="BA378" i="51"/>
  <c r="BA379" i="51"/>
  <c r="BA380" i="51"/>
  <c r="BA382" i="51"/>
  <c r="R183" i="51"/>
  <c r="AG422" i="51"/>
  <c r="AG277" i="51" l="1"/>
  <c r="AG275" i="51" s="1"/>
  <c r="AG200" i="51"/>
  <c r="BL200" i="51" s="1"/>
  <c r="AG208" i="51"/>
  <c r="BL208" i="51" s="1"/>
  <c r="AG280" i="51"/>
  <c r="AG279" i="51" s="1"/>
  <c r="U280" i="51" s="1"/>
  <c r="AE221" i="51"/>
  <c r="BK303" i="51"/>
  <c r="AG270" i="51"/>
  <c r="AG269" i="51" s="1"/>
  <c r="BK93" i="51"/>
  <c r="BK86" i="51" s="1"/>
  <c r="AQ164" i="51"/>
  <c r="AQ163" i="51" s="1"/>
  <c r="AQ162" i="51" s="1"/>
  <c r="AG243" i="51"/>
  <c r="BL243" i="51" s="1"/>
  <c r="AG366" i="51"/>
  <c r="BL366" i="51" s="1"/>
  <c r="BK302" i="51"/>
  <c r="Z350" i="51"/>
  <c r="Z339" i="51" s="1"/>
  <c r="U235" i="51"/>
  <c r="AQ302" i="51"/>
  <c r="BL302" i="51" s="1"/>
  <c r="AG50" i="51"/>
  <c r="BL50" i="51" s="1"/>
  <c r="U80" i="51"/>
  <c r="AG164" i="51"/>
  <c r="AG163" i="51" s="1"/>
  <c r="Z27" i="51"/>
  <c r="Z11" i="51" s="1"/>
  <c r="Z10" i="51" s="1"/>
  <c r="AI86" i="51"/>
  <c r="AI81" i="51" s="1"/>
  <c r="AI330" i="51"/>
  <c r="AI323" i="51" s="1"/>
  <c r="AG291" i="51"/>
  <c r="AG290" i="51" s="1"/>
  <c r="AG255" i="51"/>
  <c r="BL255" i="51" s="1"/>
  <c r="Y82" i="51"/>
  <c r="BB421" i="51"/>
  <c r="AG215" i="51"/>
  <c r="BL215" i="51" s="1"/>
  <c r="AQ160" i="51"/>
  <c r="BL160" i="51" s="1"/>
  <c r="AJ301" i="51"/>
  <c r="AG272" i="51"/>
  <c r="AG271" i="51" s="1"/>
  <c r="U274" i="51" s="1"/>
  <c r="Z301" i="51"/>
  <c r="Z300" i="51" s="1"/>
  <c r="AM19" i="51"/>
  <c r="AM11" i="51" s="1"/>
  <c r="AM10" i="51" s="1"/>
  <c r="AI295" i="51"/>
  <c r="AI294" i="51" s="1"/>
  <c r="BL207" i="51"/>
  <c r="AG202" i="51"/>
  <c r="BL202" i="51" s="1"/>
  <c r="Y86" i="51"/>
  <c r="AQ303" i="51"/>
  <c r="U156" i="51"/>
  <c r="BA21" i="51"/>
  <c r="BA19" i="51" s="1"/>
  <c r="BC421" i="51"/>
  <c r="AG349" i="51"/>
  <c r="BL349" i="51" s="1"/>
  <c r="AG382" i="51"/>
  <c r="AG381" i="51" s="1"/>
  <c r="Z354" i="51"/>
  <c r="Z353" i="51" s="1"/>
  <c r="U170" i="51"/>
  <c r="BK103" i="51"/>
  <c r="BL103" i="51" s="1"/>
  <c r="BL209" i="51"/>
  <c r="AG167" i="51"/>
  <c r="U168" i="51" s="1"/>
  <c r="BL168" i="51"/>
  <c r="BL167" i="51" s="1"/>
  <c r="AG136" i="51"/>
  <c r="U137" i="51" s="1"/>
  <c r="BL137" i="51"/>
  <c r="BL136" i="51" s="1"/>
  <c r="U289" i="51"/>
  <c r="AT421" i="51"/>
  <c r="AS421" i="51"/>
  <c r="BK21" i="51"/>
  <c r="BK19" i="51" s="1"/>
  <c r="BD421" i="51"/>
  <c r="AQ134" i="51"/>
  <c r="AQ131" i="51" s="1"/>
  <c r="BL116" i="51"/>
  <c r="BL112" i="51"/>
  <c r="AI301" i="51"/>
  <c r="AI300" i="51" s="1"/>
  <c r="AG15" i="51"/>
  <c r="AG12" i="51" s="1"/>
  <c r="BL362" i="51"/>
  <c r="AG325" i="51"/>
  <c r="BL325" i="51" s="1"/>
  <c r="Z295" i="51"/>
  <c r="Z294" i="51" s="1"/>
  <c r="BL361" i="51"/>
  <c r="U173" i="51"/>
  <c r="AZ421" i="51"/>
  <c r="BK350" i="51"/>
  <c r="AG287" i="51"/>
  <c r="BL287" i="51" s="1"/>
  <c r="BL210" i="51"/>
  <c r="BL206" i="51"/>
  <c r="AG108" i="51"/>
  <c r="U109" i="51" s="1"/>
  <c r="BL109" i="51"/>
  <c r="BL108" i="51" s="1"/>
  <c r="AG419" i="51"/>
  <c r="BL419" i="51" s="1"/>
  <c r="U237" i="51"/>
  <c r="BL242" i="51"/>
  <c r="BL256" i="51"/>
  <c r="BL244" i="51"/>
  <c r="AD233" i="51"/>
  <c r="AD373" i="51"/>
  <c r="Z96" i="51"/>
  <c r="Z364" i="51"/>
  <c r="AK73" i="51"/>
  <c r="AF373" i="51"/>
  <c r="AE312" i="51"/>
  <c r="BL142" i="51"/>
  <c r="U78" i="51"/>
  <c r="BL119" i="51"/>
  <c r="BL115" i="51"/>
  <c r="U246" i="51"/>
  <c r="U321" i="51"/>
  <c r="U293" i="51"/>
  <c r="AK36" i="51"/>
  <c r="U307" i="51"/>
  <c r="BA159" i="51"/>
  <c r="AN353" i="51"/>
  <c r="AE177" i="51"/>
  <c r="BL327" i="51"/>
  <c r="BL297" i="51"/>
  <c r="BK189" i="51"/>
  <c r="BL278" i="51"/>
  <c r="BL85" i="51"/>
  <c r="AQ263" i="51"/>
  <c r="AQ262" i="51" s="1"/>
  <c r="AP373" i="51"/>
  <c r="AO262" i="51"/>
  <c r="AN81" i="51"/>
  <c r="AL373" i="51"/>
  <c r="BL265" i="51"/>
  <c r="Y312" i="51"/>
  <c r="BL338" i="51"/>
  <c r="AA262" i="51"/>
  <c r="X262" i="51"/>
  <c r="BL407" i="51"/>
  <c r="BL402" i="51"/>
  <c r="BL390" i="51"/>
  <c r="BL386" i="51"/>
  <c r="BL359" i="51"/>
  <c r="BL355" i="51"/>
  <c r="BL310" i="51"/>
  <c r="BK159" i="51"/>
  <c r="BK370" i="51"/>
  <c r="BL377" i="51"/>
  <c r="BL403" i="51"/>
  <c r="BL399" i="51"/>
  <c r="BL395" i="51"/>
  <c r="BL391" i="51"/>
  <c r="BL387" i="51"/>
  <c r="BL420" i="51"/>
  <c r="BL368" i="51"/>
  <c r="BL344" i="51"/>
  <c r="BL328" i="51"/>
  <c r="BA301" i="51"/>
  <c r="BA263" i="51"/>
  <c r="BA262" i="51" s="1"/>
  <c r="BK74" i="51"/>
  <c r="BK73" i="51" s="1"/>
  <c r="BK285" i="51"/>
  <c r="BL316" i="51"/>
  <c r="BL273" i="51"/>
  <c r="AN323" i="51"/>
  <c r="AL262" i="51"/>
  <c r="AL171" i="51"/>
  <c r="AK81" i="51"/>
  <c r="AH312" i="51"/>
  <c r="AE138" i="51"/>
  <c r="AE373" i="51"/>
  <c r="AC81" i="51"/>
  <c r="BL298" i="51"/>
  <c r="BL166" i="51"/>
  <c r="BL379" i="51"/>
  <c r="BL416" i="51"/>
  <c r="BL412" i="51"/>
  <c r="BL34" i="51"/>
  <c r="BL30" i="51"/>
  <c r="BL40" i="51"/>
  <c r="BL63" i="51"/>
  <c r="BL65" i="51"/>
  <c r="BL147" i="51"/>
  <c r="AQ282" i="51"/>
  <c r="AQ254" i="51"/>
  <c r="BL118" i="51"/>
  <c r="BL114" i="51"/>
  <c r="U305" i="51"/>
  <c r="BL369" i="51"/>
  <c r="BL45" i="51"/>
  <c r="BL196" i="51"/>
  <c r="BL117" i="51"/>
  <c r="AB364" i="51"/>
  <c r="BA346" i="51"/>
  <c r="BL332" i="51"/>
  <c r="BL286" i="51"/>
  <c r="AE262" i="51"/>
  <c r="AD353" i="51"/>
  <c r="BL18" i="51"/>
  <c r="BL14" i="51"/>
  <c r="BL24" i="51"/>
  <c r="BL31" i="51"/>
  <c r="BL41" i="51"/>
  <c r="BL94" i="51"/>
  <c r="BL105" i="51"/>
  <c r="BL250" i="51"/>
  <c r="AJ383" i="51"/>
  <c r="AI177" i="51"/>
  <c r="AI353" i="51"/>
  <c r="AH300" i="51"/>
  <c r="AG74" i="51"/>
  <c r="U75" i="51" s="1"/>
  <c r="AG152" i="51"/>
  <c r="AF353" i="51"/>
  <c r="BK360" i="51"/>
  <c r="BL314" i="51"/>
  <c r="BL276" i="51"/>
  <c r="BL261" i="51"/>
  <c r="BL228" i="51"/>
  <c r="AQ214" i="51"/>
  <c r="BL331" i="51"/>
  <c r="BL326" i="51"/>
  <c r="BL414" i="51"/>
  <c r="AG301" i="51"/>
  <c r="AG360" i="51"/>
  <c r="AF81" i="51"/>
  <c r="AB138" i="51"/>
  <c r="AA312" i="51"/>
  <c r="AA177" i="51"/>
  <c r="Z81" i="51"/>
  <c r="Z233" i="51"/>
  <c r="Z177" i="51"/>
  <c r="AA364" i="51"/>
  <c r="BK163" i="51"/>
  <c r="BK162" i="51" s="1"/>
  <c r="AC11" i="51"/>
  <c r="AC10" i="51" s="1"/>
  <c r="AB162" i="51"/>
  <c r="X11" i="51"/>
  <c r="X10" i="51" s="1"/>
  <c r="BL17" i="51"/>
  <c r="BL23" i="51"/>
  <c r="BL47" i="51"/>
  <c r="BL336" i="51"/>
  <c r="BL284" i="51"/>
  <c r="BL249" i="51"/>
  <c r="BL225" i="51"/>
  <c r="BL183" i="51"/>
  <c r="BL179" i="51"/>
  <c r="BL88" i="51"/>
  <c r="AN262" i="51"/>
  <c r="AK353" i="51"/>
  <c r="AK383" i="51"/>
  <c r="BL418" i="51"/>
  <c r="BK184" i="51"/>
  <c r="BL380" i="51"/>
  <c r="BL347" i="51"/>
  <c r="BL342" i="51"/>
  <c r="BK292" i="51"/>
  <c r="BL293" i="51"/>
  <c r="BL292" i="51" s="1"/>
  <c r="BK330" i="51"/>
  <c r="AQ384" i="51"/>
  <c r="AP312" i="51"/>
  <c r="AP262" i="51"/>
  <c r="BA404" i="51"/>
  <c r="BL415" i="51"/>
  <c r="BL371" i="51"/>
  <c r="BL367" i="51"/>
  <c r="BL127" i="51"/>
  <c r="BL123" i="51"/>
  <c r="BK49" i="51"/>
  <c r="BL199" i="51"/>
  <c r="BL218" i="51"/>
  <c r="BL223" i="51"/>
  <c r="BK251" i="51"/>
  <c r="BK263" i="51"/>
  <c r="BK262" i="51" s="1"/>
  <c r="AQ360" i="51"/>
  <c r="AP177" i="51"/>
  <c r="AO312" i="51"/>
  <c r="AN177" i="51"/>
  <c r="AN364" i="51"/>
  <c r="AK312" i="51"/>
  <c r="AK262" i="51"/>
  <c r="AJ11" i="51"/>
  <c r="AJ10" i="51" s="1"/>
  <c r="AJ81" i="51"/>
  <c r="AI312" i="51"/>
  <c r="AI262" i="51"/>
  <c r="AI171" i="51"/>
  <c r="AH383" i="51"/>
  <c r="BL375" i="51"/>
  <c r="BL401" i="51"/>
  <c r="BL397" i="51"/>
  <c r="BL393" i="51"/>
  <c r="BL389" i="51"/>
  <c r="BL385" i="51"/>
  <c r="BL53" i="51"/>
  <c r="BL57" i="51"/>
  <c r="BL62" i="51"/>
  <c r="BL68" i="51"/>
  <c r="BL72" i="51"/>
  <c r="BL83" i="51"/>
  <c r="AQ226" i="51"/>
  <c r="AQ354" i="51"/>
  <c r="AQ350" i="51"/>
  <c r="AP268" i="51"/>
  <c r="AP96" i="51"/>
  <c r="AP323" i="51"/>
  <c r="AM81" i="51"/>
  <c r="AM383" i="51"/>
  <c r="AJ268" i="51"/>
  <c r="AJ373" i="51"/>
  <c r="AH262" i="51"/>
  <c r="AG184" i="51"/>
  <c r="AG131" i="51"/>
  <c r="AE353" i="51"/>
  <c r="AC262" i="51"/>
  <c r="AA162" i="51"/>
  <c r="Z138" i="51"/>
  <c r="Y110" i="51"/>
  <c r="AG313" i="51"/>
  <c r="U314" i="51" s="1"/>
  <c r="AG295" i="51"/>
  <c r="AG294" i="51" s="1"/>
  <c r="AG251" i="51"/>
  <c r="AG178" i="51"/>
  <c r="AF11" i="51"/>
  <c r="AF10" i="51" s="1"/>
  <c r="AF312" i="51"/>
  <c r="AF262" i="51"/>
  <c r="AE268" i="51"/>
  <c r="AE364" i="51"/>
  <c r="AD177" i="51"/>
  <c r="AC138" i="51"/>
  <c r="AC373" i="51"/>
  <c r="AB262" i="51"/>
  <c r="AB171" i="51"/>
  <c r="AA110" i="51"/>
  <c r="Z281" i="51"/>
  <c r="Z383" i="51"/>
  <c r="AG69" i="51"/>
  <c r="U72" i="51" s="1"/>
  <c r="AG97" i="51"/>
  <c r="AG370" i="51"/>
  <c r="AF268" i="51"/>
  <c r="AF171" i="51"/>
  <c r="AF96" i="51"/>
  <c r="AF323" i="51"/>
  <c r="AF364" i="51"/>
  <c r="AA151" i="51"/>
  <c r="AA138" i="51"/>
  <c r="AI36" i="51"/>
  <c r="BL46" i="51"/>
  <c r="BL307" i="51"/>
  <c r="BL306" i="51" s="1"/>
  <c r="BL264" i="51"/>
  <c r="BL246" i="51"/>
  <c r="BL245" i="51" s="1"/>
  <c r="BL334" i="51"/>
  <c r="BL299" i="51"/>
  <c r="BA217" i="51"/>
  <c r="BA163" i="51"/>
  <c r="BA162" i="51" s="1"/>
  <c r="BL126" i="51"/>
  <c r="BL122" i="51"/>
  <c r="BL107" i="51"/>
  <c r="BL99" i="51"/>
  <c r="BL91" i="51"/>
  <c r="BL106" i="51"/>
  <c r="BL132" i="51"/>
  <c r="BK214" i="51"/>
  <c r="BK365" i="51"/>
  <c r="AQ54" i="51"/>
  <c r="BL212" i="51"/>
  <c r="AQ189" i="51"/>
  <c r="BL128" i="51"/>
  <c r="BL124" i="51"/>
  <c r="AP151" i="51"/>
  <c r="AP339" i="51"/>
  <c r="AO81" i="51"/>
  <c r="AM171" i="51"/>
  <c r="AM96" i="51"/>
  <c r="AM323" i="51"/>
  <c r="AJ162" i="51"/>
  <c r="AI73" i="51"/>
  <c r="BL417" i="51"/>
  <c r="BL357" i="51"/>
  <c r="BL351" i="51"/>
  <c r="BL345" i="51"/>
  <c r="BL341" i="51"/>
  <c r="BL252" i="51"/>
  <c r="BK217" i="51"/>
  <c r="BL89" i="51"/>
  <c r="BL378" i="51"/>
  <c r="BL413" i="51"/>
  <c r="BA350" i="51"/>
  <c r="BL78" i="51"/>
  <c r="BL77" i="51" s="1"/>
  <c r="BL156" i="51"/>
  <c r="BL155" i="51" s="1"/>
  <c r="BA201" i="51"/>
  <c r="BL180" i="51"/>
  <c r="BL100" i="51"/>
  <c r="BK64" i="51"/>
  <c r="BL92" i="51"/>
  <c r="BK97" i="51"/>
  <c r="BK211" i="51"/>
  <c r="BL311" i="51"/>
  <c r="AQ241" i="51"/>
  <c r="AQ229" i="51"/>
  <c r="AO233" i="51"/>
  <c r="AO373" i="51"/>
  <c r="AN373" i="51"/>
  <c r="AL138" i="51"/>
  <c r="AK138" i="51"/>
  <c r="AC36" i="51"/>
  <c r="AG263" i="51"/>
  <c r="AG262" i="51" s="1"/>
  <c r="AG189" i="51"/>
  <c r="AG111" i="51"/>
  <c r="U113" i="51" s="1"/>
  <c r="AF177" i="51"/>
  <c r="AF138" i="51"/>
  <c r="AF339" i="51"/>
  <c r="AE81" i="51"/>
  <c r="AE188" i="51"/>
  <c r="AB110" i="51"/>
  <c r="AA171" i="51"/>
  <c r="Z73" i="51"/>
  <c r="BK374" i="51"/>
  <c r="BK373" i="51" s="1"/>
  <c r="AQ37" i="51"/>
  <c r="BL260" i="51"/>
  <c r="AQ251" i="51"/>
  <c r="AQ197" i="51"/>
  <c r="AQ192" i="51"/>
  <c r="BL161" i="51"/>
  <c r="BL154" i="51"/>
  <c r="AP188" i="51"/>
  <c r="AP353" i="51"/>
  <c r="AO177" i="51"/>
  <c r="AN138" i="51"/>
  <c r="AM177" i="51"/>
  <c r="AM138" i="51"/>
  <c r="AL312" i="51"/>
  <c r="AL177" i="51"/>
  <c r="AL353" i="51"/>
  <c r="AL323" i="51"/>
  <c r="AL364" i="51"/>
  <c r="AJ73" i="51"/>
  <c r="AJ171" i="51"/>
  <c r="AJ353" i="51"/>
  <c r="AJ364" i="51"/>
  <c r="AI188" i="51"/>
  <c r="AI373" i="51"/>
  <c r="AH73" i="51"/>
  <c r="AG64" i="51"/>
  <c r="AG58" i="51"/>
  <c r="AG308" i="51"/>
  <c r="AD268" i="51"/>
  <c r="AD188" i="51"/>
  <c r="AC233" i="51"/>
  <c r="AC339" i="51"/>
  <c r="AB281" i="51"/>
  <c r="AB151" i="51"/>
  <c r="BL309" i="51"/>
  <c r="AQ233" i="51"/>
  <c r="AQ335" i="51"/>
  <c r="AP233" i="51"/>
  <c r="AP383" i="51"/>
  <c r="AP364" i="51"/>
  <c r="AO323" i="51"/>
  <c r="AN151" i="51"/>
  <c r="AN96" i="51"/>
  <c r="AN383" i="51"/>
  <c r="AM300" i="51"/>
  <c r="AL11" i="51"/>
  <c r="AL10" i="51" s="1"/>
  <c r="AL300" i="51"/>
  <c r="AL339" i="51"/>
  <c r="AJ233" i="51"/>
  <c r="AI233" i="51"/>
  <c r="AI364" i="51"/>
  <c r="AH11" i="51"/>
  <c r="AH10" i="51" s="1"/>
  <c r="AH233" i="51"/>
  <c r="AH162" i="51"/>
  <c r="AH96" i="51"/>
  <c r="BL274" i="51"/>
  <c r="BL224" i="51"/>
  <c r="BL203" i="51"/>
  <c r="AE339" i="51"/>
  <c r="Y353" i="51"/>
  <c r="X312" i="51"/>
  <c r="AA339" i="51"/>
  <c r="AA373" i="51"/>
  <c r="Z312" i="51"/>
  <c r="Y262" i="51"/>
  <c r="Y162" i="51"/>
  <c r="Y151" i="51"/>
  <c r="Y323" i="51"/>
  <c r="Y383" i="51"/>
  <c r="Y364" i="51"/>
  <c r="X138" i="51"/>
  <c r="X373" i="51"/>
  <c r="AG354" i="51"/>
  <c r="AF383" i="51"/>
  <c r="AE233" i="51"/>
  <c r="AE171" i="51"/>
  <c r="AE96" i="51"/>
  <c r="AD11" i="51"/>
  <c r="AD10" i="51" s="1"/>
  <c r="AD312" i="51"/>
  <c r="AD262" i="51"/>
  <c r="AD383" i="51"/>
  <c r="AC73" i="51"/>
  <c r="AC171" i="51"/>
  <c r="AB81" i="51"/>
  <c r="AB177" i="51"/>
  <c r="AB339" i="51"/>
  <c r="AB373" i="51"/>
  <c r="AA300" i="51"/>
  <c r="Y268" i="51"/>
  <c r="Y171" i="51"/>
  <c r="Y339" i="51"/>
  <c r="X177" i="51"/>
  <c r="X151" i="51"/>
  <c r="X353" i="51"/>
  <c r="BL76" i="51"/>
  <c r="BA74" i="51"/>
  <c r="BA247" i="51"/>
  <c r="BL248" i="51"/>
  <c r="BA101" i="51"/>
  <c r="BK120" i="51"/>
  <c r="BK229" i="51"/>
  <c r="BL232" i="51"/>
  <c r="AQ275" i="51"/>
  <c r="AQ201" i="51"/>
  <c r="AJ217" i="51"/>
  <c r="AJ188" i="51" s="1"/>
  <c r="AQ219" i="51"/>
  <c r="AQ217" i="51" s="1"/>
  <c r="AG229" i="51"/>
  <c r="U230" i="51" s="1"/>
  <c r="BL230" i="51"/>
  <c r="AG197" i="51"/>
  <c r="U198" i="51" s="1"/>
  <c r="BL198" i="51"/>
  <c r="AG157" i="51"/>
  <c r="U158" i="51" s="1"/>
  <c r="BL158" i="51"/>
  <c r="BL157" i="51" s="1"/>
  <c r="BL150" i="51"/>
  <c r="U267" i="51"/>
  <c r="BA384" i="51"/>
  <c r="BA365" i="51"/>
  <c r="BL26" i="51"/>
  <c r="BL22" i="51"/>
  <c r="BL33" i="51"/>
  <c r="BL29" i="51"/>
  <c r="BL39" i="51"/>
  <c r="BL220" i="51"/>
  <c r="BA285" i="51"/>
  <c r="BL235" i="51"/>
  <c r="BL234" i="51" s="1"/>
  <c r="BA234" i="51"/>
  <c r="BK221" i="51"/>
  <c r="BL222" i="51"/>
  <c r="BL329" i="51"/>
  <c r="BA381" i="51"/>
  <c r="BA360" i="51"/>
  <c r="BA324" i="51"/>
  <c r="BL133" i="51"/>
  <c r="AO281" i="51"/>
  <c r="AJ36" i="51"/>
  <c r="AH36" i="51"/>
  <c r="BA290" i="51"/>
  <c r="BA214" i="51"/>
  <c r="BL216" i="51"/>
  <c r="BK172" i="51"/>
  <c r="BL173" i="51"/>
  <c r="BL172" i="51" s="1"/>
  <c r="BL143" i="51"/>
  <c r="AK240" i="51"/>
  <c r="AK188" i="51"/>
  <c r="AJ110" i="51"/>
  <c r="BL406" i="51"/>
  <c r="BL398" i="51"/>
  <c r="BL394" i="51"/>
  <c r="BL372" i="51"/>
  <c r="BL358" i="51"/>
  <c r="BL343" i="51"/>
  <c r="BL32" i="51"/>
  <c r="BL44" i="51"/>
  <c r="BL52" i="51"/>
  <c r="BL56" i="51"/>
  <c r="BL61" i="51"/>
  <c r="BL67" i="51"/>
  <c r="BL75" i="51"/>
  <c r="BA330" i="51"/>
  <c r="BA313" i="51"/>
  <c r="BA312" i="51" s="1"/>
  <c r="BA258" i="51"/>
  <c r="BA257" i="51" s="1"/>
  <c r="BL239" i="51"/>
  <c r="BL238" i="51" s="1"/>
  <c r="BA152" i="51"/>
  <c r="BL90" i="51"/>
  <c r="BK42" i="51"/>
  <c r="BK82" i="51"/>
  <c r="BL187" i="51"/>
  <c r="AQ313" i="51"/>
  <c r="AQ312" i="51" s="1"/>
  <c r="AQ221" i="51"/>
  <c r="AQ152" i="51"/>
  <c r="AQ97" i="51"/>
  <c r="AP300" i="51"/>
  <c r="AO268" i="51"/>
  <c r="AO151" i="51"/>
  <c r="AN339" i="51"/>
  <c r="AM312" i="51"/>
  <c r="AM262" i="51"/>
  <c r="AM364" i="51"/>
  <c r="AL110" i="51"/>
  <c r="AL383" i="51"/>
  <c r="AJ177" i="51"/>
  <c r="AI110" i="51"/>
  <c r="AI383" i="51"/>
  <c r="AH240" i="51"/>
  <c r="AH188" i="51"/>
  <c r="AH353" i="51"/>
  <c r="BL48" i="51"/>
  <c r="BL51" i="51"/>
  <c r="BL60" i="51"/>
  <c r="BL70" i="51"/>
  <c r="BA271" i="51"/>
  <c r="BA211" i="51"/>
  <c r="BA197" i="51"/>
  <c r="BA174" i="51"/>
  <c r="BA171" i="51" s="1"/>
  <c r="BL146" i="51"/>
  <c r="BL130" i="51"/>
  <c r="BK12" i="51"/>
  <c r="AQ258" i="51"/>
  <c r="AQ257" i="51" s="1"/>
  <c r="AP138" i="51"/>
  <c r="AO11" i="51"/>
  <c r="AO10" i="51" s="1"/>
  <c r="AO383" i="51"/>
  <c r="AK268" i="51"/>
  <c r="BL356" i="51"/>
  <c r="BA308" i="51"/>
  <c r="BA251" i="51"/>
  <c r="BL104" i="51"/>
  <c r="BL400" i="51"/>
  <c r="BL396" i="51"/>
  <c r="BL392" i="51"/>
  <c r="BL388" i="51"/>
  <c r="AO188" i="51"/>
  <c r="AN11" i="51"/>
  <c r="AN10" i="51" s="1"/>
  <c r="AN36" i="51"/>
  <c r="AM240" i="51"/>
  <c r="AM162" i="51"/>
  <c r="AK177" i="51"/>
  <c r="AK339" i="51"/>
  <c r="AK373" i="51"/>
  <c r="AJ151" i="51"/>
  <c r="AH268" i="51"/>
  <c r="BL191" i="51"/>
  <c r="BK205" i="51"/>
  <c r="BK275" i="51"/>
  <c r="BK282" i="51"/>
  <c r="BL409" i="51"/>
  <c r="BL405" i="51"/>
  <c r="AQ73" i="51"/>
  <c r="AQ285" i="51"/>
  <c r="BL165" i="51"/>
  <c r="AQ370" i="51"/>
  <c r="AP73" i="51"/>
  <c r="AO36" i="51"/>
  <c r="AO171" i="51"/>
  <c r="AO110" i="51"/>
  <c r="AN73" i="51"/>
  <c r="AN300" i="51"/>
  <c r="AN162" i="51"/>
  <c r="AM73" i="51"/>
  <c r="AM110" i="51"/>
  <c r="AM339" i="51"/>
  <c r="AM373" i="51"/>
  <c r="AL81" i="51"/>
  <c r="AL268" i="51"/>
  <c r="AL188" i="51"/>
  <c r="AL162" i="51"/>
  <c r="AK11" i="51"/>
  <c r="AK10" i="51" s="1"/>
  <c r="AK300" i="51"/>
  <c r="AK233" i="51"/>
  <c r="AK162" i="51"/>
  <c r="AK96" i="51"/>
  <c r="AI11" i="51"/>
  <c r="AI10" i="51" s="1"/>
  <c r="AI281" i="51"/>
  <c r="AI151" i="51"/>
  <c r="AB240" i="51"/>
  <c r="Z36" i="51"/>
  <c r="BK145" i="51"/>
  <c r="BK152" i="51"/>
  <c r="BK226" i="51"/>
  <c r="BK271" i="51"/>
  <c r="BL25" i="51"/>
  <c r="BL16" i="51"/>
  <c r="AQ82" i="51"/>
  <c r="AQ49" i="51"/>
  <c r="AQ295" i="51"/>
  <c r="AQ294" i="51" s="1"/>
  <c r="AQ211" i="51"/>
  <c r="BL144" i="51"/>
  <c r="BL129" i="51"/>
  <c r="BL125" i="51"/>
  <c r="AQ101" i="51"/>
  <c r="AQ346" i="51"/>
  <c r="AP171" i="51"/>
  <c r="AO73" i="51"/>
  <c r="AO353" i="51"/>
  <c r="AO364" i="51"/>
  <c r="AN281" i="51"/>
  <c r="AN268" i="51"/>
  <c r="AN240" i="51"/>
  <c r="AN233" i="51"/>
  <c r="AN171" i="51"/>
  <c r="AM281" i="51"/>
  <c r="AM233" i="51"/>
  <c r="AM151" i="51"/>
  <c r="AM353" i="51"/>
  <c r="AL233" i="51"/>
  <c r="AL96" i="51"/>
  <c r="AJ312" i="51"/>
  <c r="AJ262" i="51"/>
  <c r="AJ138" i="51"/>
  <c r="AJ323" i="51"/>
  <c r="AI268" i="51"/>
  <c r="AH81" i="51"/>
  <c r="AH177" i="51"/>
  <c r="AH138" i="51"/>
  <c r="AH339" i="51"/>
  <c r="AH373" i="51"/>
  <c r="AG42" i="51"/>
  <c r="AG37" i="51"/>
  <c r="U38" i="51" s="1"/>
  <c r="AG217" i="51"/>
  <c r="AG404" i="51"/>
  <c r="AF300" i="51"/>
  <c r="AE323" i="51"/>
  <c r="Z171" i="51"/>
  <c r="AG247" i="51"/>
  <c r="AG101" i="51"/>
  <c r="X36" i="51"/>
  <c r="AG211" i="51"/>
  <c r="U212" i="51" s="1"/>
  <c r="AG159" i="51"/>
  <c r="AG330" i="51"/>
  <c r="AG324" i="51"/>
  <c r="AG384" i="51"/>
  <c r="AE11" i="51"/>
  <c r="AE10" i="51" s="1"/>
  <c r="AE300" i="51"/>
  <c r="AE151" i="51"/>
  <c r="AE383" i="51"/>
  <c r="AD81" i="51"/>
  <c r="AD339" i="51"/>
  <c r="AC312" i="51"/>
  <c r="AC281" i="51"/>
  <c r="AC162" i="51"/>
  <c r="AC364" i="51"/>
  <c r="AB312" i="51"/>
  <c r="AB188" i="51"/>
  <c r="AB383" i="51"/>
  <c r="Z262" i="51"/>
  <c r="Z110" i="51"/>
  <c r="Y11" i="51"/>
  <c r="Y10" i="51" s="1"/>
  <c r="Y73" i="51"/>
  <c r="Y373" i="51"/>
  <c r="X300" i="51"/>
  <c r="X268" i="51"/>
  <c r="X188" i="51"/>
  <c r="X110" i="51"/>
  <c r="X96" i="51"/>
  <c r="AG145" i="51"/>
  <c r="U150" i="51" s="1"/>
  <c r="AG335" i="51"/>
  <c r="AE73" i="51"/>
  <c r="AE240" i="51"/>
  <c r="AD162" i="51"/>
  <c r="AC240" i="51"/>
  <c r="AC110" i="51"/>
  <c r="AB96" i="51"/>
  <c r="AB323" i="51"/>
  <c r="AA73" i="51"/>
  <c r="AA233" i="51"/>
  <c r="AA96" i="51"/>
  <c r="AA323" i="51"/>
  <c r="Z151" i="51"/>
  <c r="Z323" i="51"/>
  <c r="Z373" i="51"/>
  <c r="X233" i="51"/>
  <c r="AF36" i="51"/>
  <c r="AF233" i="51"/>
  <c r="AF162" i="51"/>
  <c r="AE110" i="51"/>
  <c r="AD73" i="51"/>
  <c r="AD240" i="51"/>
  <c r="AD138" i="51"/>
  <c r="AD323" i="51"/>
  <c r="AC151" i="51"/>
  <c r="AB11" i="51"/>
  <c r="AB10" i="51" s="1"/>
  <c r="AB300" i="51"/>
  <c r="AB353" i="51"/>
  <c r="AA268" i="51"/>
  <c r="AA353" i="51"/>
  <c r="Y240" i="51"/>
  <c r="Y177" i="51"/>
  <c r="X383" i="51"/>
  <c r="BA12" i="51"/>
  <c r="BL13" i="51"/>
  <c r="BA42" i="51"/>
  <c r="BL43" i="51"/>
  <c r="BL193" i="51"/>
  <c r="BA335" i="51"/>
  <c r="BL337" i="51"/>
  <c r="BA205" i="51"/>
  <c r="BA189" i="51"/>
  <c r="BL190" i="51"/>
  <c r="BA82" i="51"/>
  <c r="BL84" i="51"/>
  <c r="BK192" i="51"/>
  <c r="BL195" i="51"/>
  <c r="BK410" i="51"/>
  <c r="BL321" i="51"/>
  <c r="BL320" i="51" s="1"/>
  <c r="BL319" i="51" s="1"/>
  <c r="AQ320" i="51"/>
  <c r="AQ319" i="51" s="1"/>
  <c r="BL289" i="51"/>
  <c r="BL288" i="51" s="1"/>
  <c r="AQ288" i="51"/>
  <c r="BL185" i="51"/>
  <c r="AQ184" i="51"/>
  <c r="AQ111" i="51"/>
  <c r="BL113" i="51"/>
  <c r="BL333" i="51"/>
  <c r="BL408" i="51"/>
  <c r="BA254" i="51"/>
  <c r="BL227" i="51"/>
  <c r="BA226" i="51"/>
  <c r="BA192" i="51"/>
  <c r="BL194" i="51"/>
  <c r="BK236" i="51"/>
  <c r="BK233" i="51" s="1"/>
  <c r="BL237" i="51"/>
  <c r="BL236" i="51" s="1"/>
  <c r="AQ139" i="51"/>
  <c r="BL140" i="51"/>
  <c r="BA54" i="51"/>
  <c r="BL55" i="51"/>
  <c r="BA86" i="51"/>
  <c r="BL87" i="51"/>
  <c r="BL135" i="51"/>
  <c r="BK131" i="51"/>
  <c r="BK404" i="51"/>
  <c r="AQ120" i="51"/>
  <c r="BA121" i="51"/>
  <c r="BA370" i="51"/>
  <c r="BL376" i="51"/>
  <c r="BA374" i="51"/>
  <c r="BL348" i="51"/>
  <c r="BA27" i="51"/>
  <c r="BL28" i="51"/>
  <c r="BA49" i="51"/>
  <c r="BA58" i="51"/>
  <c r="BL59" i="51"/>
  <c r="BL318" i="51"/>
  <c r="BL317" i="51" s="1"/>
  <c r="BL153" i="51"/>
  <c r="BA282" i="51"/>
  <c r="BL283" i="51"/>
  <c r="BA275" i="51"/>
  <c r="BL231" i="51"/>
  <c r="BA229" i="51"/>
  <c r="BA184" i="51"/>
  <c r="BL186" i="51"/>
  <c r="BL98" i="51"/>
  <c r="BA97" i="51"/>
  <c r="BL102" i="51"/>
  <c r="BL204" i="51"/>
  <c r="BK201" i="51"/>
  <c r="BK346" i="51"/>
  <c r="BL305" i="51"/>
  <c r="BL304" i="51" s="1"/>
  <c r="AQ304" i="51"/>
  <c r="AQ174" i="51"/>
  <c r="AQ171" i="51" s="1"/>
  <c r="BL176" i="51"/>
  <c r="BL148" i="51"/>
  <c r="BA178" i="51"/>
  <c r="BL182" i="51"/>
  <c r="BL411" i="51"/>
  <c r="BA410" i="51"/>
  <c r="BL352" i="51"/>
  <c r="BL20" i="51"/>
  <c r="BA37" i="51"/>
  <c r="BL38" i="51"/>
  <c r="BA79" i="51"/>
  <c r="BL80" i="51"/>
  <c r="BL79" i="51" s="1"/>
  <c r="BA295" i="51"/>
  <c r="BA294" i="51" s="1"/>
  <c r="BL296" i="51"/>
  <c r="BA139" i="51"/>
  <c r="BK197" i="51"/>
  <c r="BK313" i="51"/>
  <c r="BK312" i="51" s="1"/>
  <c r="BL315" i="51"/>
  <c r="BL71" i="51"/>
  <c r="AQ64" i="51"/>
  <c r="BL66" i="51"/>
  <c r="BL181" i="51"/>
  <c r="AQ178" i="51"/>
  <c r="BA69" i="51"/>
  <c r="BA77" i="51"/>
  <c r="BL267" i="51"/>
  <c r="BL266" i="51" s="1"/>
  <c r="BL259" i="51"/>
  <c r="BL213" i="51"/>
  <c r="BL170" i="51"/>
  <c r="BL169" i="51" s="1"/>
  <c r="BA131" i="51"/>
  <c r="BK37" i="51"/>
  <c r="BK54" i="51"/>
  <c r="BK178" i="51"/>
  <c r="BK241" i="51"/>
  <c r="BK247" i="51"/>
  <c r="BK295" i="51"/>
  <c r="BK294" i="51" s="1"/>
  <c r="AQ12" i="51"/>
  <c r="BL149" i="51"/>
  <c r="BL141" i="51"/>
  <c r="AQ324" i="51"/>
  <c r="AQ404" i="51"/>
  <c r="AP11" i="51"/>
  <c r="AP10" i="51" s="1"/>
  <c r="AP36" i="51"/>
  <c r="AP281" i="51"/>
  <c r="AP110" i="51"/>
  <c r="AO300" i="51"/>
  <c r="AO240" i="51"/>
  <c r="AO162" i="51"/>
  <c r="AO96" i="51"/>
  <c r="AN312" i="51"/>
  <c r="AK151" i="51"/>
  <c r="AK364" i="51"/>
  <c r="AJ300" i="51"/>
  <c r="AJ240" i="51"/>
  <c r="AJ339" i="51"/>
  <c r="AI240" i="51"/>
  <c r="AI162" i="51"/>
  <c r="AI96" i="51"/>
  <c r="AH151" i="51"/>
  <c r="AH364" i="51"/>
  <c r="AQ374" i="51"/>
  <c r="AQ373" i="51" s="1"/>
  <c r="AL36" i="51"/>
  <c r="AL281" i="51"/>
  <c r="BA354" i="51"/>
  <c r="BA340" i="51"/>
  <c r="BA64" i="51"/>
  <c r="BL253" i="51"/>
  <c r="BA238" i="51"/>
  <c r="BA221" i="51"/>
  <c r="BK27" i="51"/>
  <c r="BK58" i="51"/>
  <c r="BK69" i="51"/>
  <c r="BK308" i="51"/>
  <c r="BK324" i="51"/>
  <c r="BK335" i="51"/>
  <c r="AQ19" i="51"/>
  <c r="AQ69" i="51"/>
  <c r="AQ42" i="51"/>
  <c r="AQ308" i="51"/>
  <c r="AQ271" i="51"/>
  <c r="AQ247" i="51"/>
  <c r="AQ205" i="51"/>
  <c r="AQ330" i="51"/>
  <c r="AQ365" i="51"/>
  <c r="AP81" i="51"/>
  <c r="AP240" i="51"/>
  <c r="AP162" i="51"/>
  <c r="AO138" i="51"/>
  <c r="AO339" i="51"/>
  <c r="AN188" i="51"/>
  <c r="AN110" i="51"/>
  <c r="AM36" i="51"/>
  <c r="AM268" i="51"/>
  <c r="AM188" i="51"/>
  <c r="AL73" i="51"/>
  <c r="AL151" i="51"/>
  <c r="AK281" i="51"/>
  <c r="AK171" i="51"/>
  <c r="AK110" i="51"/>
  <c r="AK323" i="51"/>
  <c r="AJ281" i="51"/>
  <c r="AJ96" i="51"/>
  <c r="AI138" i="51"/>
  <c r="AI339" i="51"/>
  <c r="AH281" i="51"/>
  <c r="AH171" i="51"/>
  <c r="AH110" i="51"/>
  <c r="AH323" i="51"/>
  <c r="BA145" i="51"/>
  <c r="BK139" i="51"/>
  <c r="BK174" i="51"/>
  <c r="BL175" i="51"/>
  <c r="BK340" i="51"/>
  <c r="BK354" i="51"/>
  <c r="BK384" i="51"/>
  <c r="AQ27" i="51"/>
  <c r="AQ86" i="51"/>
  <c r="AQ58" i="51"/>
  <c r="AQ145" i="51"/>
  <c r="AQ340" i="51"/>
  <c r="AQ410" i="51"/>
  <c r="AL240" i="51"/>
  <c r="AA240" i="51"/>
  <c r="AG233" i="51"/>
  <c r="AF281" i="51"/>
  <c r="AG86" i="51"/>
  <c r="AG82" i="51"/>
  <c r="AG54" i="51"/>
  <c r="AG282" i="51"/>
  <c r="AG258" i="51"/>
  <c r="AG192" i="51"/>
  <c r="AG174" i="51"/>
  <c r="AG139" i="51"/>
  <c r="AG340" i="51"/>
  <c r="AF188" i="51"/>
  <c r="AF151" i="51"/>
  <c r="AE281" i="51"/>
  <c r="AD36" i="51"/>
  <c r="AD300" i="51"/>
  <c r="AD171" i="51"/>
  <c r="AD110" i="51"/>
  <c r="AD96" i="51"/>
  <c r="AC268" i="51"/>
  <c r="AC188" i="51"/>
  <c r="AC96" i="51"/>
  <c r="AC323" i="51"/>
  <c r="AB73" i="51"/>
  <c r="AB233" i="51"/>
  <c r="AA11" i="51"/>
  <c r="AA10" i="51" s="1"/>
  <c r="AA36" i="51"/>
  <c r="AA281" i="51"/>
  <c r="AA188" i="51"/>
  <c r="AA383" i="51"/>
  <c r="Z240" i="51"/>
  <c r="Y36" i="51"/>
  <c r="Y300" i="51"/>
  <c r="X73" i="51"/>
  <c r="X162" i="51"/>
  <c r="AG19" i="51"/>
  <c r="AG221" i="51"/>
  <c r="AG120" i="51"/>
  <c r="AG350" i="51"/>
  <c r="AG374" i="51"/>
  <c r="AF73" i="51"/>
  <c r="AF240" i="51"/>
  <c r="AE36" i="51"/>
  <c r="AD281" i="51"/>
  <c r="AD151" i="51"/>
  <c r="AD364" i="51"/>
  <c r="AC300" i="51"/>
  <c r="AC177" i="51"/>
  <c r="AC353" i="51"/>
  <c r="AB268" i="51"/>
  <c r="AA81" i="51"/>
  <c r="Z268" i="51"/>
  <c r="Z188" i="51"/>
  <c r="Y281" i="51"/>
  <c r="AG27" i="51"/>
  <c r="AG49" i="51"/>
  <c r="AG226" i="51"/>
  <c r="U227" i="51" s="1"/>
  <c r="AF110" i="51"/>
  <c r="AE162" i="51"/>
  <c r="AC383" i="51"/>
  <c r="AB36" i="51"/>
  <c r="Z162" i="51"/>
  <c r="Y233" i="51"/>
  <c r="Y138" i="51"/>
  <c r="Y96" i="51"/>
  <c r="X81" i="51"/>
  <c r="X240" i="51"/>
  <c r="X171" i="51"/>
  <c r="X323" i="51"/>
  <c r="Y188" i="51"/>
  <c r="X281" i="51"/>
  <c r="X339" i="51"/>
  <c r="X364" i="51"/>
  <c r="AG410" i="51" l="1"/>
  <c r="AG383" i="51" s="1"/>
  <c r="AG214" i="51"/>
  <c r="U215" i="51" s="1"/>
  <c r="AG285" i="51"/>
  <c r="U286" i="51" s="1"/>
  <c r="AG254" i="51"/>
  <c r="U255" i="51" s="1"/>
  <c r="AQ159" i="51"/>
  <c r="AQ151" i="51" s="1"/>
  <c r="BA373" i="51"/>
  <c r="AG346" i="51"/>
  <c r="U348" i="51" s="1"/>
  <c r="BL272" i="51"/>
  <c r="BL271" i="51" s="1"/>
  <c r="BK301" i="51"/>
  <c r="AG365" i="51"/>
  <c r="U369" i="51" s="1"/>
  <c r="BL254" i="51"/>
  <c r="BL93" i="51"/>
  <c r="BL86" i="51" s="1"/>
  <c r="BK101" i="51"/>
  <c r="BL280" i="51"/>
  <c r="BL279" i="51" s="1"/>
  <c r="AG177" i="51"/>
  <c r="BL277" i="51"/>
  <c r="BL275" i="51" s="1"/>
  <c r="BL164" i="51"/>
  <c r="BL163" i="51" s="1"/>
  <c r="BL162" i="51" s="1"/>
  <c r="BL270" i="51"/>
  <c r="BL269" i="51" s="1"/>
  <c r="BL152" i="51"/>
  <c r="BL15" i="51"/>
  <c r="BL12" i="51" s="1"/>
  <c r="U70" i="51"/>
  <c r="AG205" i="51"/>
  <c r="U206" i="51" s="1"/>
  <c r="BL263" i="51"/>
  <c r="BL262" i="51" s="1"/>
  <c r="BL205" i="51"/>
  <c r="BL360" i="51"/>
  <c r="BL303" i="51"/>
  <c r="BL301" i="51" s="1"/>
  <c r="U382" i="51"/>
  <c r="AG241" i="51"/>
  <c r="U243" i="51" s="1"/>
  <c r="BL282" i="51"/>
  <c r="BL308" i="51"/>
  <c r="BL134" i="51"/>
  <c r="BL131" i="51" s="1"/>
  <c r="BL324" i="51"/>
  <c r="Y81" i="51"/>
  <c r="Y35" i="51" s="1"/>
  <c r="BL74" i="51"/>
  <c r="BL73" i="51" s="1"/>
  <c r="BL21" i="51"/>
  <c r="BL19" i="51" s="1"/>
  <c r="BK353" i="51"/>
  <c r="BL37" i="51"/>
  <c r="U291" i="51"/>
  <c r="BL258" i="51"/>
  <c r="BL257" i="51" s="1"/>
  <c r="BL49" i="51"/>
  <c r="BL42" i="51"/>
  <c r="BL291" i="51"/>
  <c r="BL290" i="51" s="1"/>
  <c r="AQ301" i="51"/>
  <c r="AQ300" i="51" s="1"/>
  <c r="BL101" i="51"/>
  <c r="BL54" i="51"/>
  <c r="AG201" i="51"/>
  <c r="U203" i="51" s="1"/>
  <c r="BL382" i="51"/>
  <c r="BL381" i="51" s="1"/>
  <c r="AG162" i="51"/>
  <c r="AC363" i="51"/>
  <c r="BL410" i="51"/>
  <c r="BL58" i="51"/>
  <c r="BL27" i="51"/>
  <c r="BL111" i="51"/>
  <c r="BL247" i="51"/>
  <c r="BL174" i="51"/>
  <c r="BL171" i="51" s="1"/>
  <c r="BL295" i="51"/>
  <c r="BL294" i="51" s="1"/>
  <c r="BL97" i="51"/>
  <c r="BL189" i="51"/>
  <c r="Z363" i="51"/>
  <c r="BL221" i="51"/>
  <c r="BL340" i="51"/>
  <c r="BL145" i="51"/>
  <c r="BL229" i="51"/>
  <c r="BL384" i="51"/>
  <c r="BL335" i="51"/>
  <c r="BL365" i="51"/>
  <c r="BL64" i="51"/>
  <c r="BL82" i="51"/>
  <c r="BL374" i="51"/>
  <c r="BL346" i="51"/>
  <c r="BL184" i="51"/>
  <c r="BL192" i="51"/>
  <c r="BL404" i="51"/>
  <c r="BL69" i="51"/>
  <c r="BL197" i="51"/>
  <c r="BL251" i="51"/>
  <c r="BL350" i="51"/>
  <c r="BL211" i="51"/>
  <c r="BL370" i="51"/>
  <c r="BL330" i="51"/>
  <c r="BL285" i="51"/>
  <c r="BL139" i="51"/>
  <c r="BL233" i="51"/>
  <c r="BL201" i="51"/>
  <c r="BL159" i="51"/>
  <c r="BL178" i="51"/>
  <c r="BL313" i="51"/>
  <c r="BL312" i="51" s="1"/>
  <c r="BL354" i="51"/>
  <c r="BL241" i="51"/>
  <c r="BK151" i="51"/>
  <c r="AQ364" i="51"/>
  <c r="BK364" i="51"/>
  <c r="AG312" i="51"/>
  <c r="AJ363" i="51"/>
  <c r="AG110" i="51"/>
  <c r="BL226" i="51"/>
  <c r="AK35" i="51"/>
  <c r="AM35" i="51"/>
  <c r="AQ81" i="51"/>
  <c r="U299" i="51"/>
  <c r="BA300" i="51"/>
  <c r="BA151" i="51"/>
  <c r="U296" i="51"/>
  <c r="AC35" i="51"/>
  <c r="AF363" i="51"/>
  <c r="AK322" i="51"/>
  <c r="AG323" i="51"/>
  <c r="BK81" i="51"/>
  <c r="AD322" i="51"/>
  <c r="AB363" i="51"/>
  <c r="AN322" i="51"/>
  <c r="BK339" i="51"/>
  <c r="AQ96" i="51"/>
  <c r="AG73" i="51"/>
  <c r="AO322" i="51"/>
  <c r="BA364" i="51"/>
  <c r="BL214" i="51"/>
  <c r="AF322" i="51"/>
  <c r="BK138" i="51"/>
  <c r="BA323" i="51"/>
  <c r="Z322" i="51"/>
  <c r="AE363" i="51"/>
  <c r="U303" i="51"/>
  <c r="U302" i="51"/>
  <c r="U153" i="51"/>
  <c r="U154" i="51"/>
  <c r="AA363" i="51"/>
  <c r="BK11" i="51"/>
  <c r="BK10" i="51" s="1"/>
  <c r="AH322" i="51"/>
  <c r="AI322" i="51"/>
  <c r="AQ240" i="51"/>
  <c r="BA339" i="51"/>
  <c r="AQ11" i="51"/>
  <c r="AQ10" i="51" s="1"/>
  <c r="Z35" i="51"/>
  <c r="U71" i="51"/>
  <c r="AP363" i="51"/>
  <c r="AI35" i="51"/>
  <c r="AG300" i="51"/>
  <c r="AQ268" i="51"/>
  <c r="BK177" i="51"/>
  <c r="BA268" i="51"/>
  <c r="BK110" i="51"/>
  <c r="Y322" i="51"/>
  <c r="AL322" i="51"/>
  <c r="AP322" i="51"/>
  <c r="U362" i="51"/>
  <c r="U361" i="51"/>
  <c r="U100" i="51"/>
  <c r="U99" i="51"/>
  <c r="U98" i="51"/>
  <c r="BA353" i="51"/>
  <c r="AJ322" i="51"/>
  <c r="BK96" i="51"/>
  <c r="AL363" i="51"/>
  <c r="AJ35" i="51"/>
  <c r="U182" i="51"/>
  <c r="U180" i="51"/>
  <c r="U183" i="51"/>
  <c r="U179" i="51"/>
  <c r="U181" i="51"/>
  <c r="U134" i="51"/>
  <c r="U133" i="51"/>
  <c r="U135" i="51"/>
  <c r="AQ353" i="51"/>
  <c r="AE35" i="51"/>
  <c r="BK383" i="51"/>
  <c r="BK171" i="51"/>
  <c r="AE322" i="51"/>
  <c r="AO363" i="51"/>
  <c r="BK268" i="51"/>
  <c r="BK281" i="51"/>
  <c r="AI363" i="51"/>
  <c r="U298" i="51"/>
  <c r="U315" i="51"/>
  <c r="U297" i="51"/>
  <c r="U253" i="51"/>
  <c r="U252" i="51"/>
  <c r="U187" i="51"/>
  <c r="U185" i="51"/>
  <c r="U186" i="51"/>
  <c r="X35" i="51"/>
  <c r="U316" i="51"/>
  <c r="AB95" i="51"/>
  <c r="U372" i="51"/>
  <c r="U371" i="51"/>
  <c r="AG353" i="51"/>
  <c r="U358" i="51"/>
  <c r="U359" i="51"/>
  <c r="U357" i="51"/>
  <c r="U355" i="51"/>
  <c r="U356" i="51"/>
  <c r="AN363" i="51"/>
  <c r="U63" i="51"/>
  <c r="U61" i="51"/>
  <c r="U62" i="51"/>
  <c r="U59" i="51"/>
  <c r="U60" i="51"/>
  <c r="U191" i="51"/>
  <c r="U190" i="51"/>
  <c r="AD363" i="51"/>
  <c r="AG268" i="51"/>
  <c r="AQ383" i="51"/>
  <c r="AM322" i="51"/>
  <c r="AO35" i="51"/>
  <c r="AQ281" i="51"/>
  <c r="AN35" i="51"/>
  <c r="U164" i="51"/>
  <c r="U166" i="51"/>
  <c r="U165" i="51"/>
  <c r="U67" i="51"/>
  <c r="U65" i="51"/>
  <c r="U68" i="51"/>
  <c r="U66" i="51"/>
  <c r="U265" i="51"/>
  <c r="U264" i="51"/>
  <c r="AM95" i="51"/>
  <c r="AA322" i="51"/>
  <c r="AB322" i="51"/>
  <c r="Y363" i="51"/>
  <c r="Z95" i="51"/>
  <c r="U277" i="51"/>
  <c r="U278" i="51"/>
  <c r="U276" i="51"/>
  <c r="AE95" i="51"/>
  <c r="AP35" i="51"/>
  <c r="AF35" i="51"/>
  <c r="BA73" i="51"/>
  <c r="U311" i="51"/>
  <c r="U310" i="51"/>
  <c r="U309" i="51"/>
  <c r="AF95" i="51"/>
  <c r="AJ95" i="51"/>
  <c r="AP95" i="51"/>
  <c r="AH95" i="51"/>
  <c r="BK240" i="51"/>
  <c r="U336" i="51"/>
  <c r="U337" i="51"/>
  <c r="U338" i="51"/>
  <c r="U328" i="51"/>
  <c r="U329" i="51"/>
  <c r="U327" i="51"/>
  <c r="U326" i="51"/>
  <c r="U325" i="51"/>
  <c r="U102" i="51"/>
  <c r="U105" i="51"/>
  <c r="U106" i="51"/>
  <c r="U107" i="51"/>
  <c r="U104" i="51"/>
  <c r="U103" i="51"/>
  <c r="AH35" i="51"/>
  <c r="U218" i="51"/>
  <c r="U220" i="51"/>
  <c r="AB35" i="51"/>
  <c r="AG96" i="51"/>
  <c r="AA95" i="51"/>
  <c r="AD35" i="51"/>
  <c r="AQ339" i="51"/>
  <c r="AQ188" i="51"/>
  <c r="AQ177" i="51"/>
  <c r="AQ138" i="51"/>
  <c r="BA240" i="51"/>
  <c r="BK188" i="51"/>
  <c r="U333" i="51"/>
  <c r="U334" i="51"/>
  <c r="U332" i="51"/>
  <c r="U331" i="51"/>
  <c r="U250" i="51"/>
  <c r="U249" i="51"/>
  <c r="U248" i="51"/>
  <c r="U408" i="51"/>
  <c r="U405" i="51"/>
  <c r="U406" i="51"/>
  <c r="U409" i="51"/>
  <c r="U407" i="51"/>
  <c r="U232" i="51"/>
  <c r="U231" i="51"/>
  <c r="U161" i="51"/>
  <c r="U160" i="51"/>
  <c r="U273" i="51"/>
  <c r="U272" i="51"/>
  <c r="U200" i="51"/>
  <c r="U199" i="51"/>
  <c r="AL95" i="51"/>
  <c r="AG151" i="51"/>
  <c r="X363" i="51"/>
  <c r="X95" i="51"/>
  <c r="AK95" i="51"/>
  <c r="AN95" i="51"/>
  <c r="BA233" i="51"/>
  <c r="AH363" i="51"/>
  <c r="AK363" i="51"/>
  <c r="BA383" i="51"/>
  <c r="BA177" i="51"/>
  <c r="BA96" i="51"/>
  <c r="BA281" i="51"/>
  <c r="U395" i="51"/>
  <c r="U392" i="51"/>
  <c r="U396" i="51"/>
  <c r="U403" i="51"/>
  <c r="U389" i="51"/>
  <c r="U386" i="51"/>
  <c r="U400" i="51"/>
  <c r="U391" i="51"/>
  <c r="U393" i="51"/>
  <c r="U401" i="51"/>
  <c r="U387" i="51"/>
  <c r="U398" i="51"/>
  <c r="U399" i="51"/>
  <c r="U397" i="51"/>
  <c r="U390" i="51"/>
  <c r="U402" i="51"/>
  <c r="U394" i="51"/>
  <c r="U385" i="51"/>
  <c r="U388" i="51"/>
  <c r="U17" i="51"/>
  <c r="U15" i="51"/>
  <c r="U16" i="51"/>
  <c r="U18" i="51"/>
  <c r="U13" i="51"/>
  <c r="U14" i="51"/>
  <c r="AM363" i="51"/>
  <c r="U219" i="51"/>
  <c r="BL219" i="51"/>
  <c r="BL217" i="51" s="1"/>
  <c r="U213" i="51"/>
  <c r="AC95" i="51"/>
  <c r="AG138" i="51"/>
  <c r="U149" i="51"/>
  <c r="U140" i="51"/>
  <c r="U146" i="51"/>
  <c r="U141" i="51"/>
  <c r="U147" i="51"/>
  <c r="U143" i="51"/>
  <c r="U148" i="51"/>
  <c r="U144" i="51"/>
  <c r="U142" i="51"/>
  <c r="U55" i="51"/>
  <c r="U56" i="51"/>
  <c r="U57" i="51"/>
  <c r="Y95" i="51"/>
  <c r="U28" i="51"/>
  <c r="U30" i="51"/>
  <c r="U29" i="51"/>
  <c r="U32" i="51"/>
  <c r="U34" i="51"/>
  <c r="U31" i="51"/>
  <c r="U33" i="51"/>
  <c r="AG373" i="51"/>
  <c r="U379" i="51"/>
  <c r="U377" i="51"/>
  <c r="U380" i="51"/>
  <c r="U378" i="51"/>
  <c r="U375" i="51"/>
  <c r="U376" i="51"/>
  <c r="U224" i="51"/>
  <c r="U223" i="51"/>
  <c r="U225" i="51"/>
  <c r="U222" i="51"/>
  <c r="U22" i="51"/>
  <c r="U23" i="51"/>
  <c r="U24" i="51"/>
  <c r="U25" i="51"/>
  <c r="U26" i="51"/>
  <c r="U21" i="51"/>
  <c r="U20" i="51"/>
  <c r="AC322" i="51"/>
  <c r="AD95" i="51"/>
  <c r="U342" i="51"/>
  <c r="U345" i="51"/>
  <c r="U341" i="51"/>
  <c r="U343" i="51"/>
  <c r="U344" i="51"/>
  <c r="U284" i="51"/>
  <c r="U283" i="51"/>
  <c r="AL35" i="51"/>
  <c r="AQ323" i="51"/>
  <c r="BK36" i="51"/>
  <c r="BA138" i="51"/>
  <c r="BA81" i="51"/>
  <c r="U414" i="51"/>
  <c r="U420" i="51"/>
  <c r="U417" i="51"/>
  <c r="U412" i="51"/>
  <c r="U415" i="51"/>
  <c r="U418" i="51"/>
  <c r="U416" i="51"/>
  <c r="U411" i="51"/>
  <c r="U419" i="51"/>
  <c r="U413" i="51"/>
  <c r="U128" i="51"/>
  <c r="U125" i="51"/>
  <c r="U129" i="51"/>
  <c r="AA35" i="51"/>
  <c r="AG171" i="51"/>
  <c r="U176" i="51"/>
  <c r="U175" i="51"/>
  <c r="AG257" i="51"/>
  <c r="U260" i="51"/>
  <c r="AG81" i="51"/>
  <c r="U85" i="51"/>
  <c r="U83" i="51"/>
  <c r="U84" i="51"/>
  <c r="AG11" i="51"/>
  <c r="AG10" i="51" s="1"/>
  <c r="AQ36" i="51"/>
  <c r="BK323" i="51"/>
  <c r="AI95" i="51"/>
  <c r="AQ110" i="51"/>
  <c r="BA11" i="51"/>
  <c r="BA10" i="51" s="1"/>
  <c r="X322" i="51"/>
  <c r="U52" i="51"/>
  <c r="U51" i="51"/>
  <c r="U53" i="51"/>
  <c r="U50" i="51"/>
  <c r="U351" i="51"/>
  <c r="U352" i="51"/>
  <c r="AG36" i="51"/>
  <c r="U195" i="51"/>
  <c r="U194" i="51"/>
  <c r="U196" i="51"/>
  <c r="U193" i="51"/>
  <c r="U88" i="51"/>
  <c r="U92" i="51"/>
  <c r="U89" i="51"/>
  <c r="U93" i="51"/>
  <c r="U87" i="51"/>
  <c r="U91" i="51"/>
  <c r="U90" i="51"/>
  <c r="U94" i="51"/>
  <c r="AO95" i="51"/>
  <c r="BA36" i="51"/>
  <c r="BA120" i="51"/>
  <c r="BA110" i="51" s="1"/>
  <c r="BL121" i="51"/>
  <c r="BL120" i="51" s="1"/>
  <c r="BA188" i="51"/>
  <c r="U216" i="51" l="1"/>
  <c r="BK421" i="51"/>
  <c r="AG240" i="51"/>
  <c r="BK300" i="51"/>
  <c r="BK95" i="51" s="1"/>
  <c r="AG281" i="51"/>
  <c r="AG339" i="51"/>
  <c r="AG322" i="51" s="1"/>
  <c r="U349" i="51"/>
  <c r="U287" i="51"/>
  <c r="U368" i="51"/>
  <c r="U367" i="51"/>
  <c r="U347" i="51"/>
  <c r="U366" i="51"/>
  <c r="AG364" i="51"/>
  <c r="AG363" i="51" s="1"/>
  <c r="BL151" i="51"/>
  <c r="U204" i="51"/>
  <c r="AQ363" i="51"/>
  <c r="U202" i="51"/>
  <c r="U210" i="51"/>
  <c r="U207" i="51"/>
  <c r="U208" i="51"/>
  <c r="BL353" i="51"/>
  <c r="BL300" i="51"/>
  <c r="BL110" i="51"/>
  <c r="U209" i="51"/>
  <c r="BL373" i="51"/>
  <c r="AG188" i="51"/>
  <c r="BL81" i="51"/>
  <c r="BL11" i="51"/>
  <c r="BL10" i="51" s="1"/>
  <c r="BL96" i="51"/>
  <c r="BL281" i="51"/>
  <c r="BL138" i="51"/>
  <c r="BL323" i="51"/>
  <c r="BL339" i="51"/>
  <c r="BL383" i="51"/>
  <c r="BL36" i="51"/>
  <c r="BL268" i="51"/>
  <c r="BL188" i="51"/>
  <c r="BA363" i="51"/>
  <c r="BL240" i="51"/>
  <c r="BL364" i="51"/>
  <c r="BL177" i="51"/>
  <c r="BK363" i="51"/>
  <c r="BK322" i="51"/>
  <c r="AQ35" i="51"/>
  <c r="AM421" i="51"/>
  <c r="AK421" i="51"/>
  <c r="AJ421" i="51"/>
  <c r="Z421" i="51"/>
  <c r="AI421" i="51"/>
  <c r="BK35" i="51"/>
  <c r="AN421" i="51"/>
  <c r="AF421" i="51"/>
  <c r="BA322" i="51"/>
  <c r="AH421" i="51"/>
  <c r="AB421" i="51"/>
  <c r="AP421" i="51"/>
  <c r="AO421" i="51"/>
  <c r="AE421" i="51"/>
  <c r="X421" i="51"/>
  <c r="AQ95" i="51"/>
  <c r="AD421" i="51"/>
  <c r="BA35" i="51"/>
  <c r="AC421" i="51"/>
  <c r="AL421" i="51"/>
  <c r="Y421" i="51"/>
  <c r="BA95" i="51"/>
  <c r="AG35" i="51"/>
  <c r="AQ322" i="51"/>
  <c r="AA421" i="51"/>
  <c r="BA421" i="51"/>
  <c r="AG95" i="51" l="1"/>
  <c r="BL35" i="51"/>
  <c r="BL363" i="51"/>
  <c r="BL322" i="51"/>
  <c r="BL95" i="51"/>
  <c r="AQ421" i="51"/>
  <c r="AG421" i="51"/>
  <c r="BL421" i="51" l="1"/>
  <c r="BL422" i="51"/>
</calcChain>
</file>

<file path=xl/sharedStrings.xml><?xml version="1.0" encoding="utf-8"?>
<sst xmlns="http://schemas.openxmlformats.org/spreadsheetml/2006/main" count="2116" uniqueCount="940">
  <si>
    <t>DEPARTAMENTO DEL QUINDIO</t>
  </si>
  <si>
    <t xml:space="preserve">Código </t>
  </si>
  <si>
    <t xml:space="preserve">Version: </t>
  </si>
  <si>
    <t xml:space="preserve">Fecha: </t>
  </si>
  <si>
    <t>Página</t>
  </si>
  <si>
    <t>1 de 1</t>
  </si>
  <si>
    <t>VIGENCIA 2016</t>
  </si>
  <si>
    <t>VIGENCIA 2017</t>
  </si>
  <si>
    <t>VIGENCIA 2018</t>
  </si>
  <si>
    <t>VIGENCIA 2019</t>
  </si>
  <si>
    <t>TOTAL 2018</t>
  </si>
  <si>
    <t>orden</t>
  </si>
  <si>
    <t>ORDEN ESTRATEGIA</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</si>
  <si>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</si>
  <si>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</si>
  <si>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</si>
  <si>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</si>
  <si>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</si>
  <si>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</si>
  <si>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</si>
  <si>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</si>
  <si>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</si>
  <si>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</si>
  <si>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</si>
  <si>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</si>
  <si>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</si>
  <si>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</si>
  <si>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</si>
  <si>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</si>
  <si>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</si>
  <si>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</si>
  <si>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</si>
  <si>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</si>
  <si>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</si>
  <si>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</si>
  <si>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</si>
  <si>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</si>
  <si>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</si>
  <si>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</si>
  <si>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</si>
  <si>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</si>
  <si>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</si>
  <si>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</si>
  <si>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</si>
  <si>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MATRIZ PLURIANUAL</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</si>
  <si>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</si>
  <si>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</si>
  <si>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</si>
  <si>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</si>
  <si>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</si>
  <si>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</si>
  <si>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</si>
  <si>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</si>
  <si>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</si>
  <si>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</si>
  <si>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</si>
  <si>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</si>
  <si>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</si>
  <si>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</si>
  <si>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</si>
  <si>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</si>
  <si>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</si>
  <si>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</si>
  <si>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</si>
  <si>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</si>
  <si>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</si>
  <si>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</si>
  <si>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</si>
  <si>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</si>
  <si>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</si>
  <si>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</si>
  <si>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</si>
  <si>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</si>
  <si>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</si>
  <si>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</si>
  <si>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</si>
  <si>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</si>
  <si>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</si>
  <si>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</si>
  <si>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</si>
  <si>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</si>
  <si>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</si>
  <si>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</si>
  <si>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</si>
  <si>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</si>
  <si>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</si>
  <si>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</si>
  <si>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</si>
  <si>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</si>
  <si>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</si>
  <si>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</si>
  <si>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</si>
  <si>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</si>
  <si>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</si>
  <si>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</si>
  <si>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</si>
  <si>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</si>
  <si>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</si>
  <si>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</si>
  <si>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</si>
  <si>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</si>
  <si>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</si>
  <si>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</si>
  <si>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</si>
  <si>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</si>
  <si>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</si>
  <si>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</si>
  <si>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</si>
  <si>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</si>
  <si>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</si>
  <si>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</si>
  <si>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</si>
  <si>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</si>
  <si>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</si>
  <si>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</si>
  <si>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</si>
  <si>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</si>
  <si>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</si>
  <si>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</si>
  <si>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</si>
  <si>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</si>
  <si>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</si>
  <si>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</si>
  <si>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</si>
  <si>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</si>
  <si>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</si>
  <si>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</si>
  <si>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</si>
  <si>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</si>
  <si>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</si>
  <si>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</si>
  <si>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</si>
  <si>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</si>
  <si>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</si>
  <si>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</si>
  <si>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</si>
  <si>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</si>
  <si>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</si>
  <si>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</si>
  <si>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</si>
  <si>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</si>
  <si>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</si>
  <si>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</si>
  <si>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</si>
  <si>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</si>
  <si>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</si>
  <si>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</si>
  <si>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</si>
  <si>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</si>
  <si>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</si>
  <si>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</si>
  <si>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</si>
  <si>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</si>
  <si>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</si>
  <si>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</si>
  <si>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</si>
  <si>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</si>
  <si>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</si>
  <si>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</si>
  <si>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</si>
  <si>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</si>
  <si>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</si>
  <si>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</si>
  <si>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</si>
  <si>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</si>
  <si>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</si>
  <si>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</si>
  <si>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</si>
  <si>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</si>
  <si>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</si>
  <si>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</si>
  <si>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</si>
  <si>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</si>
  <si>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</si>
  <si>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</si>
  <si>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</si>
  <si>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</si>
  <si>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</si>
  <si>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</si>
  <si>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</si>
  <si>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</si>
  <si>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</si>
  <si>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</si>
  <si>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</si>
  <si>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 xml:space="preserve">Diseñar un ecosistema regional de emprendimiento Y asociatividad                                                                                     </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</si>
  <si>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</si>
  <si>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</si>
  <si>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</si>
  <si>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</si>
  <si>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</si>
  <si>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</si>
  <si>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</si>
  <si>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</si>
  <si>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</si>
  <si>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</si>
  <si>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</si>
  <si>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</si>
  <si>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</si>
  <si>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</si>
  <si>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</si>
  <si>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</si>
  <si>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</si>
  <si>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</si>
  <si>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</si>
  <si>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</si>
  <si>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</si>
  <si>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</si>
  <si>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</si>
  <si>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</si>
  <si>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</si>
  <si>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</si>
  <si>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</si>
  <si>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</si>
  <si>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</si>
  <si>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</si>
  <si>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</si>
  <si>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</si>
  <si>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</si>
  <si>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</si>
  <si>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</si>
  <si>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</si>
  <si>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</si>
  <si>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</si>
  <si>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</si>
  <si>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</si>
  <si>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</si>
  <si>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</si>
  <si>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</si>
  <si>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</si>
  <si>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</si>
  <si>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</si>
  <si>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</si>
  <si>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</si>
  <si>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</si>
  <si>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</si>
  <si>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</si>
  <si>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</si>
  <si>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</si>
  <si>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</si>
  <si>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</si>
  <si>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</si>
  <si>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</si>
  <si>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</si>
  <si>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</si>
  <si>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</si>
  <si>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</si>
  <si>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</si>
  <si>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</si>
  <si>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</si>
  <si>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</si>
  <si>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</si>
  <si>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</si>
  <si>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</si>
  <si>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</si>
  <si>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</si>
  <si>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</si>
  <si>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</si>
  <si>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</si>
  <si>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</si>
  <si>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</si>
  <si>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</si>
  <si>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</si>
  <si>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</si>
  <si>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</si>
  <si>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</si>
  <si>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</si>
  <si>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</si>
  <si>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</si>
  <si>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</si>
  <si>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</si>
  <si>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</si>
  <si>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</si>
  <si>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</si>
  <si>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</si>
  <si>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</si>
  <si>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</si>
  <si>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</si>
  <si>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</si>
  <si>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</si>
  <si>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</si>
  <si>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</si>
  <si>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</si>
  <si>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</si>
  <si>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</si>
  <si>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</si>
  <si>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</si>
  <si>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</si>
  <si>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</si>
  <si>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</si>
  <si>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</si>
  <si>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</si>
  <si>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</si>
  <si>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</si>
  <si>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</si>
  <si>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</si>
  <si>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</si>
  <si>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</si>
  <si>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</si>
  <si>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</si>
  <si>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</si>
  <si>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</si>
  <si>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</si>
  <si>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</si>
  <si>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</si>
  <si>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</si>
  <si>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</si>
  <si>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</si>
  <si>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</si>
  <si>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</si>
  <si>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</si>
  <si>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</si>
  <si>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</si>
  <si>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</si>
  <si>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</si>
  <si>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</si>
  <si>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</si>
  <si>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</si>
  <si>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</si>
  <si>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</si>
  <si>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</si>
  <si>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</si>
  <si>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</si>
  <si>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</si>
  <si>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</si>
  <si>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</si>
  <si>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</si>
  <si>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</si>
  <si>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</si>
  <si>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</si>
  <si>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</si>
  <si>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</si>
  <si>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</si>
  <si>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</si>
  <si>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</si>
  <si>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</si>
  <si>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</si>
  <si>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</si>
  <si>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</si>
  <si>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</si>
  <si>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</si>
  <si>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</si>
  <si>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</si>
  <si>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</si>
  <si>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</si>
  <si>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</si>
  <si>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</si>
  <si>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</si>
  <si>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</si>
  <si>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</si>
  <si>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</si>
  <si>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</si>
  <si>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</si>
  <si>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</si>
  <si>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</si>
  <si>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</si>
  <si>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</si>
  <si>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</si>
  <si>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</si>
  <si>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</si>
  <si>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</si>
  <si>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</si>
  <si>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</si>
  <si>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</si>
  <si>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</si>
  <si>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</si>
  <si>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</si>
  <si>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</si>
  <si>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</si>
  <si>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</si>
  <si>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</si>
  <si>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</si>
  <si>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</si>
  <si>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</si>
  <si>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</si>
  <si>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</si>
  <si>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</si>
  <si>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</si>
  <si>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</si>
  <si>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</si>
  <si>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</si>
  <si>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</si>
  <si>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</si>
  <si>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</si>
  <si>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</si>
  <si>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</si>
  <si>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</si>
  <si>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</si>
  <si>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</si>
  <si>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</si>
  <si>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</si>
  <si>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</si>
  <si>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</si>
  <si>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</si>
  <si>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</si>
  <si>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</si>
  <si>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</si>
  <si>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</si>
  <si>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</si>
  <si>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</si>
  <si>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</si>
  <si>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</si>
  <si>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</si>
  <si>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</si>
  <si>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</si>
  <si>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</si>
  <si>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</si>
  <si>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</si>
  <si>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</si>
  <si>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</si>
  <si>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</si>
  <si>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</si>
  <si>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</si>
  <si>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</si>
  <si>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</si>
  <si>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</si>
  <si>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</si>
  <si>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</si>
  <si>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</si>
  <si>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</si>
  <si>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</si>
  <si>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</si>
  <si>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</si>
  <si>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</si>
  <si>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</si>
  <si>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</si>
  <si>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</si>
  <si>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</si>
  <si>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</si>
  <si>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</si>
  <si>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</si>
  <si>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</si>
  <si>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</si>
  <si>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</si>
  <si>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</si>
  <si>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</si>
  <si>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</si>
  <si>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</si>
  <si>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</si>
  <si>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</si>
  <si>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</si>
  <si>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</si>
  <si>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</si>
  <si>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</si>
  <si>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</si>
  <si>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</si>
  <si>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</si>
  <si>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</si>
  <si>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</si>
  <si>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</si>
  <si>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</si>
  <si>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</si>
  <si>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</si>
  <si>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</si>
  <si>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</si>
  <si>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</si>
  <si>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</si>
  <si>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</si>
  <si>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</si>
  <si>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</si>
  <si>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</si>
  <si>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</si>
  <si>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</si>
  <si>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</si>
  <si>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</si>
  <si>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</si>
  <si>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</si>
  <si>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</si>
  <si>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</si>
  <si>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</si>
  <si>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</si>
  <si>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</si>
  <si>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</si>
  <si>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</si>
  <si>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</si>
  <si>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</si>
  <si>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</si>
  <si>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</si>
  <si>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</si>
  <si>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</si>
  <si>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</si>
  <si>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</si>
  <si>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</si>
  <si>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</si>
  <si>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</si>
  <si>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</si>
  <si>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</si>
  <si>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</si>
  <si>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</si>
  <si>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</si>
  <si>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</si>
  <si>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</si>
  <si>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</si>
  <si>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</si>
  <si>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</si>
  <si>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</si>
  <si>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</si>
  <si>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</si>
  <si>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</si>
  <si>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</si>
  <si>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</si>
  <si>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</si>
  <si>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</si>
  <si>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</si>
  <si>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</si>
  <si>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</si>
  <si>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</si>
  <si>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</si>
  <si>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</si>
  <si>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</si>
  <si>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</si>
  <si>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</si>
  <si>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</si>
  <si>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</si>
  <si>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</si>
  <si>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</si>
  <si>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</si>
  <si>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</si>
  <si>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</si>
  <si>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</si>
  <si>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</si>
  <si>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</si>
  <si>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</si>
  <si>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</si>
  <si>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</si>
  <si>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</si>
  <si>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</si>
  <si>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</si>
  <si>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</si>
  <si>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</si>
  <si>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</si>
  <si>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</si>
  <si>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</si>
  <si>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</si>
  <si>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</si>
  <si>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</si>
  <si>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</si>
  <si>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</si>
  <si>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</si>
  <si>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</si>
  <si>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</si>
  <si>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</si>
  <si>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</si>
  <si>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</si>
  <si>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</si>
  <si>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</si>
  <si>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</si>
  <si>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</si>
  <si>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</si>
  <si>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</si>
  <si>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</si>
  <si>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</si>
  <si>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</si>
  <si>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</si>
  <si>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</si>
  <si>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</si>
  <si>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</si>
  <si>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</si>
  <si>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</si>
  <si>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</si>
  <si>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</si>
  <si>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</si>
  <si>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</si>
  <si>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</si>
  <si>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</si>
  <si>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</si>
  <si>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</si>
  <si>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</si>
  <si>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</si>
  <si>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</si>
  <si>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</si>
  <si>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</si>
  <si>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</si>
  <si>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</si>
  <si>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</si>
  <si>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</si>
  <si>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</si>
  <si>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</si>
  <si>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</si>
  <si>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</si>
  <si>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</si>
  <si>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</si>
  <si>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</si>
  <si>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</si>
  <si>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</si>
  <si>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</si>
  <si>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</si>
  <si>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</si>
  <si>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</si>
  <si>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</si>
  <si>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</si>
  <si>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</si>
  <si>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</si>
  <si>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</si>
  <si>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</si>
  <si>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</si>
  <si>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</si>
  <si>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</si>
  <si>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</si>
  <si>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</si>
  <si>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</si>
  <si>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</si>
  <si>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</si>
  <si>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</si>
  <si>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</si>
  <si>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</si>
  <si>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</si>
  <si>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</si>
  <si>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</si>
  <si>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</si>
  <si>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</si>
  <si>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</si>
  <si>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</si>
  <si>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</si>
  <si>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</si>
  <si>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</si>
  <si>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</si>
  <si>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</si>
  <si>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</si>
  <si>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</si>
  <si>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</si>
  <si>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</si>
  <si>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</si>
  <si>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</si>
  <si>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</si>
  <si>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</si>
  <si>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</si>
  <si>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</si>
  <si>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</si>
  <si>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</si>
  <si>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</si>
  <si>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</si>
  <si>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</si>
  <si>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</si>
  <si>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</si>
  <si>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</si>
  <si>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</si>
  <si>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</si>
  <si>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</si>
  <si>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</si>
  <si>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</si>
  <si>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</si>
  <si>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</si>
  <si>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</si>
  <si>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</si>
  <si>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</si>
  <si>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</si>
  <si>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</si>
  <si>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</si>
  <si>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</si>
  <si>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</si>
  <si>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</si>
  <si>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</si>
  <si>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</si>
  <si>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</si>
  <si>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</si>
  <si>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</si>
  <si>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</si>
  <si>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</si>
  <si>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</si>
  <si>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</si>
  <si>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</si>
  <si>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</si>
  <si>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</si>
  <si>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</si>
  <si>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</si>
  <si>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</si>
  <si>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</si>
  <si>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</si>
  <si>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</si>
  <si>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</si>
  <si>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</si>
  <si>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</si>
  <si>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</si>
  <si>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</si>
  <si>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</si>
  <si>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</si>
  <si>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</si>
  <si>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</si>
  <si>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</si>
  <si>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</si>
  <si>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 xml:space="preserve">  Disminuir el porcentaje de mujeres amenazadas por sus compañeros sentimentales                                                               - Disminuir incidencia de violencia intrafamiliar                                Disminuir incidencia de violencia intrafamiliar</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</si>
  <si>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</si>
  <si>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</si>
  <si>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</si>
  <si>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</si>
  <si>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</si>
  <si>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</si>
  <si>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</si>
  <si>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</si>
  <si>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</si>
  <si>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</si>
  <si>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</si>
  <si>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</si>
  <si>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</si>
  <si>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</si>
  <si>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</si>
  <si>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</si>
  <si>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 xml:space="preserve">Atención Grupos Vulnerables- Promoción Social </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</si>
  <si>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</si>
  <si>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</si>
  <si>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</si>
  <si>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</si>
  <si>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</si>
  <si>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</si>
  <si>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</si>
  <si>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</si>
  <si>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</si>
  <si>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</si>
  <si>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</si>
  <si>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</si>
  <si>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</si>
  <si>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</si>
  <si>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</si>
  <si>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</si>
  <si>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</si>
  <si>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</si>
  <si>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</si>
  <si>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</si>
  <si>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</si>
  <si>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</si>
  <si>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</si>
  <si>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</si>
  <si>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</si>
  <si>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</si>
  <si>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</si>
  <si>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</si>
  <si>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</si>
  <si>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</si>
  <si>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</si>
  <si>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</si>
  <si>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</si>
  <si>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</si>
  <si>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</si>
  <si>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</si>
  <si>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</si>
  <si>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</si>
  <si>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</si>
  <si>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</si>
  <si>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</si>
  <si>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</si>
  <si>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</si>
  <si>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</si>
  <si>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</si>
  <si>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</si>
  <si>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</si>
  <si>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</si>
  <si>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</si>
  <si>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</si>
  <si>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</si>
  <si>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</si>
  <si>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</si>
  <si>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</si>
  <si>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</si>
  <si>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</si>
  <si>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</si>
  <si>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 xml:space="preserve">5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</si>
  <si>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</si>
  <si>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</si>
  <si>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</si>
  <si>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</si>
  <si>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</si>
  <si>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</si>
  <si>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</si>
  <si>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</si>
  <si>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</si>
  <si>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</si>
  <si>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</si>
  <si>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</si>
  <si>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</si>
  <si>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</si>
  <si>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</si>
  <si>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</si>
  <si>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</si>
  <si>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</si>
  <si>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</si>
  <si>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</si>
  <si>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</si>
  <si>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</si>
  <si>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</si>
  <si>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</si>
  <si>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</si>
  <si>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</si>
  <si>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</si>
  <si>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</si>
  <si>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</si>
  <si>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</si>
  <si>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</si>
  <si>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</si>
  <si>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</si>
  <si>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</si>
  <si>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</si>
  <si>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</si>
  <si>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</si>
  <si>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</si>
  <si>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</si>
  <si>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</si>
  <si>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</si>
  <si>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</si>
  <si>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</si>
  <si>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</si>
  <si>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</si>
  <si>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</si>
  <si>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</si>
  <si>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</si>
  <si>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</si>
  <si>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</si>
  <si>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</si>
  <si>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</si>
  <si>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</si>
  <si>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</si>
  <si>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</si>
  <si>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</si>
  <si>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</si>
  <si>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</si>
  <si>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</si>
  <si>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</si>
  <si>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</si>
  <si>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</si>
  <si>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</si>
  <si>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</si>
  <si>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</si>
  <si>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</si>
  <si>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</si>
  <si>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</si>
  <si>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</si>
  <si>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</si>
  <si>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</si>
  <si>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</si>
  <si>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</si>
  <si>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</si>
  <si>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</si>
  <si>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</si>
  <si>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</si>
  <si>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</si>
  <si>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</si>
  <si>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</si>
  <si>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</si>
  <si>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</si>
  <si>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</si>
  <si>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</si>
  <si>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</si>
  <si>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</si>
  <si>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</si>
  <si>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</si>
  <si>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</si>
  <si>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</si>
  <si>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</si>
  <si>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</si>
  <si>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</si>
  <si>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</si>
  <si>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</si>
  <si>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</si>
  <si>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</si>
  <si>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</si>
  <si>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</si>
  <si>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</si>
  <si>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</si>
  <si>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</si>
  <si>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</si>
  <si>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</si>
  <si>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</si>
  <si>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</si>
  <si>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</si>
  <si>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</si>
  <si>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</si>
  <si>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</si>
  <si>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</si>
  <si>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</si>
  <si>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</si>
  <si>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</si>
  <si>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</si>
  <si>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</si>
  <si>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</si>
  <si>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</si>
  <si>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</si>
  <si>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</si>
  <si>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</si>
  <si>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</si>
  <si>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</si>
  <si>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</si>
  <si>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</si>
  <si>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</si>
  <si>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</si>
  <si>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</si>
  <si>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</si>
  <si>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</si>
  <si>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</si>
  <si>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</si>
  <si>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</si>
  <si>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</si>
  <si>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</si>
  <si>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</si>
  <si>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</si>
  <si>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</si>
  <si>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</si>
  <si>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</si>
  <si>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</si>
  <si>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</si>
  <si>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</si>
  <si>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</si>
  <si>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</si>
  <si>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</si>
  <si>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</si>
  <si>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</si>
  <si>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</si>
  <si>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</si>
  <si>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</si>
  <si>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</si>
  <si>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</si>
  <si>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</si>
  <si>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</si>
  <si>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</si>
  <si>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</si>
  <si>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</si>
  <si>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</si>
  <si>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</si>
  <si>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</si>
  <si>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</si>
  <si>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</si>
  <si>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</si>
  <si>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</si>
  <si>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</si>
  <si>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</si>
  <si>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</si>
  <si>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</si>
  <si>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</si>
  <si>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 xml:space="preserve">VALOR TOTAL </t>
  </si>
  <si>
    <t xml:space="preserve">MATRIZ PLURIANUAL </t>
  </si>
  <si>
    <t>TOTAL 2016-2019</t>
  </si>
  <si>
    <t>PLAN DE DESARROLLO</t>
  </si>
  <si>
    <t>16
17
18</t>
  </si>
  <si>
    <t>29
30</t>
  </si>
  <si>
    <t>21
22</t>
  </si>
  <si>
    <t>10
12</t>
  </si>
  <si>
    <t>7
5</t>
  </si>
  <si>
    <t>25
29
30
28</t>
  </si>
  <si>
    <t>24
25
29
30
PTS-45</t>
  </si>
  <si>
    <t>F-PLA-04</t>
  </si>
  <si>
    <t>Agosto 1 de 2016</t>
  </si>
  <si>
    <t>PLAN DE DESARROLLO "EN DEFENSA DEL BIEN COMUN"
 PLAN INDICATIVO 2016 -2019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</si>
</sst>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 #,##0;&quot;$&quot;\ \-#,##0"/>
    <numFmt numFmtId="169" formatCode="_ &quot;$&quot;\ * #,##0.00_ ;_ &quot;$&quot;\ * \-#,##0.00_ ;_ &quot;$&quot;\ * &quot;-&quot;??_ ;_ @_ "/>
    <numFmt numFmtId="170" formatCode="_ * #,##0.00_ ;_ * \-#,##0.00_ ;_ * &quot;-&quot;??_ ;_ @_ "/>
    <numFmt numFmtId="171" formatCode="_(* #,##0_);_(* \(#,##0\);_(* &quot;-&quot;??_);_(@_)"/>
    <numFmt numFmtId="172" formatCode="0.0%"/>
    <numFmt numFmtId="173" formatCode="_-* #,##0.00\ &quot;€&quot;_-;\-* #,##0.00\ &quot;€&quot;_-;_-* &quot;-&quot;??\ &quot;€&quot;_-;_-@_-"/>
    <numFmt numFmtId="174" formatCode="_ [$€-2]\ * #,##0.00_ ;_ [$€-2]\ * \-#,##0.00_ ;_ [$€-2]\ * &quot;-&quot;??_ "/>
    <numFmt numFmtId="175" formatCode="00"/>
    <numFmt numFmtId="176" formatCode="_-* #,##0.00\ _€_-;\-* #,##0.00\ _€_-;_-* &quot;-&quot;??\ _€_-;_-@_-"/>
    <numFmt numFmtId="177" formatCode="#."/>
    <numFmt numFmtId="178" formatCode="_-[$€-2]* #,##0.00_-;\-[$€-2]* #,##0.00_-;_-[$€-2]* &quot;-&quot;??_-"/>
    <numFmt numFmtId="179" formatCode="_(* #.##0.00_);_(* \(#.##0.00\);_(* &quot;-&quot;??_);_(@_)"/>
    <numFmt numFmtId="180" formatCode="_-* #,##0.00\ _P_t_a_-;\-* #,##0.00\ _P_t_a_-;_-* &quot;-&quot;??\ _P_t_a_-;_-@_-"/>
    <numFmt numFmtId="181" formatCode="_(* #.##000_);_(* \(#.##000\);_(* &quot;-&quot;??_);_(@_)"/>
    <numFmt numFmtId="182" formatCode="_-* #,##0.00_-;\-* #,##0.00_-;_-* &quot;-&quot;_-;_-@_-"/>
  </numFmts>
  <fonts count="44"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sz val="11"/>
      <color indexed="8"/>
      <name val="Calibri"/>
      <family val="2"/>
    </font>
    <font>
      <sz val="10"/>
      <color indexed="8"/>
      <name val="MS Sans Serif"/>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1"/>
      <name val="Arial"/>
      <family val="2"/>
    </font>
    <font>
      <b/>
      <sz val="11"/>
      <name val="Arial"/>
      <family val="2"/>
    </font>
    <font>
      <b/>
      <sz val="11"/>
      <color rgb="FFFF0000"/>
      <name val="Arial"/>
      <family val="2"/>
    </font>
    <font>
      <b/>
      <sz val="10"/>
      <name val="Arial"/>
      <family val="2"/>
    </font>
    <font>
      <sz val="11"/>
      <color theme="1"/>
      <name val="Arial"/>
      <family val="2"/>
    </font>
    <font>
      <sz val="11"/>
      <color rgb="FFFF0000"/>
      <name val="Arial"/>
      <family val="2"/>
    </font>
    <font>
      <sz val="14"/>
      <name val="Arial"/>
      <family val="2"/>
    </font>
    <font>
      <sz val="11"/>
      <color rgb="FF000000"/>
      <name val="Arial"/>
      <family val="2"/>
    </font>
    <font>
      <b/>
      <sz val="11"/>
      <color rgb="FF000000"/>
      <name val="Arial"/>
      <family val="2"/>
    </font>
  </fonts>
  <fills count="4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s>
  <borders count="40">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style="thin">
        <color auto="1"/>
      </right>
      <top style="thin">
        <color indexed="64"/>
      </top>
      <bottom/>
      <diagonal/>
    </border>
  </borders>
  <cellStyleXfs count="6289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3" fontId="3" fillId="0" borderId="0" applyFont="0" applyFill="0" applyBorder="0" applyAlignment="0" applyProtection="0"/>
    <xf numFmtId="173" fontId="5" fillId="0" borderId="0" applyFont="0" applyFill="0" applyBorder="0" applyAlignment="0" applyProtection="0"/>
    <xf numFmtId="0" fontId="6" fillId="0" borderId="0"/>
    <xf numFmtId="167" fontId="3"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4" fontId="3" fillId="0" borderId="0"/>
    <xf numFmtId="167"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4" fontId="3" fillId="0" borderId="0"/>
    <xf numFmtId="44" fontId="5" fillId="0" borderId="0" applyFont="0" applyFill="0" applyBorder="0" applyAlignment="0" applyProtection="0"/>
    <xf numFmtId="169" fontId="7" fillId="0" borderId="0"/>
    <xf numFmtId="43" fontId="5" fillId="0" borderId="0" applyFont="0" applyFill="0" applyBorder="0" applyAlignment="0" applyProtection="0"/>
    <xf numFmtId="9" fontId="5" fillId="0" borderId="0" applyFont="0" applyFill="0" applyBorder="0" applyAlignment="0" applyProtection="0"/>
    <xf numFmtId="177" fontId="8" fillId="0" borderId="0">
      <protection locked="0"/>
    </xf>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7" borderId="0" applyNumberFormat="0" applyBorder="0" applyAlignment="0" applyProtection="0"/>
    <xf numFmtId="0" fontId="9" fillId="29"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21"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1" borderId="0" applyNumberFormat="0" applyBorder="0" applyAlignment="0" applyProtection="0"/>
    <xf numFmtId="0" fontId="9" fillId="24"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10" fillId="18" borderId="0" applyNumberFormat="0" applyBorder="0" applyAlignment="0" applyProtection="0"/>
    <xf numFmtId="0" fontId="11" fillId="21" borderId="0" applyNumberFormat="0" applyBorder="0" applyAlignment="0" applyProtection="0"/>
    <xf numFmtId="0" fontId="11" fillId="19" borderId="0" applyNumberFormat="0" applyBorder="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4" fillId="39" borderId="16" applyNumberFormat="0" applyAlignment="0" applyProtection="0"/>
    <xf numFmtId="0" fontId="14" fillId="39" borderId="16" applyNumberFormat="0" applyAlignment="0" applyProtection="0"/>
    <xf numFmtId="0" fontId="15" fillId="0" borderId="17" applyNumberFormat="0" applyFill="0" applyAlignment="0" applyProtection="0"/>
    <xf numFmtId="0" fontId="16" fillId="0" borderId="18" applyNumberFormat="0" applyFill="0" applyAlignment="0" applyProtection="0"/>
    <xf numFmtId="0" fontId="14" fillId="39" borderId="1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36" borderId="0" applyNumberFormat="0" applyBorder="0" applyAlignment="0" applyProtection="0"/>
    <xf numFmtId="0" fontId="9" fillId="41"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3" borderId="0" applyNumberFormat="0" applyBorder="0" applyAlignment="0" applyProtection="0"/>
    <xf numFmtId="0" fontId="19" fillId="28" borderId="15" applyNumberFormat="0" applyAlignment="0" applyProtection="0"/>
    <xf numFmtId="0" fontId="19" fillId="22" borderId="1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20" fillId="0" borderId="0" applyFont="0" applyFill="0" applyBorder="0" applyAlignment="0" applyProtection="0"/>
    <xf numFmtId="178" fontId="4" fillId="0" borderId="0" applyFont="0" applyFill="0" applyBorder="0" applyAlignment="0" applyProtection="0"/>
    <xf numFmtId="174" fontId="20" fillId="0" borderId="0" applyFont="0" applyFill="0" applyBorder="0" applyAlignment="0" applyProtection="0"/>
    <xf numFmtId="0" fontId="21" fillId="0" borderId="0" applyNumberFormat="0" applyFill="0" applyBorder="0" applyAlignment="0" applyProtection="0"/>
    <xf numFmtId="0" fontId="11" fillId="19" borderId="0" applyNumberFormat="0" applyBorder="0" applyAlignment="0" applyProtection="0"/>
    <xf numFmtId="0" fontId="22" fillId="0" borderId="19" applyNumberFormat="0" applyFill="0" applyAlignment="0" applyProtection="0"/>
    <xf numFmtId="0" fontId="23" fillId="0" borderId="20" applyNumberFormat="0" applyFill="0" applyAlignment="0" applyProtection="0"/>
    <xf numFmtId="0" fontId="18" fillId="0" borderId="21" applyNumberFormat="0" applyFill="0" applyAlignment="0" applyProtection="0"/>
    <xf numFmtId="0" fontId="18" fillId="0" borderId="0" applyNumberFormat="0" applyFill="0" applyBorder="0" applyAlignment="0" applyProtection="0"/>
    <xf numFmtId="0" fontId="10" fillId="20" borderId="0" applyNumberFormat="0" applyBorder="0" applyAlignment="0" applyProtection="0"/>
    <xf numFmtId="0" fontId="10" fillId="18" borderId="0" applyNumberFormat="0" applyBorder="0" applyAlignment="0" applyProtection="0"/>
    <xf numFmtId="0" fontId="19" fillId="22" borderId="15" applyNumberFormat="0" applyAlignment="0" applyProtection="0"/>
    <xf numFmtId="0" fontId="16" fillId="0" borderId="18" applyNumberFormat="0" applyFill="0" applyAlignment="0" applyProtection="0"/>
    <xf numFmtId="176" fontId="5"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170" fontId="4" fillId="0" borderId="0" applyFont="0" applyFill="0" applyBorder="0" applyAlignment="0" applyProtection="0"/>
    <xf numFmtId="176" fontId="5" fillId="0" borderId="0" applyFont="0" applyFill="0" applyBorder="0" applyAlignment="0" applyProtection="0"/>
    <xf numFmtId="180"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4"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4" fontId="5" fillId="0" borderId="0" applyFont="0" applyFill="0" applyBorder="0" applyAlignment="0" applyProtection="0"/>
    <xf numFmtId="169" fontId="4" fillId="0" borderId="0" applyFont="0" applyFill="0" applyBorder="0" applyAlignment="0" applyProtection="0"/>
    <xf numFmtId="0" fontId="24" fillId="28" borderId="0" applyNumberFormat="0" applyBorder="0" applyAlignment="0" applyProtection="0"/>
    <xf numFmtId="0" fontId="25" fillId="28"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3" fillId="0" borderId="0"/>
    <xf numFmtId="0" fontId="4" fillId="0" borderId="0"/>
    <xf numFmtId="0" fontId="5" fillId="0" borderId="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3" fillId="0" borderId="0"/>
    <xf numFmtId="0" fontId="3" fillId="0" borderId="0"/>
    <xf numFmtId="0" fontId="3" fillId="0" borderId="0"/>
    <xf numFmtId="0" fontId="3" fillId="0" borderId="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38" borderId="23" applyNumberFormat="0" applyAlignment="0" applyProtection="0"/>
    <xf numFmtId="0" fontId="26" fillId="37" borderId="2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8" fillId="0" borderId="24" applyNumberFormat="0" applyFill="0" applyAlignment="0" applyProtection="0"/>
    <xf numFmtId="0" fontId="29" fillId="0" borderId="25" applyNumberFormat="0" applyFill="0" applyAlignment="0" applyProtection="0"/>
    <xf numFmtId="0" fontId="23" fillId="0" borderId="20" applyNumberFormat="0" applyFill="0" applyAlignment="0" applyProtection="0"/>
    <xf numFmtId="0" fontId="17" fillId="0" borderId="26" applyNumberFormat="0" applyFill="0" applyAlignment="0" applyProtection="0"/>
    <xf numFmtId="0" fontId="18" fillId="0" borderId="21"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31" fillId="0" borderId="27" applyNumberFormat="0" applyFill="0" applyAlignment="0" applyProtection="0"/>
    <xf numFmtId="0" fontId="31" fillId="0" borderId="28" applyNumberFormat="0" applyFill="0" applyAlignment="0" applyProtection="0"/>
    <xf numFmtId="0" fontId="15"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3" fillId="0" borderId="0"/>
    <xf numFmtId="174" fontId="4" fillId="0" borderId="0"/>
    <xf numFmtId="174" fontId="5" fillId="0" borderId="0"/>
    <xf numFmtId="174" fontId="4" fillId="0" borderId="0"/>
    <xf numFmtId="174" fontId="4" fillId="0" borderId="0"/>
    <xf numFmtId="174" fontId="4" fillId="0" borderId="0"/>
    <xf numFmtId="174" fontId="4" fillId="0" borderId="0"/>
    <xf numFmtId="174" fontId="4" fillId="0" borderId="0"/>
    <xf numFmtId="174" fontId="3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4"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5" fillId="25" borderId="30" applyNumberFormat="0" applyFont="0" applyAlignment="0" applyProtection="0"/>
    <xf numFmtId="0" fontId="31" fillId="0" borderId="33" applyNumberFormat="0" applyFill="0" applyAlignment="0" applyProtection="0"/>
    <xf numFmtId="44" fontId="5" fillId="0" borderId="0" applyFont="0" applyFill="0" applyBorder="0" applyAlignment="0" applyProtection="0"/>
    <xf numFmtId="43" fontId="5" fillId="0" borderId="0" applyFont="0" applyFill="0" applyBorder="0" applyAlignment="0" applyProtection="0"/>
    <xf numFmtId="0" fontId="31" fillId="0" borderId="33" applyNumberFormat="0" applyFill="0" applyAlignment="0" applyProtection="0"/>
    <xf numFmtId="43" fontId="3" fillId="0" borderId="0" applyFont="0" applyFill="0" applyBorder="0" applyAlignment="0" applyProtection="0"/>
    <xf numFmtId="0" fontId="12" fillId="37" borderId="29" applyNumberFormat="0" applyAlignment="0" applyProtection="0"/>
    <xf numFmtId="0" fontId="13" fillId="38" borderId="29" applyNumberFormat="0" applyAlignment="0" applyProtection="0"/>
    <xf numFmtId="0" fontId="19" fillId="22" borderId="29" applyNumberFormat="0" applyAlignment="0" applyProtection="0"/>
    <xf numFmtId="0" fontId="12" fillId="37" borderId="29" applyNumberFormat="0" applyAlignment="0" applyProtection="0"/>
    <xf numFmtId="0" fontId="13" fillId="38" borderId="29" applyNumberFormat="0" applyAlignment="0" applyProtection="0"/>
    <xf numFmtId="0" fontId="12" fillId="37" borderId="29" applyNumberFormat="0" applyAlignment="0" applyProtection="0"/>
    <xf numFmtId="0" fontId="19" fillId="28" borderId="29" applyNumberFormat="0" applyAlignment="0" applyProtection="0"/>
    <xf numFmtId="0" fontId="19" fillId="22" borderId="29" applyNumberFormat="0" applyAlignment="0" applyProtection="0"/>
    <xf numFmtId="0" fontId="19" fillId="22" borderId="29" applyNumberFormat="0" applyAlignment="0" applyProtection="0"/>
    <xf numFmtId="44" fontId="5" fillId="0" borderId="0" applyFont="0" applyFill="0" applyBorder="0" applyAlignment="0" applyProtection="0"/>
    <xf numFmtId="0" fontId="5" fillId="0" borderId="0"/>
    <xf numFmtId="170" fontId="4" fillId="0" borderId="0" applyFont="0" applyFill="0" applyBorder="0" applyAlignment="0" applyProtection="0"/>
    <xf numFmtId="0" fontId="4" fillId="25" borderId="30" applyNumberFormat="0" applyFont="0" applyAlignment="0" applyProtection="0"/>
    <xf numFmtId="0" fontId="4" fillId="25" borderId="30" applyNumberFormat="0" applyFont="0" applyAlignment="0" applyProtection="0"/>
    <xf numFmtId="0" fontId="5" fillId="25" borderId="30" applyNumberFormat="0" applyFont="0" applyAlignment="0" applyProtection="0"/>
    <xf numFmtId="0" fontId="26" fillId="37" borderId="31" applyNumberFormat="0" applyAlignment="0" applyProtection="0"/>
    <xf numFmtId="0" fontId="26" fillId="38" borderId="31" applyNumberFormat="0" applyAlignment="0" applyProtection="0"/>
    <xf numFmtId="0" fontId="26" fillId="37" borderId="31" applyNumberFormat="0" applyAlignment="0" applyProtection="0"/>
    <xf numFmtId="0" fontId="31" fillId="0" borderId="32" applyNumberFormat="0" applyFill="0" applyAlignment="0" applyProtection="0"/>
    <xf numFmtId="0" fontId="31" fillId="0" borderId="33" applyNumberFormat="0" applyFill="0" applyAlignment="0" applyProtection="0"/>
    <xf numFmtId="166" fontId="3" fillId="0" borderId="0" applyFont="0" applyFill="0" applyBorder="0" applyAlignment="0" applyProtection="0"/>
    <xf numFmtId="0" fontId="4" fillId="25" borderId="30" applyNumberFormat="0" applyFont="0" applyAlignment="0" applyProtection="0"/>
    <xf numFmtId="0" fontId="4" fillId="25" borderId="30" applyNumberFormat="0" applyFont="0" applyAlignment="0" applyProtection="0"/>
    <xf numFmtId="0" fontId="26" fillId="37" borderId="31" applyNumberFormat="0" applyAlignment="0" applyProtection="0"/>
    <xf numFmtId="0" fontId="26" fillId="37" borderId="31" applyNumberFormat="0" applyAlignment="0" applyProtection="0"/>
    <xf numFmtId="0" fontId="5" fillId="25" borderId="30" applyNumberFormat="0" applyFont="0" applyAlignment="0" applyProtection="0"/>
    <xf numFmtId="0" fontId="13" fillId="38" borderId="29" applyNumberFormat="0" applyAlignment="0" applyProtection="0"/>
    <xf numFmtId="43" fontId="3" fillId="0" borderId="0" applyFont="0" applyFill="0" applyBorder="0" applyAlignment="0" applyProtection="0"/>
    <xf numFmtId="0" fontId="13" fillId="38" borderId="29" applyNumberFormat="0" applyAlignment="0" applyProtection="0"/>
    <xf numFmtId="0" fontId="31" fillId="0" borderId="33" applyNumberFormat="0" applyFill="0" applyAlignment="0" applyProtection="0"/>
    <xf numFmtId="0" fontId="31" fillId="0" borderId="33" applyNumberFormat="0" applyFill="0" applyAlignment="0" applyProtection="0"/>
    <xf numFmtId="0" fontId="19" fillId="22" borderId="29" applyNumberFormat="0" applyAlignment="0" applyProtection="0"/>
    <xf numFmtId="0" fontId="19" fillId="28" borderId="29" applyNumberFormat="0" applyAlignment="0" applyProtection="0"/>
    <xf numFmtId="0" fontId="4" fillId="25" borderId="30" applyNumberFormat="0" applyFont="0" applyAlignment="0" applyProtection="0"/>
    <xf numFmtId="0" fontId="5" fillId="25" borderId="30" applyNumberFormat="0" applyFont="0" applyAlignment="0" applyProtection="0"/>
    <xf numFmtId="0" fontId="26" fillId="38" borderId="31" applyNumberFormat="0" applyAlignment="0" applyProtection="0"/>
    <xf numFmtId="0" fontId="26" fillId="37" borderId="31" applyNumberFormat="0" applyAlignment="0" applyProtection="0"/>
    <xf numFmtId="0" fontId="26" fillId="37" borderId="31" applyNumberFormat="0" applyAlignment="0" applyProtection="0"/>
    <xf numFmtId="0" fontId="26" fillId="37" borderId="31" applyNumberFormat="0" applyAlignment="0" applyProtection="0"/>
    <xf numFmtId="0" fontId="5" fillId="25" borderId="30" applyNumberFormat="0" applyFont="0" applyAlignment="0" applyProtection="0"/>
    <xf numFmtId="0" fontId="31" fillId="0" borderId="33" applyNumberFormat="0" applyFill="0" applyAlignment="0" applyProtection="0"/>
    <xf numFmtId="0" fontId="12" fillId="37" borderId="29" applyNumberFormat="0" applyAlignment="0" applyProtection="0"/>
    <xf numFmtId="0" fontId="26" fillId="37" borderId="31" applyNumberFormat="0" applyAlignment="0" applyProtection="0"/>
    <xf numFmtId="0" fontId="26" fillId="38" borderId="31" applyNumberFormat="0" applyAlignment="0" applyProtection="0"/>
    <xf numFmtId="0" fontId="19" fillId="28" borderId="29" applyNumberFormat="0" applyAlignment="0" applyProtection="0"/>
    <xf numFmtId="0" fontId="19" fillId="22" borderId="29" applyNumberFormat="0" applyAlignment="0" applyProtection="0"/>
    <xf numFmtId="0" fontId="19" fillId="28" borderId="29" applyNumberFormat="0" applyAlignment="0" applyProtection="0"/>
    <xf numFmtId="0" fontId="5" fillId="25" borderId="30" applyNumberFormat="0" applyFont="0" applyAlignment="0" applyProtection="0"/>
    <xf numFmtId="0" fontId="31" fillId="0" borderId="33" applyNumberFormat="0" applyFill="0" applyAlignment="0" applyProtection="0"/>
    <xf numFmtId="0" fontId="31" fillId="0" borderId="32" applyNumberFormat="0" applyFill="0" applyAlignment="0" applyProtection="0"/>
    <xf numFmtId="0" fontId="13" fillId="38" borderId="29" applyNumberFormat="0" applyAlignment="0" applyProtection="0"/>
    <xf numFmtId="43" fontId="3" fillId="0" borderId="0" applyFont="0" applyFill="0" applyBorder="0" applyAlignment="0" applyProtection="0"/>
    <xf numFmtId="0" fontId="19" fillId="28"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4" fillId="25" borderId="30" applyNumberFormat="0" applyFont="0" applyAlignment="0" applyProtection="0"/>
    <xf numFmtId="43" fontId="3" fillId="0" borderId="0" applyFont="0" applyFill="0" applyBorder="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5" fillId="25" borderId="30" applyNumberFormat="0" applyFont="0" applyAlignment="0" applyProtection="0"/>
    <xf numFmtId="0" fontId="12" fillId="37" borderId="29" applyNumberFormat="0" applyAlignment="0" applyProtection="0"/>
    <xf numFmtId="0" fontId="26" fillId="37" borderId="31" applyNumberFormat="0" applyAlignment="0" applyProtection="0"/>
    <xf numFmtId="0" fontId="5" fillId="25" borderId="30" applyNumberFormat="0" applyFont="0" applyAlignment="0" applyProtection="0"/>
    <xf numFmtId="0" fontId="4" fillId="25" borderId="30" applyNumberFormat="0" applyFont="0" applyAlignment="0" applyProtection="0"/>
    <xf numFmtId="0" fontId="4" fillId="25" borderId="30" applyNumberFormat="0" applyFont="0" applyAlignment="0" applyProtection="0"/>
    <xf numFmtId="0" fontId="26" fillId="37" borderId="31" applyNumberFormat="0" applyAlignment="0" applyProtection="0"/>
    <xf numFmtId="0" fontId="5" fillId="25" borderId="30" applyNumberFormat="0" applyFont="0" applyAlignment="0" applyProtection="0"/>
    <xf numFmtId="0" fontId="4" fillId="25" borderId="30" applyNumberFormat="0" applyFont="0" applyAlignment="0" applyProtection="0"/>
    <xf numFmtId="0" fontId="4" fillId="25" borderId="30" applyNumberFormat="0" applyFont="0" applyAlignment="0" applyProtection="0"/>
    <xf numFmtId="0" fontId="26" fillId="37" borderId="31" applyNumberFormat="0" applyAlignment="0" applyProtection="0"/>
    <xf numFmtId="0" fontId="19" fillId="28" borderId="29" applyNumberFormat="0" applyAlignment="0" applyProtection="0"/>
    <xf numFmtId="0" fontId="31" fillId="0" borderId="33" applyNumberFormat="0" applyFill="0" applyAlignment="0" applyProtection="0"/>
    <xf numFmtId="0" fontId="31" fillId="0" borderId="32" applyNumberFormat="0" applyFill="0" applyAlignment="0" applyProtection="0"/>
    <xf numFmtId="0" fontId="19" fillId="28" borderId="29" applyNumberFormat="0" applyAlignment="0" applyProtection="0"/>
    <xf numFmtId="0" fontId="26" fillId="37" borderId="31" applyNumberFormat="0" applyAlignment="0" applyProtection="0"/>
    <xf numFmtId="0" fontId="26" fillId="38" borderId="31" applyNumberFormat="0" applyAlignment="0" applyProtection="0"/>
    <xf numFmtId="0" fontId="26" fillId="38" borderId="31" applyNumberFormat="0" applyAlignment="0" applyProtection="0"/>
    <xf numFmtId="0" fontId="26" fillId="37" borderId="31" applyNumberFormat="0" applyAlignment="0" applyProtection="0"/>
    <xf numFmtId="0" fontId="4" fillId="25" borderId="30" applyNumberFormat="0" applyFont="0" applyAlignment="0" applyProtection="0"/>
    <xf numFmtId="0" fontId="26" fillId="38" borderId="31" applyNumberFormat="0" applyAlignment="0" applyProtection="0"/>
    <xf numFmtId="0" fontId="26" fillId="37" borderId="31" applyNumberFormat="0" applyAlignment="0" applyProtection="0"/>
    <xf numFmtId="0" fontId="12" fillId="37" borderId="29" applyNumberFormat="0" applyAlignment="0" applyProtection="0"/>
    <xf numFmtId="0" fontId="13" fillId="38" borderId="29" applyNumberFormat="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19" fillId="22" borderId="29" applyNumberFormat="0" applyAlignment="0" applyProtection="0"/>
    <xf numFmtId="0" fontId="26" fillId="37" borderId="31" applyNumberFormat="0" applyAlignment="0" applyProtection="0"/>
    <xf numFmtId="0" fontId="13" fillId="38" borderId="29" applyNumberFormat="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26" fillId="38" borderId="31" applyNumberFormat="0" applyAlignment="0" applyProtection="0"/>
    <xf numFmtId="0" fontId="19" fillId="28" borderId="29" applyNumberFormat="0" applyAlignment="0" applyProtection="0"/>
    <xf numFmtId="0" fontId="19" fillId="22" borderId="29" applyNumberFormat="0" applyAlignment="0" applyProtection="0"/>
    <xf numFmtId="0" fontId="4" fillId="25" borderId="30" applyNumberFormat="0" applyFont="0" applyAlignment="0" applyProtection="0"/>
    <xf numFmtId="0" fontId="4" fillId="25" borderId="30" applyNumberFormat="0" applyFont="0" applyAlignment="0" applyProtection="0"/>
    <xf numFmtId="0" fontId="31" fillId="0" borderId="32" applyNumberFormat="0" applyFill="0" applyAlignment="0" applyProtection="0"/>
    <xf numFmtId="0" fontId="31" fillId="0" borderId="33" applyNumberFormat="0" applyFill="0" applyAlignment="0" applyProtection="0"/>
    <xf numFmtId="0" fontId="13" fillId="38" borderId="29" applyNumberFormat="0" applyAlignment="0" applyProtection="0"/>
    <xf numFmtId="0" fontId="31" fillId="0" borderId="33" applyNumberFormat="0" applyFill="0" applyAlignment="0" applyProtection="0"/>
    <xf numFmtId="0" fontId="13" fillId="38"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4" fillId="25" borderId="30" applyNumberFormat="0" applyFont="0" applyAlignment="0" applyProtection="0"/>
    <xf numFmtId="43" fontId="3" fillId="0" borderId="0" applyFont="0" applyFill="0" applyBorder="0" applyAlignment="0" applyProtection="0"/>
    <xf numFmtId="0" fontId="13" fillId="38" borderId="29" applyNumberFormat="0" applyAlignment="0" applyProtection="0"/>
    <xf numFmtId="0" fontId="19" fillId="22" borderId="29" applyNumberFormat="0" applyAlignment="0" applyProtection="0"/>
    <xf numFmtId="0" fontId="19" fillId="28" borderId="29" applyNumberFormat="0" applyAlignment="0" applyProtection="0"/>
    <xf numFmtId="0" fontId="26" fillId="37" borderId="31" applyNumberFormat="0" applyAlignment="0" applyProtection="0"/>
    <xf numFmtId="0" fontId="13" fillId="38" borderId="29" applyNumberFormat="0" applyAlignment="0" applyProtection="0"/>
    <xf numFmtId="0" fontId="5" fillId="25" borderId="30" applyNumberFormat="0" applyFont="0" applyAlignment="0" applyProtection="0"/>
    <xf numFmtId="43" fontId="3" fillId="0" borderId="0" applyFont="0" applyFill="0" applyBorder="0" applyAlignment="0" applyProtection="0"/>
    <xf numFmtId="0" fontId="26" fillId="38" borderId="31" applyNumberFormat="0" applyAlignment="0" applyProtection="0"/>
    <xf numFmtId="0" fontId="19" fillId="22" borderId="29" applyNumberFormat="0" applyAlignment="0" applyProtection="0"/>
    <xf numFmtId="0" fontId="19" fillId="22"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8" borderId="29" applyNumberFormat="0" applyAlignment="0" applyProtection="0"/>
    <xf numFmtId="0" fontId="19" fillId="22" borderId="29" applyNumberFormat="0" applyAlignment="0" applyProtection="0"/>
    <xf numFmtId="0" fontId="19" fillId="28" borderId="29" applyNumberFormat="0" applyAlignment="0" applyProtection="0"/>
    <xf numFmtId="43" fontId="3" fillId="0" borderId="0" applyFont="0" applyFill="0" applyBorder="0" applyAlignment="0" applyProtection="0"/>
    <xf numFmtId="0" fontId="12" fillId="37" borderId="29" applyNumberFormat="0" applyAlignment="0" applyProtection="0"/>
    <xf numFmtId="0" fontId="13" fillId="38" borderId="29" applyNumberFormat="0" applyAlignment="0" applyProtection="0"/>
    <xf numFmtId="0" fontId="19" fillId="22" borderId="29" applyNumberFormat="0" applyAlignment="0" applyProtection="0"/>
    <xf numFmtId="0" fontId="19" fillId="28" borderId="29" applyNumberFormat="0" applyAlignment="0" applyProtection="0"/>
    <xf numFmtId="0" fontId="19" fillId="22" borderId="29"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12" fillId="37" borderId="29" applyNumberFormat="0" applyAlignment="0" applyProtection="0"/>
    <xf numFmtId="0" fontId="5" fillId="25" borderId="30" applyNumberFormat="0" applyFont="0" applyAlignment="0" applyProtection="0"/>
    <xf numFmtId="0" fontId="31" fillId="0" borderId="32" applyNumberFormat="0" applyFill="0" applyAlignment="0" applyProtection="0"/>
    <xf numFmtId="0" fontId="26" fillId="37" borderId="31" applyNumberFormat="0" applyAlignment="0" applyProtection="0"/>
    <xf numFmtId="0" fontId="12" fillId="37" borderId="29" applyNumberFormat="0" applyAlignment="0" applyProtection="0"/>
    <xf numFmtId="0" fontId="12" fillId="37" borderId="29" applyNumberFormat="0" applyAlignment="0" applyProtection="0"/>
    <xf numFmtId="0" fontId="12" fillId="37" borderId="29" applyNumberFormat="0" applyAlignment="0" applyProtection="0"/>
    <xf numFmtId="0" fontId="26" fillId="37" borderId="31" applyNumberFormat="0" applyAlignment="0" applyProtection="0"/>
    <xf numFmtId="0" fontId="26" fillId="37" borderId="31" applyNumberFormat="0" applyAlignment="0" applyProtection="0"/>
    <xf numFmtId="0" fontId="26" fillId="37" borderId="31" applyNumberFormat="0" applyAlignment="0" applyProtection="0"/>
    <xf numFmtId="0" fontId="4" fillId="25" borderId="30" applyNumberFormat="0" applyFon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0" fontId="26" fillId="37" borderId="31" applyNumberFormat="0" applyAlignment="0" applyProtection="0"/>
    <xf numFmtId="0" fontId="13" fillId="38" borderId="29" applyNumberFormat="0" applyAlignment="0" applyProtection="0"/>
    <xf numFmtId="0" fontId="19" fillId="22" borderId="29" applyNumberFormat="0" applyAlignment="0" applyProtection="0"/>
    <xf numFmtId="0" fontId="19" fillId="28" borderId="29" applyNumberFormat="0" applyAlignment="0" applyProtection="0"/>
    <xf numFmtId="0" fontId="31" fillId="0" borderId="32" applyNumberFormat="0" applyFill="0" applyAlignment="0" applyProtection="0"/>
    <xf numFmtId="0" fontId="31" fillId="0" borderId="33" applyNumberFormat="0" applyFill="0" applyAlignment="0" applyProtection="0"/>
    <xf numFmtId="0" fontId="31" fillId="0" borderId="32" applyNumberFormat="0" applyFill="0" applyAlignment="0" applyProtection="0"/>
    <xf numFmtId="0" fontId="13" fillId="38" borderId="29" applyNumberFormat="0" applyAlignment="0" applyProtection="0"/>
    <xf numFmtId="0" fontId="31" fillId="0" borderId="33" applyNumberFormat="0" applyFill="0" applyAlignment="0" applyProtection="0"/>
    <xf numFmtId="0" fontId="4" fillId="25" borderId="30" applyNumberFormat="0" applyFont="0" applyAlignment="0" applyProtection="0"/>
    <xf numFmtId="0" fontId="26" fillId="37" borderId="31" applyNumberFormat="0" applyAlignment="0" applyProtection="0"/>
    <xf numFmtId="0" fontId="26" fillId="38" borderId="31" applyNumberFormat="0" applyAlignment="0" applyProtection="0"/>
    <xf numFmtId="0" fontId="26" fillId="38" borderId="31" applyNumberFormat="0" applyAlignment="0" applyProtection="0"/>
    <xf numFmtId="0" fontId="26" fillId="37" borderId="31" applyNumberFormat="0" applyAlignment="0" applyProtection="0"/>
    <xf numFmtId="43" fontId="3" fillId="0" borderId="0" applyFont="0" applyFill="0" applyBorder="0" applyAlignment="0" applyProtection="0"/>
    <xf numFmtId="0" fontId="12" fillId="37" borderId="29" applyNumberFormat="0" applyAlignment="0" applyProtection="0"/>
    <xf numFmtId="0" fontId="31" fillId="0" borderId="33" applyNumberFormat="0" applyFill="0" applyAlignment="0" applyProtection="0"/>
    <xf numFmtId="0" fontId="26" fillId="37" borderId="31" applyNumberFormat="0" applyAlignment="0" applyProtection="0"/>
    <xf numFmtId="0" fontId="26" fillId="37" borderId="31"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12" fillId="37"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31" fillId="0" borderId="33" applyNumberFormat="0" applyFill="0" applyAlignment="0" applyProtection="0"/>
    <xf numFmtId="0" fontId="19" fillId="28" borderId="29" applyNumberFormat="0" applyAlignment="0" applyProtection="0"/>
    <xf numFmtId="0" fontId="26" fillId="37" borderId="3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1" fillId="0" borderId="33" applyNumberFormat="0" applyFill="0" applyAlignment="0" applyProtection="0"/>
    <xf numFmtId="0" fontId="4" fillId="25" borderId="30" applyNumberFormat="0" applyFont="0" applyAlignment="0" applyProtection="0"/>
    <xf numFmtId="0" fontId="4" fillId="25" borderId="30" applyNumberFormat="0" applyFont="0" applyAlignment="0" applyProtection="0"/>
    <xf numFmtId="0" fontId="5" fillId="25" borderId="30" applyNumberFormat="0" applyFont="0" applyAlignment="0" applyProtection="0"/>
    <xf numFmtId="0" fontId="26" fillId="37" borderId="31" applyNumberFormat="0" applyAlignment="0" applyProtection="0"/>
    <xf numFmtId="0" fontId="5" fillId="25" borderId="30" applyNumberFormat="0" applyFont="0" applyAlignment="0" applyProtection="0"/>
    <xf numFmtId="0" fontId="31" fillId="0" borderId="32" applyNumberFormat="0" applyFill="0" applyAlignment="0" applyProtection="0"/>
    <xf numFmtId="0" fontId="31" fillId="0" borderId="32" applyNumberFormat="0" applyFill="0" applyAlignment="0" applyProtection="0"/>
    <xf numFmtId="0" fontId="19" fillId="22" borderId="29" applyNumberFormat="0" applyAlignment="0" applyProtection="0"/>
    <xf numFmtId="0" fontId="26" fillId="38" borderId="31" applyNumberFormat="0" applyAlignment="0" applyProtection="0"/>
    <xf numFmtId="0" fontId="26" fillId="37" borderId="31" applyNumberFormat="0" applyAlignment="0" applyProtection="0"/>
    <xf numFmtId="43" fontId="3" fillId="0" borderId="0" applyFont="0" applyFill="0" applyBorder="0" applyAlignment="0" applyProtection="0"/>
    <xf numFmtId="0" fontId="5" fillId="25" borderId="30" applyNumberFormat="0" applyFont="0" applyAlignment="0" applyProtection="0"/>
    <xf numFmtId="0" fontId="31" fillId="0" borderId="33" applyNumberFormat="0" applyFill="0" applyAlignment="0" applyProtection="0"/>
    <xf numFmtId="0" fontId="13" fillId="38"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4" fillId="25" borderId="30" applyNumberFormat="0" applyFont="0" applyAlignment="0" applyProtection="0"/>
    <xf numFmtId="0" fontId="13" fillId="38" borderId="29" applyNumberFormat="0" applyAlignment="0" applyProtection="0"/>
    <xf numFmtId="0" fontId="12" fillId="37" borderId="29" applyNumberFormat="0" applyAlignment="0" applyProtection="0"/>
    <xf numFmtId="0" fontId="31" fillId="0" borderId="32" applyNumberFormat="0" applyFill="0" applyAlignment="0" applyProtection="0"/>
    <xf numFmtId="0" fontId="31" fillId="0" borderId="33" applyNumberFormat="0" applyFill="0" applyAlignment="0" applyProtection="0"/>
    <xf numFmtId="0" fontId="4" fillId="25" borderId="30" applyNumberFormat="0" applyFont="0" applyAlignment="0" applyProtection="0"/>
    <xf numFmtId="0" fontId="26" fillId="38" borderId="31" applyNumberFormat="0" applyAlignment="0" applyProtection="0"/>
    <xf numFmtId="0" fontId="4" fillId="25" borderId="30" applyNumberFormat="0" applyFont="0" applyAlignment="0" applyProtection="0"/>
    <xf numFmtId="0" fontId="19" fillId="28" borderId="29" applyNumberFormat="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19" fillId="22" borderId="29" applyNumberFormat="0" applyAlignment="0" applyProtection="0"/>
    <xf numFmtId="0" fontId="13" fillId="38" borderId="29" applyNumberFormat="0" applyAlignment="0" applyProtection="0"/>
    <xf numFmtId="0" fontId="31" fillId="0" borderId="32" applyNumberFormat="0" applyFill="0" applyAlignment="0" applyProtection="0"/>
    <xf numFmtId="0" fontId="19" fillId="28" borderId="29" applyNumberFormat="0" applyAlignment="0" applyProtection="0"/>
    <xf numFmtId="0" fontId="26" fillId="37" borderId="31" applyNumberFormat="0" applyAlignment="0" applyProtection="0"/>
    <xf numFmtId="0" fontId="26" fillId="38" borderId="31" applyNumberFormat="0" applyAlignment="0" applyProtection="0"/>
    <xf numFmtId="0" fontId="12" fillId="37" borderId="29" applyNumberFormat="0" applyAlignment="0" applyProtection="0"/>
    <xf numFmtId="0" fontId="12" fillId="37" borderId="29" applyNumberFormat="0" applyAlignment="0" applyProtection="0"/>
    <xf numFmtId="0" fontId="19" fillId="22"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2" borderId="29" applyNumberFormat="0" applyAlignment="0" applyProtection="0"/>
    <xf numFmtId="0" fontId="12" fillId="37"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12" fillId="37" borderId="29" applyNumberFormat="0" applyAlignment="0" applyProtection="0"/>
    <xf numFmtId="0" fontId="19" fillId="22"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7" borderId="31"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31" fillId="0" borderId="33" applyNumberFormat="0" applyFill="0" applyAlignment="0" applyProtection="0"/>
    <xf numFmtId="0" fontId="13" fillId="38" borderId="29" applyNumberFormat="0" applyAlignment="0" applyProtection="0"/>
    <xf numFmtId="0" fontId="12" fillId="37" borderId="29" applyNumberFormat="0" applyAlignment="0" applyProtection="0"/>
    <xf numFmtId="0" fontId="19" fillId="22" borderId="29" applyNumberFormat="0" applyAlignment="0" applyProtection="0"/>
    <xf numFmtId="0" fontId="19" fillId="28" borderId="29" applyNumberFormat="0" applyAlignment="0" applyProtection="0"/>
    <xf numFmtId="0" fontId="26" fillId="38" borderId="31" applyNumberFormat="0" applyAlignment="0" applyProtection="0"/>
    <xf numFmtId="0" fontId="12" fillId="37" borderId="29" applyNumberFormat="0" applyAlignment="0" applyProtection="0"/>
    <xf numFmtId="0" fontId="26" fillId="37" borderId="31" applyNumberFormat="0" applyAlignment="0" applyProtection="0"/>
    <xf numFmtId="43" fontId="3" fillId="0" borderId="0" applyFont="0" applyFill="0" applyBorder="0" applyAlignment="0" applyProtection="0"/>
    <xf numFmtId="0" fontId="19" fillId="22" borderId="29" applyNumberFormat="0" applyAlignment="0" applyProtection="0"/>
    <xf numFmtId="0" fontId="13" fillId="38" borderId="29" applyNumberFormat="0" applyAlignment="0" applyProtection="0"/>
    <xf numFmtId="0" fontId="31" fillId="0" borderId="32" applyNumberFormat="0" applyFill="0" applyAlignment="0" applyProtection="0"/>
    <xf numFmtId="166" fontId="3" fillId="0" borderId="0" applyFont="0" applyFill="0" applyBorder="0" applyAlignment="0" applyProtection="0"/>
    <xf numFmtId="0" fontId="26" fillId="38" borderId="31" applyNumberFormat="0" applyAlignment="0" applyProtection="0"/>
    <xf numFmtId="0" fontId="12" fillId="37"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4" fillId="25" borderId="30" applyNumberFormat="0" applyFont="0" applyAlignment="0" applyProtection="0"/>
    <xf numFmtId="0" fontId="12" fillId="37" borderId="29" applyNumberFormat="0" applyAlignment="0" applyProtection="0"/>
    <xf numFmtId="0" fontId="12" fillId="37" borderId="29" applyNumberFormat="0" applyAlignment="0" applyProtection="0"/>
    <xf numFmtId="0" fontId="19" fillId="28" borderId="29" applyNumberFormat="0" applyAlignment="0" applyProtection="0"/>
    <xf numFmtId="43" fontId="3" fillId="0" borderId="0" applyFont="0" applyFill="0" applyBorder="0" applyAlignment="0" applyProtection="0"/>
    <xf numFmtId="0" fontId="26" fillId="37" borderId="31" applyNumberFormat="0" applyAlignment="0" applyProtection="0"/>
    <xf numFmtId="0" fontId="5" fillId="25" borderId="30" applyNumberFormat="0" applyFont="0" applyAlignment="0" applyProtection="0"/>
    <xf numFmtId="0" fontId="31" fillId="0" borderId="33" applyNumberFormat="0" applyFill="0" applyAlignment="0" applyProtection="0"/>
    <xf numFmtId="0" fontId="12" fillId="37" borderId="29" applyNumberFormat="0" applyAlignment="0" applyProtection="0"/>
    <xf numFmtId="166" fontId="3" fillId="0" borderId="0" applyFont="0" applyFill="0" applyBorder="0" applyAlignment="0" applyProtection="0"/>
    <xf numFmtId="0" fontId="13" fillId="38" borderId="29" applyNumberFormat="0" applyAlignment="0" applyProtection="0"/>
    <xf numFmtId="0" fontId="5" fillId="25" borderId="30" applyNumberFormat="0" applyFont="0" applyAlignment="0" applyProtection="0"/>
    <xf numFmtId="0" fontId="4" fillId="25" borderId="30" applyNumberFormat="0" applyFont="0" applyAlignment="0" applyProtection="0"/>
    <xf numFmtId="0" fontId="19" fillId="28" borderId="29" applyNumberFormat="0" applyAlignment="0" applyProtection="0"/>
    <xf numFmtId="0" fontId="19" fillId="22" borderId="29" applyNumberFormat="0" applyAlignment="0" applyProtection="0"/>
    <xf numFmtId="0" fontId="31" fillId="0" borderId="33" applyNumberFormat="0" applyFill="0" applyAlignment="0" applyProtection="0"/>
    <xf numFmtId="0" fontId="4"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9" fillId="22" borderId="29" applyNumberFormat="0" applyAlignment="0" applyProtection="0"/>
    <xf numFmtId="0" fontId="13" fillId="38" borderId="29" applyNumberFormat="0" applyAlignment="0" applyProtection="0"/>
    <xf numFmtId="0" fontId="31" fillId="0" borderId="32" applyNumberFormat="0" applyFill="0" applyAlignment="0" applyProtection="0"/>
    <xf numFmtId="166" fontId="3" fillId="0" borderId="0" applyFont="0" applyFill="0" applyBorder="0" applyAlignment="0" applyProtection="0"/>
    <xf numFmtId="0" fontId="19" fillId="28"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12" fillId="37" borderId="29" applyNumberFormat="0" applyAlignment="0" applyProtection="0"/>
    <xf numFmtId="0" fontId="19" fillId="28"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31" fillId="0" borderId="32" applyNumberFormat="0" applyFill="0" applyAlignment="0" applyProtection="0"/>
    <xf numFmtId="43" fontId="3" fillId="0" borderId="0" applyFont="0" applyFill="0" applyBorder="0" applyAlignment="0" applyProtection="0"/>
    <xf numFmtId="0" fontId="26" fillId="37" borderId="31" applyNumberFormat="0" applyAlignment="0" applyProtection="0"/>
    <xf numFmtId="0" fontId="31" fillId="0" borderId="32" applyNumberFormat="0" applyFill="0" applyAlignment="0" applyProtection="0"/>
    <xf numFmtId="0" fontId="5" fillId="25" borderId="30" applyNumberFormat="0" applyFont="0" applyAlignment="0" applyProtection="0"/>
    <xf numFmtId="0" fontId="5"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26" fillId="38" borderId="31" applyNumberFormat="0" applyAlignment="0" applyProtection="0"/>
    <xf numFmtId="0" fontId="19" fillId="22" borderId="29" applyNumberFormat="0" applyAlignment="0" applyProtection="0"/>
    <xf numFmtId="0" fontId="19" fillId="22" borderId="29" applyNumberFormat="0" applyAlignment="0" applyProtection="0"/>
    <xf numFmtId="0" fontId="13" fillId="38"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2" fillId="37" borderId="29" applyNumberFormat="0" applyAlignment="0" applyProtection="0"/>
    <xf numFmtId="0" fontId="5" fillId="25" borderId="30" applyNumberFormat="0" applyFont="0" applyAlignment="0" applyProtection="0"/>
    <xf numFmtId="0" fontId="12" fillId="37" borderId="29" applyNumberFormat="0" applyAlignment="0" applyProtection="0"/>
    <xf numFmtId="0" fontId="26" fillId="37" borderId="31" applyNumberFormat="0" applyAlignment="0" applyProtection="0"/>
    <xf numFmtId="43" fontId="3" fillId="0" borderId="0" applyFont="0" applyFill="0" applyBorder="0" applyAlignment="0" applyProtection="0"/>
    <xf numFmtId="0" fontId="19" fillId="22" borderId="29" applyNumberFormat="0" applyAlignment="0" applyProtection="0"/>
    <xf numFmtId="0" fontId="31" fillId="0" borderId="32" applyNumberFormat="0" applyFill="0" applyAlignment="0" applyProtection="0"/>
    <xf numFmtId="43" fontId="3" fillId="0" borderId="0" applyFont="0" applyFill="0" applyBorder="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26" fillId="38" borderId="31" applyNumberFormat="0" applyAlignment="0" applyProtection="0"/>
    <xf numFmtId="0" fontId="19" fillId="28" borderId="29"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19" fillId="28" borderId="29" applyNumberFormat="0" applyAlignment="0" applyProtection="0"/>
    <xf numFmtId="0" fontId="31" fillId="0" borderId="32" applyNumberFormat="0" applyFill="0" applyAlignment="0" applyProtection="0"/>
    <xf numFmtId="0" fontId="31" fillId="0" borderId="33" applyNumberFormat="0" applyFill="0" applyAlignment="0" applyProtection="0"/>
    <xf numFmtId="0" fontId="26" fillId="37" borderId="31" applyNumberFormat="0" applyAlignment="0" applyProtection="0"/>
    <xf numFmtId="0" fontId="26" fillId="37" borderId="31" applyNumberFormat="0" applyAlignment="0" applyProtection="0"/>
    <xf numFmtId="0" fontId="12" fillId="37" borderId="29" applyNumberFormat="0" applyAlignment="0" applyProtection="0"/>
    <xf numFmtId="43" fontId="3" fillId="0" borderId="0" applyFont="0" applyFill="0" applyBorder="0" applyAlignment="0" applyProtection="0"/>
    <xf numFmtId="0" fontId="26" fillId="38" borderId="31" applyNumberFormat="0" applyAlignment="0" applyProtection="0"/>
    <xf numFmtId="0" fontId="19" fillId="28" borderId="29" applyNumberFormat="0" applyAlignment="0" applyProtection="0"/>
    <xf numFmtId="0" fontId="4" fillId="25" borderId="30" applyNumberFormat="0" applyFont="0" applyAlignment="0" applyProtection="0"/>
    <xf numFmtId="0" fontId="26" fillId="37" borderId="31"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5" fillId="25" borderId="30" applyNumberFormat="0" applyFont="0" applyAlignment="0" applyProtection="0"/>
    <xf numFmtId="0" fontId="19" fillId="28" borderId="29" applyNumberFormat="0" applyAlignment="0" applyProtection="0"/>
    <xf numFmtId="0" fontId="4"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5" fillId="25" borderId="30" applyNumberFormat="0" applyFont="0" applyAlignment="0" applyProtection="0"/>
    <xf numFmtId="0" fontId="31" fillId="0" borderId="32" applyNumberFormat="0" applyFill="0" applyAlignment="0" applyProtection="0"/>
    <xf numFmtId="0" fontId="19" fillId="22"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26" fillId="38" borderId="31"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2" applyNumberFormat="0" applyFill="0" applyAlignment="0" applyProtection="0"/>
    <xf numFmtId="0" fontId="12" fillId="37" borderId="29" applyNumberFormat="0" applyAlignment="0" applyProtection="0"/>
    <xf numFmtId="0" fontId="31" fillId="0" borderId="32" applyNumberFormat="0" applyFill="0" applyAlignment="0" applyProtection="0"/>
    <xf numFmtId="0" fontId="19" fillId="22" borderId="29" applyNumberFormat="0" applyAlignment="0" applyProtection="0"/>
    <xf numFmtId="0" fontId="26" fillId="37" borderId="31" applyNumberFormat="0" applyAlignment="0" applyProtection="0"/>
    <xf numFmtId="0" fontId="12" fillId="37" borderId="29" applyNumberFormat="0" applyAlignment="0" applyProtection="0"/>
    <xf numFmtId="0" fontId="4" fillId="25" borderId="30" applyNumberFormat="0" applyFont="0" applyAlignment="0" applyProtection="0"/>
    <xf numFmtId="0" fontId="31" fillId="0" borderId="33" applyNumberFormat="0" applyFill="0" applyAlignment="0" applyProtection="0"/>
    <xf numFmtId="0" fontId="4" fillId="25" borderId="30" applyNumberFormat="0" applyFont="0" applyAlignment="0" applyProtection="0"/>
    <xf numFmtId="0" fontId="19" fillId="22" borderId="29" applyNumberFormat="0" applyAlignment="0" applyProtection="0"/>
    <xf numFmtId="0" fontId="26" fillId="37" borderId="31" applyNumberFormat="0" applyAlignment="0" applyProtection="0"/>
    <xf numFmtId="166" fontId="3" fillId="0" borderId="0" applyFont="0" applyFill="0" applyBorder="0" applyAlignment="0" applyProtection="0"/>
    <xf numFmtId="0" fontId="5" fillId="25" borderId="30" applyNumberFormat="0" applyFont="0" applyAlignment="0" applyProtection="0"/>
    <xf numFmtId="0" fontId="26" fillId="38" borderId="31" applyNumberFormat="0" applyAlignment="0" applyProtection="0"/>
    <xf numFmtId="0" fontId="19" fillId="22"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12" fillId="37" borderId="29" applyNumberFormat="0" applyAlignment="0" applyProtection="0"/>
    <xf numFmtId="0" fontId="12" fillId="37" borderId="29" applyNumberFormat="0" applyAlignment="0" applyProtection="0"/>
    <xf numFmtId="0" fontId="26" fillId="38" borderId="31" applyNumberFormat="0" applyAlignment="0" applyProtection="0"/>
    <xf numFmtId="0" fontId="12" fillId="37" borderId="29" applyNumberFormat="0" applyAlignment="0" applyProtection="0"/>
    <xf numFmtId="0" fontId="13" fillId="38" borderId="29"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26" fillId="37" borderId="31" applyNumberFormat="0" applyAlignment="0" applyProtection="0"/>
    <xf numFmtId="166" fontId="3" fillId="0" borderId="0" applyFont="0" applyFill="0" applyBorder="0" applyAlignment="0" applyProtection="0"/>
    <xf numFmtId="0" fontId="26" fillId="37" borderId="31" applyNumberFormat="0" applyAlignment="0" applyProtection="0"/>
    <xf numFmtId="43" fontId="3" fillId="0" borderId="0" applyFont="0" applyFill="0" applyBorder="0" applyAlignment="0" applyProtection="0"/>
    <xf numFmtId="0" fontId="13" fillId="38"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2" borderId="29" applyNumberFormat="0" applyAlignment="0" applyProtection="0"/>
    <xf numFmtId="0" fontId="19" fillId="22" borderId="29" applyNumberFormat="0" applyAlignment="0" applyProtection="0"/>
    <xf numFmtId="0" fontId="5" fillId="25" borderId="30" applyNumberFormat="0" applyFont="0" applyAlignment="0" applyProtection="0"/>
    <xf numFmtId="0" fontId="13" fillId="38" borderId="29" applyNumberFormat="0" applyAlignment="0" applyProtection="0"/>
    <xf numFmtId="0" fontId="26" fillId="37" borderId="31" applyNumberFormat="0" applyAlignment="0" applyProtection="0"/>
    <xf numFmtId="0" fontId="19" fillId="22" borderId="29" applyNumberFormat="0" applyAlignment="0" applyProtection="0"/>
    <xf numFmtId="0" fontId="31" fillId="0" borderId="32" applyNumberFormat="0" applyFill="0" applyAlignment="0" applyProtection="0"/>
    <xf numFmtId="0" fontId="19" fillId="22" borderId="29" applyNumberFormat="0" applyAlignment="0" applyProtection="0"/>
    <xf numFmtId="0" fontId="19" fillId="28"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8" borderId="29"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4" fillId="25" borderId="30" applyNumberFormat="0" applyFont="0" applyAlignment="0" applyProtection="0"/>
    <xf numFmtId="0" fontId="5"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31" fillId="0" borderId="32" applyNumberFormat="0" applyFill="0" applyAlignment="0" applyProtection="0"/>
    <xf numFmtId="0" fontId="26" fillId="37" borderId="31" applyNumberFormat="0" applyAlignment="0" applyProtection="0"/>
    <xf numFmtId="0" fontId="26" fillId="37" borderId="31"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19" fillId="28" borderId="29" applyNumberFormat="0" applyAlignment="0" applyProtection="0"/>
    <xf numFmtId="43" fontId="3" fillId="0" borderId="0" applyFont="0" applyFill="0" applyBorder="0" applyAlignment="0" applyProtection="0"/>
    <xf numFmtId="0" fontId="4"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31" fillId="0" borderId="32" applyNumberFormat="0" applyFill="0" applyAlignment="0" applyProtection="0"/>
    <xf numFmtId="0" fontId="26" fillId="38" borderId="31" applyNumberFormat="0" applyAlignment="0" applyProtection="0"/>
    <xf numFmtId="0" fontId="19" fillId="22"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12" fillId="37" borderId="29" applyNumberFormat="0" applyAlignment="0" applyProtection="0"/>
    <xf numFmtId="0" fontId="31" fillId="0" borderId="33" applyNumberFormat="0" applyFill="0" applyAlignment="0" applyProtection="0"/>
    <xf numFmtId="0" fontId="19" fillId="22"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13" fillId="38" borderId="29" applyNumberFormat="0" applyAlignment="0" applyProtection="0"/>
    <xf numFmtId="0" fontId="26" fillId="38" borderId="31" applyNumberFormat="0" applyAlignment="0" applyProtection="0"/>
    <xf numFmtId="43" fontId="3" fillId="0" borderId="0" applyFont="0" applyFill="0" applyBorder="0" applyAlignment="0" applyProtection="0"/>
    <xf numFmtId="0" fontId="26" fillId="37" borderId="31" applyNumberFormat="0" applyAlignment="0" applyProtection="0"/>
    <xf numFmtId="0" fontId="12" fillId="37" borderId="29" applyNumberFormat="0" applyAlignment="0" applyProtection="0"/>
    <xf numFmtId="0" fontId="12" fillId="37" borderId="29" applyNumberFormat="0" applyAlignment="0" applyProtection="0"/>
    <xf numFmtId="0" fontId="26" fillId="38" borderId="31"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26" fillId="37" borderId="31" applyNumberFormat="0" applyAlignment="0" applyProtection="0"/>
    <xf numFmtId="166" fontId="3" fillId="0" borderId="0" applyFont="0" applyFill="0" applyBorder="0" applyAlignment="0" applyProtection="0"/>
    <xf numFmtId="0" fontId="26" fillId="37" borderId="31" applyNumberFormat="0" applyAlignment="0" applyProtection="0"/>
    <xf numFmtId="43" fontId="3" fillId="0" borderId="0" applyFont="0" applyFill="0" applyBorder="0" applyAlignment="0" applyProtection="0"/>
    <xf numFmtId="0" fontId="13" fillId="38"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2" borderId="29" applyNumberFormat="0" applyAlignment="0" applyProtection="0"/>
    <xf numFmtId="0" fontId="31" fillId="0" borderId="33" applyNumberFormat="0" applyFill="0" applyAlignment="0" applyProtection="0"/>
    <xf numFmtId="0" fontId="12" fillId="37" borderId="29" applyNumberFormat="0" applyAlignment="0" applyProtection="0"/>
    <xf numFmtId="43" fontId="3" fillId="0" borderId="0" applyFont="0" applyFill="0" applyBorder="0" applyAlignment="0" applyProtection="0"/>
    <xf numFmtId="0" fontId="19" fillId="22" borderId="29" applyNumberFormat="0" applyAlignment="0" applyProtection="0"/>
    <xf numFmtId="0" fontId="5" fillId="25" borderId="30" applyNumberFormat="0" applyFont="0" applyAlignment="0" applyProtection="0"/>
    <xf numFmtId="166" fontId="3" fillId="0" borderId="0" applyFont="0" applyFill="0" applyBorder="0" applyAlignment="0" applyProtection="0"/>
    <xf numFmtId="0" fontId="13" fillId="38" borderId="29" applyNumberFormat="0" applyAlignment="0" applyProtection="0"/>
    <xf numFmtId="0" fontId="13" fillId="38" borderId="29" applyNumberFormat="0" applyAlignment="0" applyProtection="0"/>
    <xf numFmtId="0" fontId="12" fillId="37" borderId="29" applyNumberFormat="0" applyAlignment="0" applyProtection="0"/>
    <xf numFmtId="0" fontId="26" fillId="37" borderId="31" applyNumberFormat="0" applyAlignment="0" applyProtection="0"/>
    <xf numFmtId="0" fontId="26" fillId="37" borderId="31" applyNumberFormat="0" applyAlignment="0" applyProtection="0"/>
    <xf numFmtId="0" fontId="26" fillId="38" borderId="31" applyNumberFormat="0" applyAlignment="0" applyProtection="0"/>
    <xf numFmtId="0" fontId="5" fillId="25" borderId="30" applyNumberFormat="0" applyFont="0" applyAlignment="0" applyProtection="0"/>
    <xf numFmtId="0" fontId="19" fillId="22" borderId="29" applyNumberFormat="0" applyAlignment="0" applyProtection="0"/>
    <xf numFmtId="0" fontId="13" fillId="38" borderId="29" applyNumberFormat="0" applyAlignment="0" applyProtection="0"/>
    <xf numFmtId="0" fontId="26" fillId="38" borderId="31" applyNumberFormat="0" applyAlignment="0" applyProtection="0"/>
    <xf numFmtId="0" fontId="12" fillId="37" borderId="29" applyNumberFormat="0" applyAlignment="0" applyProtection="0"/>
    <xf numFmtId="0" fontId="12" fillId="37" borderId="29" applyNumberFormat="0" applyAlignment="0" applyProtection="0"/>
    <xf numFmtId="0" fontId="26" fillId="38" borderId="31" applyNumberFormat="0" applyAlignment="0" applyProtection="0"/>
    <xf numFmtId="0" fontId="19" fillId="28" borderId="29" applyNumberFormat="0" applyAlignment="0" applyProtection="0"/>
    <xf numFmtId="166" fontId="3" fillId="0" borderId="0" applyFont="0" applyFill="0" applyBorder="0" applyAlignment="0" applyProtection="0"/>
    <xf numFmtId="0" fontId="19" fillId="28" borderId="29" applyNumberFormat="0" applyAlignment="0" applyProtection="0"/>
    <xf numFmtId="0" fontId="5" fillId="25" borderId="30" applyNumberFormat="0" applyFont="0" applyAlignment="0" applyProtection="0"/>
    <xf numFmtId="0" fontId="12" fillId="37" borderId="29" applyNumberFormat="0" applyAlignment="0" applyProtection="0"/>
    <xf numFmtId="0" fontId="26" fillId="38" borderId="31" applyNumberFormat="0" applyAlignment="0" applyProtection="0"/>
    <xf numFmtId="0" fontId="19" fillId="22" borderId="29" applyNumberFormat="0" applyAlignment="0" applyProtection="0"/>
    <xf numFmtId="0" fontId="12" fillId="37" borderId="29" applyNumberFormat="0" applyAlignment="0" applyProtection="0"/>
    <xf numFmtId="0" fontId="19" fillId="22" borderId="29" applyNumberFormat="0" applyAlignment="0" applyProtection="0"/>
    <xf numFmtId="0" fontId="19" fillId="22" borderId="29" applyNumberFormat="0" applyAlignment="0" applyProtection="0"/>
    <xf numFmtId="0" fontId="31" fillId="0" borderId="32" applyNumberFormat="0" applyFill="0" applyAlignment="0" applyProtection="0"/>
    <xf numFmtId="0" fontId="19" fillId="28"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12" fillId="37" borderId="29" applyNumberFormat="0" applyAlignment="0" applyProtection="0"/>
    <xf numFmtId="0" fontId="19" fillId="28" borderId="29" applyNumberFormat="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8" borderId="31" applyNumberFormat="0" applyAlignment="0" applyProtection="0"/>
    <xf numFmtId="0" fontId="19" fillId="28" borderId="29"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4" fillId="25" borderId="30" applyNumberFormat="0" applyFont="0" applyAlignment="0" applyProtection="0"/>
    <xf numFmtId="0" fontId="26" fillId="38" borderId="31" applyNumberFormat="0" applyAlignment="0" applyProtection="0"/>
    <xf numFmtId="0" fontId="31" fillId="0" borderId="33" applyNumberFormat="0" applyFill="0" applyAlignment="0" applyProtection="0"/>
    <xf numFmtId="0" fontId="19" fillId="28" borderId="29" applyNumberFormat="0" applyAlignment="0" applyProtection="0"/>
    <xf numFmtId="0" fontId="31" fillId="0" borderId="33" applyNumberFormat="0" applyFill="0" applyAlignment="0" applyProtection="0"/>
    <xf numFmtId="0" fontId="26" fillId="37" borderId="31" applyNumberFormat="0" applyAlignment="0" applyProtection="0"/>
    <xf numFmtId="0" fontId="5" fillId="25"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19" fillId="28" borderId="29" applyNumberFormat="0" applyAlignment="0" applyProtection="0"/>
    <xf numFmtId="0" fontId="26" fillId="38" borderId="31" applyNumberFormat="0" applyAlignment="0" applyProtection="0"/>
    <xf numFmtId="0" fontId="26" fillId="37" borderId="31" applyNumberFormat="0" applyAlignment="0" applyProtection="0"/>
    <xf numFmtId="0" fontId="5" fillId="25" borderId="30" applyNumberFormat="0" applyFont="0" applyAlignment="0" applyProtection="0"/>
    <xf numFmtId="43" fontId="3" fillId="0" borderId="0" applyFont="0" applyFill="0" applyBorder="0" applyAlignment="0" applyProtection="0"/>
    <xf numFmtId="0" fontId="12" fillId="37" borderId="29" applyNumberFormat="0" applyAlignment="0" applyProtection="0"/>
    <xf numFmtId="0" fontId="26" fillId="37" borderId="31" applyNumberFormat="0" applyAlignment="0" applyProtection="0"/>
    <xf numFmtId="0" fontId="12" fillId="37" borderId="29"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12" fillId="37" borderId="29" applyNumberFormat="0" applyAlignment="0" applyProtection="0"/>
    <xf numFmtId="166" fontId="3" fillId="0" borderId="0" applyFont="0" applyFill="0" applyBorder="0" applyAlignment="0" applyProtection="0"/>
    <xf numFmtId="0" fontId="12" fillId="37"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26" fillId="38" borderId="31" applyNumberFormat="0" applyAlignment="0" applyProtection="0"/>
    <xf numFmtId="0" fontId="19" fillId="22" borderId="29" applyNumberFormat="0" applyAlignment="0" applyProtection="0"/>
    <xf numFmtId="0" fontId="5" fillId="25" borderId="30" applyNumberFormat="0" applyFont="0" applyAlignment="0" applyProtection="0"/>
    <xf numFmtId="0" fontId="4" fillId="25" borderId="30" applyNumberFormat="0" applyFont="0" applyAlignment="0" applyProtection="0"/>
    <xf numFmtId="166" fontId="3" fillId="0" borderId="0" applyFont="0" applyFill="0" applyBorder="0" applyAlignment="0" applyProtection="0"/>
    <xf numFmtId="0" fontId="12" fillId="37" borderId="29" applyNumberFormat="0" applyAlignment="0" applyProtection="0"/>
    <xf numFmtId="0" fontId="19" fillId="22" borderId="29" applyNumberFormat="0" applyAlignment="0" applyProtection="0"/>
    <xf numFmtId="0" fontId="31" fillId="0" borderId="33" applyNumberFormat="0" applyFill="0" applyAlignment="0" applyProtection="0"/>
    <xf numFmtId="0" fontId="12" fillId="37" borderId="29" applyNumberFormat="0" applyAlignment="0" applyProtection="0"/>
    <xf numFmtId="0" fontId="31" fillId="0" borderId="33" applyNumberFormat="0" applyFill="0" applyAlignment="0" applyProtection="0"/>
    <xf numFmtId="0" fontId="5" fillId="25" borderId="30" applyNumberFormat="0" applyFont="0" applyAlignment="0" applyProtection="0"/>
    <xf numFmtId="0" fontId="5" fillId="25" borderId="30" applyNumberFormat="0" applyFont="0" applyAlignment="0" applyProtection="0"/>
    <xf numFmtId="0" fontId="4" fillId="25" borderId="30" applyNumberFormat="0" applyFont="0" applyAlignment="0" applyProtection="0"/>
    <xf numFmtId="43" fontId="3" fillId="0" borderId="0" applyFont="0" applyFill="0" applyBorder="0" applyAlignment="0" applyProtection="0"/>
    <xf numFmtId="0" fontId="19" fillId="28" borderId="29" applyNumberFormat="0" applyAlignment="0" applyProtection="0"/>
    <xf numFmtId="43" fontId="3" fillId="0" borderId="0" applyFont="0" applyFill="0" applyBorder="0" applyAlignment="0" applyProtection="0"/>
    <xf numFmtId="0" fontId="26" fillId="37" borderId="31" applyNumberFormat="0" applyAlignment="0" applyProtection="0"/>
    <xf numFmtId="0" fontId="31" fillId="0" borderId="33" applyNumberFormat="0" applyFill="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0" fontId="4" fillId="25"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6" fillId="37" borderId="31" applyNumberFormat="0" applyAlignment="0" applyProtection="0"/>
    <xf numFmtId="0" fontId="31" fillId="0" borderId="33" applyNumberFormat="0" applyFill="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12" fillId="37"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12" fillId="37" borderId="29" applyNumberFormat="0" applyAlignment="0" applyProtection="0"/>
    <xf numFmtId="166" fontId="3" fillId="0" borderId="0" applyFont="0" applyFill="0" applyBorder="0" applyAlignment="0" applyProtection="0"/>
    <xf numFmtId="0" fontId="12" fillId="37" borderId="2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6" fillId="0" borderId="0"/>
    <xf numFmtId="43" fontId="3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34" fillId="0" borderId="0" applyFont="0" applyFill="0" applyBorder="0" applyAlignment="0" applyProtection="0"/>
    <xf numFmtId="0" fontId="4" fillId="25" borderId="22" applyNumberFormat="0" applyFont="0" applyAlignment="0" applyProtection="0"/>
    <xf numFmtId="0" fontId="4" fillId="25" borderId="22" applyNumberFormat="0" applyFont="0" applyAlignment="0" applyProtection="0"/>
    <xf numFmtId="44" fontId="5" fillId="0" borderId="0" applyFont="0" applyFill="0" applyBorder="0" applyAlignment="0" applyProtection="0"/>
    <xf numFmtId="0" fontId="26" fillId="38" borderId="23" applyNumberFormat="0" applyAlignment="0" applyProtection="0"/>
    <xf numFmtId="43" fontId="3" fillId="0" borderId="0" applyFont="0" applyFill="0" applyBorder="0" applyAlignment="0" applyProtection="0"/>
    <xf numFmtId="0" fontId="5" fillId="25" borderId="22" applyNumberFormat="0" applyFont="0" applyAlignment="0" applyProtection="0"/>
    <xf numFmtId="0" fontId="19" fillId="22" borderId="15" applyNumberFormat="0" applyAlignment="0" applyProtection="0"/>
    <xf numFmtId="170" fontId="4" fillId="0" borderId="0" applyFont="0" applyFill="0" applyBorder="0" applyAlignment="0" applyProtection="0"/>
    <xf numFmtId="44" fontId="5" fillId="0" borderId="0" applyFont="0" applyFill="0" applyBorder="0" applyAlignment="0" applyProtection="0"/>
    <xf numFmtId="170" fontId="4" fillId="0" borderId="0" applyFont="0" applyFill="0" applyBorder="0" applyAlignment="0" applyProtection="0"/>
    <xf numFmtId="0" fontId="5" fillId="25" borderId="22" applyNumberFormat="0" applyFont="0" applyAlignment="0" applyProtection="0"/>
    <xf numFmtId="0" fontId="31" fillId="0" borderId="28" applyNumberFormat="0" applyFill="0" applyAlignment="0" applyProtection="0"/>
    <xf numFmtId="44" fontId="5" fillId="0" borderId="0" applyFont="0" applyFill="0" applyBorder="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2" borderId="15" applyNumberFormat="0" applyAlignment="0" applyProtection="0"/>
    <xf numFmtId="44" fontId="5" fillId="0" borderId="0" applyFont="0" applyFill="0" applyBorder="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7" borderId="23"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9" fillId="22"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5" fillId="25" borderId="22" applyNumberFormat="0" applyFon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12" fillId="37"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19" fillId="28"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5"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9" fillId="22"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8" applyNumberFormat="0" applyFill="0" applyAlignment="0" applyProtection="0"/>
    <xf numFmtId="0" fontId="26" fillId="37" borderId="23" applyNumberFormat="0" applyAlignment="0" applyProtection="0"/>
    <xf numFmtId="0" fontId="19" fillId="22"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5" fillId="25" borderId="22" applyNumberFormat="0" applyFont="0" applyAlignment="0" applyProtection="0"/>
    <xf numFmtId="166" fontId="3" fillId="0" borderId="0" applyFont="0" applyFill="0" applyBorder="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8" borderId="23" applyNumberFormat="0" applyAlignment="0" applyProtection="0"/>
    <xf numFmtId="0" fontId="31" fillId="0" borderId="28" applyNumberFormat="0" applyFill="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13" fillId="3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26" fillId="37" borderId="23" applyNumberFormat="0" applyAlignment="0" applyProtection="0"/>
    <xf numFmtId="0" fontId="4"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5"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19" fillId="28"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26" fillId="38" borderId="23" applyNumberFormat="0" applyAlignment="0" applyProtection="0"/>
    <xf numFmtId="0" fontId="31" fillId="0" borderId="28" applyNumberFormat="0" applyFill="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7" borderId="23"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9" fillId="22"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166" fontId="3" fillId="0" borderId="0" applyFont="0" applyFill="0" applyBorder="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2" fillId="37"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166" fontId="3" fillId="0" borderId="0" applyFont="0" applyFill="0" applyBorder="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2" fillId="37"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2" fillId="37"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2" fillId="37" borderId="15" applyNumberFormat="0" applyAlignment="0" applyProtection="0"/>
    <xf numFmtId="165" fontId="3" fillId="0" borderId="0" applyFont="0" applyFill="0" applyBorder="0" applyAlignment="0" applyProtection="0"/>
  </cellStyleXfs>
  <cellXfs count="659">
    <xf numFmtId="0" fontId="0" fillId="0" borderId="0" xfId="0"/>
    <xf numFmtId="0" fontId="35" fillId="2" borderId="0" xfId="0" applyFont="1" applyFill="1" applyBorder="1"/>
    <xf numFmtId="0" fontId="36" fillId="2" borderId="0" xfId="0" applyFont="1" applyFill="1" applyBorder="1" applyAlignment="1"/>
    <xf numFmtId="0" fontId="35" fillId="2" borderId="0" xfId="0" applyFont="1" applyFill="1" applyBorder="1" applyAlignment="1">
      <alignment horizontal="justify" vertical="center"/>
    </xf>
    <xf numFmtId="0" fontId="38" fillId="2" borderId="2" xfId="0" applyFont="1" applyFill="1" applyBorder="1" applyAlignment="1">
      <alignment vertical="center"/>
    </xf>
    <xf numFmtId="0" fontId="38" fillId="0" borderId="2" xfId="0" applyFont="1" applyFill="1" applyBorder="1" applyAlignment="1">
      <alignment vertical="center"/>
    </xf>
    <xf numFmtId="0" fontId="36" fillId="0" borderId="0" xfId="0" applyFont="1" applyFill="1" applyBorder="1" applyAlignment="1">
      <alignment vertical="distributed"/>
    </xf>
    <xf numFmtId="0" fontId="36" fillId="2" borderId="0" xfId="0" applyFont="1" applyFill="1" applyBorder="1" applyAlignment="1">
      <alignment horizontal="center" vertical="center"/>
    </xf>
    <xf numFmtId="0" fontId="36" fillId="5" borderId="2" xfId="0" applyFont="1" applyFill="1" applyBorder="1" applyAlignment="1">
      <alignment vertical="center" wrapText="1"/>
    </xf>
    <xf numFmtId="0" fontId="36" fillId="4" borderId="2" xfId="0" applyFont="1" applyFill="1" applyBorder="1" applyAlignment="1">
      <alignment vertical="center" wrapText="1"/>
    </xf>
    <xf numFmtId="0" fontId="36" fillId="6" borderId="2" xfId="0" applyFont="1" applyFill="1" applyBorder="1" applyAlignment="1">
      <alignment vertical="center" wrapText="1"/>
    </xf>
    <xf numFmtId="3" fontId="38" fillId="3" borderId="2" xfId="53" applyNumberFormat="1" applyFont="1" applyFill="1" applyBorder="1" applyAlignment="1">
      <alignment horizontal="center" vertical="center" wrapText="1"/>
    </xf>
    <xf numFmtId="4" fontId="38" fillId="3" borderId="2" xfId="53" applyNumberFormat="1" applyFont="1" applyFill="1" applyBorder="1" applyAlignment="1">
      <alignment horizontal="center" vertical="center" wrapText="1"/>
    </xf>
    <xf numFmtId="43" fontId="38" fillId="3" borderId="2" xfId="53" applyFont="1" applyFill="1" applyBorder="1" applyAlignment="1">
      <alignment horizontal="center" vertical="center" wrapText="1"/>
    </xf>
    <xf numFmtId="4" fontId="38" fillId="3" borderId="8" xfId="53" applyNumberFormat="1" applyFont="1" applyFill="1" applyBorder="1" applyAlignment="1">
      <alignment horizontal="center" vertical="center" wrapText="1"/>
    </xf>
    <xf numFmtId="3" fontId="38" fillId="10" borderId="2" xfId="53" applyNumberFormat="1" applyFont="1" applyFill="1" applyBorder="1" applyAlignment="1">
      <alignment horizontal="center" vertical="center"/>
    </xf>
    <xf numFmtId="0" fontId="36" fillId="6" borderId="11" xfId="0" applyFont="1" applyFill="1" applyBorder="1" applyAlignment="1">
      <alignment vertical="center" wrapText="1"/>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5" borderId="1" xfId="0" applyFont="1" applyFill="1" applyBorder="1" applyAlignment="1">
      <alignment horizontal="left" vertical="center" wrapText="1"/>
    </xf>
    <xf numFmtId="0" fontId="36" fillId="5" borderId="4" xfId="0" applyFont="1" applyFill="1" applyBorder="1" applyAlignment="1">
      <alignment vertical="center"/>
    </xf>
    <xf numFmtId="0" fontId="36" fillId="5" borderId="11" xfId="0" applyFont="1" applyFill="1" applyBorder="1" applyAlignment="1">
      <alignment horizontal="center" vertical="center"/>
    </xf>
    <xf numFmtId="0" fontId="36" fillId="5" borderId="11" xfId="0" applyFont="1" applyFill="1" applyBorder="1" applyAlignment="1">
      <alignment vertical="center"/>
    </xf>
    <xf numFmtId="0" fontId="36" fillId="5" borderId="11" xfId="0" applyFont="1" applyFill="1" applyBorder="1" applyAlignment="1">
      <alignment horizontal="center" vertical="center" wrapText="1"/>
    </xf>
    <xf numFmtId="0" fontId="37" fillId="5" borderId="11" xfId="0" applyFont="1" applyFill="1" applyBorder="1" applyAlignment="1">
      <alignment horizontal="center" vertical="center"/>
    </xf>
    <xf numFmtId="0" fontId="37" fillId="5" borderId="11" xfId="0" applyFont="1" applyFill="1" applyBorder="1" applyAlignment="1">
      <alignment vertical="center"/>
    </xf>
    <xf numFmtId="10" fontId="36" fillId="5" borderId="1" xfId="0" applyNumberFormat="1" applyFont="1" applyFill="1" applyBorder="1" applyAlignment="1">
      <alignment horizontal="center" vertical="center"/>
    </xf>
    <xf numFmtId="43" fontId="36" fillId="5" borderId="2" xfId="53" applyFont="1" applyFill="1" applyBorder="1" applyAlignment="1">
      <alignment vertical="center"/>
    </xf>
    <xf numFmtId="43" fontId="36" fillId="5" borderId="11" xfId="53" applyFont="1" applyFill="1" applyBorder="1" applyAlignment="1">
      <alignment vertical="center"/>
    </xf>
    <xf numFmtId="43" fontId="36" fillId="5" borderId="9" xfId="53" applyFont="1" applyFill="1" applyBorder="1" applyAlignment="1">
      <alignment horizontal="right" vertical="center"/>
    </xf>
    <xf numFmtId="0" fontId="36" fillId="4" borderId="2" xfId="0" applyFont="1" applyFill="1" applyBorder="1" applyAlignment="1">
      <alignment horizontal="left" vertical="center" wrapText="1"/>
    </xf>
    <xf numFmtId="0" fontId="36" fillId="4" borderId="8" xfId="0" applyFont="1" applyFill="1" applyBorder="1" applyAlignment="1">
      <alignment vertical="center"/>
    </xf>
    <xf numFmtId="0" fontId="36" fillId="4" borderId="8" xfId="0" applyFont="1" applyFill="1" applyBorder="1" applyAlignment="1">
      <alignment horizontal="left" vertical="center" wrapText="1"/>
    </xf>
    <xf numFmtId="0" fontId="36" fillId="4" borderId="9" xfId="0" applyFont="1" applyFill="1" applyBorder="1" applyAlignment="1">
      <alignment horizontal="left" vertical="center" wrapText="1"/>
    </xf>
    <xf numFmtId="0" fontId="36" fillId="4" borderId="9" xfId="0" applyFont="1" applyFill="1" applyBorder="1" applyAlignment="1">
      <alignment horizontal="center" vertical="center"/>
    </xf>
    <xf numFmtId="0" fontId="36" fillId="4" borderId="9" xfId="0" applyFont="1" applyFill="1" applyBorder="1" applyAlignment="1">
      <alignment vertical="center"/>
    </xf>
    <xf numFmtId="0" fontId="36" fillId="4" borderId="9" xfId="0" applyFont="1" applyFill="1" applyBorder="1" applyAlignment="1">
      <alignment horizontal="center" vertical="center" wrapText="1"/>
    </xf>
    <xf numFmtId="0" fontId="37" fillId="4" borderId="9" xfId="0" applyFont="1" applyFill="1" applyBorder="1" applyAlignment="1">
      <alignment horizontal="center" vertical="center"/>
    </xf>
    <xf numFmtId="0" fontId="37" fillId="4" borderId="9" xfId="0" applyFont="1" applyFill="1" applyBorder="1" applyAlignment="1">
      <alignment vertical="center"/>
    </xf>
    <xf numFmtId="10" fontId="36" fillId="4" borderId="2" xfId="0" applyNumberFormat="1" applyFont="1" applyFill="1" applyBorder="1" applyAlignment="1">
      <alignment horizontal="center" vertical="center"/>
    </xf>
    <xf numFmtId="43" fontId="36" fillId="4" borderId="2" xfId="53" applyFont="1" applyFill="1" applyBorder="1" applyAlignment="1">
      <alignment vertical="center"/>
    </xf>
    <xf numFmtId="43" fontId="36" fillId="4" borderId="9" xfId="53" applyFont="1" applyFill="1" applyBorder="1" applyAlignment="1">
      <alignment vertical="center"/>
    </xf>
    <xf numFmtId="43" fontId="36" fillId="4" borderId="9" xfId="53" applyFont="1" applyFill="1" applyBorder="1" applyAlignment="1">
      <alignment horizontal="right" vertical="center"/>
    </xf>
    <xf numFmtId="0" fontId="36" fillId="2" borderId="3" xfId="0" applyFont="1" applyFill="1" applyBorder="1" applyAlignment="1">
      <alignment vertical="center" wrapText="1"/>
    </xf>
    <xf numFmtId="0" fontId="36" fillId="6" borderId="2" xfId="0" applyFont="1" applyFill="1" applyBorder="1" applyAlignment="1">
      <alignment horizontal="center" vertical="center" wrapText="1"/>
    </xf>
    <xf numFmtId="0" fontId="36" fillId="6" borderId="8" xfId="0" applyFont="1" applyFill="1" applyBorder="1" applyAlignment="1">
      <alignment vertical="center"/>
    </xf>
    <xf numFmtId="0" fontId="36" fillId="6" borderId="2" xfId="0" applyFont="1" applyFill="1" applyBorder="1" applyAlignment="1">
      <alignment horizontal="left" vertical="center" wrapText="1"/>
    </xf>
    <xf numFmtId="0" fontId="36" fillId="6" borderId="9" xfId="0" applyFont="1" applyFill="1" applyBorder="1" applyAlignment="1">
      <alignment horizontal="center" vertical="center" wrapText="1"/>
    </xf>
    <xf numFmtId="0" fontId="36" fillId="6" borderId="9" xfId="0" applyFont="1" applyFill="1" applyBorder="1" applyAlignment="1">
      <alignment vertical="center"/>
    </xf>
    <xf numFmtId="0" fontId="36" fillId="6" borderId="9" xfId="0" applyFont="1" applyFill="1" applyBorder="1" applyAlignment="1">
      <alignment horizontal="center" vertical="center"/>
    </xf>
    <xf numFmtId="0" fontId="37" fillId="6" borderId="9" xfId="0" applyFont="1" applyFill="1" applyBorder="1" applyAlignment="1">
      <alignment horizontal="center" vertical="center"/>
    </xf>
    <xf numFmtId="0" fontId="37" fillId="6" borderId="9" xfId="0" applyFont="1" applyFill="1" applyBorder="1" applyAlignment="1">
      <alignment vertical="center"/>
    </xf>
    <xf numFmtId="10" fontId="36" fillId="6" borderId="2" xfId="0" applyNumberFormat="1" applyFont="1" applyFill="1" applyBorder="1" applyAlignment="1">
      <alignment horizontal="center" vertical="center"/>
    </xf>
    <xf numFmtId="43" fontId="36" fillId="6" borderId="2" xfId="53" applyFont="1" applyFill="1" applyBorder="1" applyAlignment="1">
      <alignment vertical="center"/>
    </xf>
    <xf numFmtId="43" fontId="36" fillId="6" borderId="9" xfId="53" applyFont="1" applyFill="1" applyBorder="1" applyAlignment="1">
      <alignment vertical="center"/>
    </xf>
    <xf numFmtId="43" fontId="36" fillId="6" borderId="9" xfId="53" applyFont="1" applyFill="1" applyBorder="1" applyAlignment="1">
      <alignment horizontal="right" vertical="center"/>
    </xf>
    <xf numFmtId="0" fontId="35" fillId="2" borderId="2" xfId="0" applyFont="1" applyFill="1" applyBorder="1" applyAlignment="1">
      <alignment vertical="center"/>
    </xf>
    <xf numFmtId="0" fontId="35" fillId="2" borderId="2" xfId="0" applyFont="1" applyFill="1" applyBorder="1" applyAlignment="1">
      <alignment horizontal="justify" vertical="center" wrapText="1"/>
    </xf>
    <xf numFmtId="0" fontId="35" fillId="0" borderId="2" xfId="0" applyFont="1" applyBorder="1" applyAlignment="1">
      <alignment horizontal="center" vertical="center"/>
    </xf>
    <xf numFmtId="0" fontId="35" fillId="0" borderId="7" xfId="0" applyFont="1" applyFill="1" applyBorder="1" applyAlignment="1">
      <alignment horizontal="center" vertical="center" wrapText="1"/>
    </xf>
    <xf numFmtId="0" fontId="35" fillId="0" borderId="2" xfId="0" applyFont="1" applyFill="1" applyBorder="1" applyAlignment="1">
      <alignment horizontal="justify" vertical="center" wrapText="1"/>
    </xf>
    <xf numFmtId="0" fontId="35" fillId="0" borderId="8"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10" fontId="35" fillId="0" borderId="2" xfId="54"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43" fontId="35" fillId="0" borderId="8" xfId="53" applyFont="1" applyFill="1" applyBorder="1" applyAlignment="1">
      <alignment vertical="center" wrapText="1"/>
    </xf>
    <xf numFmtId="43" fontId="35" fillId="0" borderId="2" xfId="53" applyFont="1" applyBorder="1" applyAlignment="1">
      <alignment vertical="center"/>
    </xf>
    <xf numFmtId="43" fontId="35" fillId="2" borderId="8" xfId="53" applyFont="1" applyFill="1" applyBorder="1" applyAlignment="1">
      <alignment horizontal="right" vertical="center" wrapText="1"/>
    </xf>
    <xf numFmtId="43" fontId="35" fillId="0" borderId="8" xfId="53" applyFont="1" applyFill="1" applyBorder="1" applyAlignment="1">
      <alignment horizontal="right" vertical="center" wrapText="1"/>
    </xf>
    <xf numFmtId="0" fontId="35" fillId="2" borderId="0" xfId="0" applyFont="1" applyFill="1" applyBorder="1" applyAlignment="1">
      <alignment vertical="center"/>
    </xf>
    <xf numFmtId="0" fontId="35" fillId="2" borderId="2" xfId="0" applyFont="1" applyFill="1" applyBorder="1"/>
    <xf numFmtId="0" fontId="35" fillId="0" borderId="2" xfId="0" applyFont="1" applyBorder="1" applyAlignment="1">
      <alignment horizontal="center" vertical="center" wrapText="1"/>
    </xf>
    <xf numFmtId="0" fontId="35" fillId="2" borderId="8" xfId="0" applyNumberFormat="1" applyFont="1" applyFill="1" applyBorder="1" applyAlignment="1">
      <alignment horizontal="center" vertical="center" wrapText="1"/>
    </xf>
    <xf numFmtId="0" fontId="35" fillId="0" borderId="2" xfId="0" applyNumberFormat="1" applyFont="1" applyFill="1" applyBorder="1" applyAlignment="1">
      <alignment horizontal="center" vertical="center" wrapText="1"/>
    </xf>
    <xf numFmtId="43" fontId="35" fillId="2" borderId="8" xfId="53" applyFont="1" applyFill="1" applyBorder="1" applyAlignment="1">
      <alignment horizontal="right" vertical="center"/>
    </xf>
    <xf numFmtId="0" fontId="35" fillId="2" borderId="3" xfId="0" applyFont="1" applyFill="1" applyBorder="1" applyAlignment="1">
      <alignment horizontal="center" vertical="center"/>
    </xf>
    <xf numFmtId="0" fontId="35" fillId="0" borderId="1" xfId="0" applyFont="1" applyBorder="1" applyAlignment="1">
      <alignment horizontal="center" vertical="center"/>
    </xf>
    <xf numFmtId="0" fontId="35" fillId="2" borderId="2" xfId="0" applyFont="1" applyFill="1" applyBorder="1" applyAlignment="1">
      <alignment horizontal="center" vertical="center"/>
    </xf>
    <xf numFmtId="0" fontId="36" fillId="6" borderId="8" xfId="0" applyFont="1" applyFill="1" applyBorder="1" applyAlignment="1">
      <alignment horizontal="left" vertical="center"/>
    </xf>
    <xf numFmtId="0" fontId="36" fillId="6" borderId="9" xfId="0" applyFont="1" applyFill="1" applyBorder="1" applyAlignment="1">
      <alignment horizontal="left" vertical="center" wrapText="1"/>
    </xf>
    <xf numFmtId="0" fontId="36" fillId="6" borderId="9" xfId="0" applyFont="1" applyFill="1" applyBorder="1" applyAlignment="1">
      <alignment vertical="center" wrapText="1"/>
    </xf>
    <xf numFmtId="0" fontId="37" fillId="6" borderId="9" xfId="0" applyFont="1" applyFill="1" applyBorder="1" applyAlignment="1">
      <alignment horizontal="center" vertical="center" wrapText="1"/>
    </xf>
    <xf numFmtId="0" fontId="37" fillId="6" borderId="9" xfId="0" applyFont="1" applyFill="1" applyBorder="1" applyAlignment="1">
      <alignment vertical="center" wrapText="1"/>
    </xf>
    <xf numFmtId="10" fontId="36" fillId="6" borderId="9" xfId="0" applyNumberFormat="1" applyFont="1" applyFill="1" applyBorder="1" applyAlignment="1">
      <alignment horizontal="center" vertical="center" wrapText="1"/>
    </xf>
    <xf numFmtId="43" fontId="36" fillId="6" borderId="2" xfId="53" applyFont="1" applyFill="1" applyBorder="1" applyAlignment="1">
      <alignment vertical="center" wrapText="1"/>
    </xf>
    <xf numFmtId="43" fontId="36" fillId="6" borderId="9" xfId="53" applyFont="1" applyFill="1" applyBorder="1" applyAlignment="1">
      <alignment vertical="center" wrapText="1"/>
    </xf>
    <xf numFmtId="43" fontId="36" fillId="6" borderId="9" xfId="53" applyFont="1" applyFill="1" applyBorder="1" applyAlignment="1">
      <alignment horizontal="right" vertical="center" wrapText="1"/>
    </xf>
    <xf numFmtId="0" fontId="36" fillId="6" borderId="9" xfId="0" applyFont="1" applyFill="1" applyBorder="1" applyAlignment="1">
      <alignment horizontal="justify" vertical="center" wrapText="1"/>
    </xf>
    <xf numFmtId="43" fontId="35" fillId="0" borderId="8" xfId="53" applyFont="1" applyBorder="1" applyAlignment="1">
      <alignment vertical="center"/>
    </xf>
    <xf numFmtId="43" fontId="35" fillId="0" borderId="8" xfId="53" applyFont="1" applyBorder="1" applyAlignment="1">
      <alignment horizontal="right" vertical="center"/>
    </xf>
    <xf numFmtId="0" fontId="35" fillId="2" borderId="3" xfId="0" applyFont="1" applyFill="1" applyBorder="1" applyAlignment="1">
      <alignment vertical="center" wrapText="1"/>
    </xf>
    <xf numFmtId="0" fontId="35" fillId="0" borderId="3" xfId="0" applyFont="1" applyBorder="1" applyAlignment="1"/>
    <xf numFmtId="43" fontId="35" fillId="2" borderId="8" xfId="53" applyFont="1" applyFill="1" applyBorder="1" applyAlignment="1">
      <alignment vertical="center"/>
    </xf>
    <xf numFmtId="0" fontId="35" fillId="2" borderId="1" xfId="0" applyFont="1" applyFill="1" applyBorder="1" applyAlignment="1">
      <alignment vertical="center" wrapText="1"/>
    </xf>
    <xf numFmtId="0" fontId="35" fillId="0" borderId="8" xfId="0" applyNumberFormat="1" applyFont="1" applyFill="1" applyBorder="1" applyAlignment="1">
      <alignment horizontal="center" vertical="center" wrapText="1"/>
    </xf>
    <xf numFmtId="43" fontId="35" fillId="0" borderId="2" xfId="53" applyFont="1" applyBorder="1" applyAlignment="1">
      <alignment horizontal="right" vertical="center"/>
    </xf>
    <xf numFmtId="0" fontId="35" fillId="2" borderId="8" xfId="0" applyFont="1" applyFill="1" applyBorder="1" applyAlignment="1">
      <alignment horizontal="center" vertical="center"/>
    </xf>
    <xf numFmtId="0" fontId="35" fillId="0" borderId="6" xfId="0" applyFont="1" applyBorder="1" applyAlignment="1">
      <alignment horizontal="center" vertical="center"/>
    </xf>
    <xf numFmtId="0" fontId="35" fillId="0" borderId="3" xfId="0" applyFont="1" applyBorder="1" applyAlignment="1">
      <alignment horizontal="center" vertical="center"/>
    </xf>
    <xf numFmtId="172" fontId="35" fillId="2" borderId="2" xfId="54" applyNumberFormat="1" applyFont="1" applyFill="1" applyBorder="1" applyAlignment="1">
      <alignment horizontal="justify" vertical="center" wrapText="1"/>
    </xf>
    <xf numFmtId="0" fontId="35" fillId="2" borderId="8" xfId="53" applyNumberFormat="1" applyFont="1" applyFill="1" applyBorder="1" applyAlignment="1">
      <alignment horizontal="center" vertical="center" wrapText="1"/>
    </xf>
    <xf numFmtId="0" fontId="35" fillId="0" borderId="2" xfId="53" applyNumberFormat="1" applyFont="1" applyFill="1" applyBorder="1" applyAlignment="1">
      <alignment horizontal="center" vertical="center" wrapText="1"/>
    </xf>
    <xf numFmtId="43" fontId="35" fillId="2" borderId="8" xfId="53" applyFont="1" applyFill="1" applyBorder="1" applyAlignment="1">
      <alignment vertical="center" wrapText="1"/>
    </xf>
    <xf numFmtId="0" fontId="35" fillId="2" borderId="3" xfId="0" applyFont="1" applyFill="1" applyBorder="1" applyAlignment="1">
      <alignment horizontal="justify" vertical="center" wrapText="1"/>
    </xf>
    <xf numFmtId="0" fontId="36" fillId="6" borderId="8" xfId="0" applyFont="1" applyFill="1" applyBorder="1" applyAlignment="1">
      <alignment horizontal="center" vertical="center" wrapText="1"/>
    </xf>
    <xf numFmtId="10" fontId="35" fillId="0" borderId="8" xfId="54" applyNumberFormat="1" applyFont="1" applyFill="1" applyBorder="1" applyAlignment="1">
      <alignment horizontal="center" vertical="center" wrapText="1"/>
    </xf>
    <xf numFmtId="9" fontId="35" fillId="2" borderId="2" xfId="54" applyFont="1" applyFill="1" applyBorder="1" applyAlignment="1">
      <alignment horizontal="center" vertical="center" wrapText="1"/>
    </xf>
    <xf numFmtId="0" fontId="36" fillId="2" borderId="1" xfId="0" applyFont="1" applyFill="1" applyBorder="1" applyAlignment="1">
      <alignment vertical="center" wrapText="1"/>
    </xf>
    <xf numFmtId="0" fontId="39" fillId="2" borderId="2" xfId="0" applyFont="1" applyFill="1" applyBorder="1" applyAlignment="1">
      <alignment horizontal="center" vertical="center" wrapText="1"/>
    </xf>
    <xf numFmtId="0" fontId="36" fillId="5" borderId="2" xfId="0" applyFont="1" applyFill="1" applyBorder="1" applyAlignment="1">
      <alignment horizontal="left" vertical="center" wrapText="1"/>
    </xf>
    <xf numFmtId="0" fontId="36" fillId="5" borderId="8" xfId="0" applyFont="1" applyFill="1" applyBorder="1" applyAlignment="1">
      <alignment vertical="center"/>
    </xf>
    <xf numFmtId="0" fontId="36" fillId="5" borderId="9" xfId="0" applyFont="1" applyFill="1" applyBorder="1" applyAlignment="1">
      <alignment horizontal="center" vertical="center"/>
    </xf>
    <xf numFmtId="0" fontId="36" fillId="5" borderId="9" xfId="0" applyFont="1" applyFill="1" applyBorder="1" applyAlignment="1">
      <alignment vertical="center"/>
    </xf>
    <xf numFmtId="0" fontId="36" fillId="5" borderId="9" xfId="0" applyFont="1" applyFill="1" applyBorder="1" applyAlignment="1">
      <alignment horizontal="center" vertical="center" wrapText="1"/>
    </xf>
    <xf numFmtId="0" fontId="37" fillId="5" borderId="9" xfId="0" applyFont="1" applyFill="1" applyBorder="1" applyAlignment="1">
      <alignment horizontal="center" vertical="center"/>
    </xf>
    <xf numFmtId="0" fontId="37" fillId="5" borderId="9" xfId="0" applyFont="1" applyFill="1" applyBorder="1" applyAlignment="1">
      <alignment vertical="center"/>
    </xf>
    <xf numFmtId="10" fontId="36" fillId="5" borderId="9" xfId="0" applyNumberFormat="1" applyFont="1" applyFill="1" applyBorder="1" applyAlignment="1">
      <alignment horizontal="center" vertical="center"/>
    </xf>
    <xf numFmtId="43" fontId="36" fillId="5" borderId="9" xfId="53" applyFont="1" applyFill="1" applyBorder="1" applyAlignment="1">
      <alignment vertical="center"/>
    </xf>
    <xf numFmtId="0" fontId="36" fillId="4" borderId="8" xfId="0" applyFont="1" applyFill="1" applyBorder="1" applyAlignment="1">
      <alignment horizontal="left" vertical="center"/>
    </xf>
    <xf numFmtId="10" fontId="36" fillId="4" borderId="9" xfId="0" applyNumberFormat="1" applyFont="1" applyFill="1" applyBorder="1" applyAlignment="1">
      <alignment horizontal="center" vertical="center"/>
    </xf>
    <xf numFmtId="0" fontId="35" fillId="2" borderId="3" xfId="0" applyFont="1" applyFill="1" applyBorder="1" applyAlignment="1">
      <alignment vertical="center"/>
    </xf>
    <xf numFmtId="10" fontId="36" fillId="6" borderId="9" xfId="0" applyNumberFormat="1" applyFont="1" applyFill="1" applyBorder="1" applyAlignment="1">
      <alignment horizontal="center" vertical="center"/>
    </xf>
    <xf numFmtId="0" fontId="35" fillId="0" borderId="9" xfId="0" applyFont="1" applyFill="1" applyBorder="1" applyAlignment="1">
      <alignment horizontal="center" vertical="center" wrapText="1"/>
    </xf>
    <xf numFmtId="10" fontId="35" fillId="0" borderId="2" xfId="0" applyNumberFormat="1" applyFont="1" applyFill="1" applyBorder="1" applyAlignment="1">
      <alignment horizontal="center" vertical="center" wrapText="1"/>
    </xf>
    <xf numFmtId="0" fontId="35" fillId="2" borderId="10" xfId="0" applyFont="1" applyFill="1" applyBorder="1" applyAlignment="1">
      <alignment vertical="center"/>
    </xf>
    <xf numFmtId="0" fontId="35" fillId="2" borderId="10" xfId="0" applyFont="1" applyFill="1" applyBorder="1" applyAlignment="1">
      <alignment vertical="justify" wrapText="1"/>
    </xf>
    <xf numFmtId="0" fontId="35" fillId="2" borderId="10"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4" xfId="0" applyFont="1" applyFill="1" applyBorder="1" applyAlignment="1">
      <alignment vertical="center"/>
    </xf>
    <xf numFmtId="0" fontId="36" fillId="6" borderId="11" xfId="0" applyFont="1" applyFill="1" applyBorder="1" applyAlignment="1">
      <alignment vertical="center"/>
    </xf>
    <xf numFmtId="0" fontId="36" fillId="6" borderId="7" xfId="0" applyFont="1" applyFill="1" applyBorder="1" applyAlignment="1">
      <alignment vertical="center"/>
    </xf>
    <xf numFmtId="43" fontId="36" fillId="6" borderId="8" xfId="53" applyFont="1" applyFill="1" applyBorder="1" applyAlignment="1">
      <alignment vertical="center"/>
    </xf>
    <xf numFmtId="43" fontId="36" fillId="6" borderId="2" xfId="53" applyFont="1" applyFill="1" applyBorder="1" applyAlignment="1">
      <alignment horizontal="right" vertical="center"/>
    </xf>
    <xf numFmtId="10" fontId="35" fillId="0" borderId="8" xfId="0" applyNumberFormat="1" applyFont="1" applyFill="1" applyBorder="1" applyAlignment="1">
      <alignment horizontal="center" vertical="center" wrapText="1"/>
    </xf>
    <xf numFmtId="43" fontId="35" fillId="0" borderId="2" xfId="53" applyFont="1" applyFill="1" applyBorder="1" applyAlignment="1">
      <alignment horizontal="right" vertical="center"/>
    </xf>
    <xf numFmtId="0" fontId="35" fillId="0" borderId="3" xfId="0" applyFont="1" applyBorder="1" applyAlignment="1">
      <alignment horizontal="center" vertical="center" wrapText="1"/>
    </xf>
    <xf numFmtId="0" fontId="35" fillId="0" borderId="2" xfId="0" applyFont="1" applyFill="1" applyBorder="1" applyAlignment="1">
      <alignment vertical="center"/>
    </xf>
    <xf numFmtId="0" fontId="35" fillId="0" borderId="3" xfId="0" applyFont="1" applyFill="1" applyBorder="1" applyAlignment="1">
      <alignment vertical="center"/>
    </xf>
    <xf numFmtId="0" fontId="35" fillId="0" borderId="10" xfId="0" applyFont="1" applyFill="1" applyBorder="1" applyAlignment="1">
      <alignment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justify" vertical="center"/>
    </xf>
    <xf numFmtId="0" fontId="35" fillId="0" borderId="10" xfId="0" applyFont="1" applyFill="1" applyBorder="1"/>
    <xf numFmtId="43" fontId="35" fillId="0" borderId="8" xfId="53" applyFont="1" applyFill="1" applyBorder="1" applyAlignment="1">
      <alignment horizontal="right" vertical="center"/>
    </xf>
    <xf numFmtId="0" fontId="35" fillId="0" borderId="0" xfId="0" applyFont="1" applyFill="1" applyBorder="1"/>
    <xf numFmtId="0" fontId="35" fillId="0" borderId="0" xfId="0" applyFont="1" applyFill="1" applyBorder="1" applyAlignment="1">
      <alignment vertical="center"/>
    </xf>
    <xf numFmtId="0" fontId="35" fillId="0" borderId="1" xfId="0" applyFont="1" applyBorder="1" applyAlignment="1">
      <alignment horizontal="center" vertical="center" wrapText="1"/>
    </xf>
    <xf numFmtId="9" fontId="35" fillId="0" borderId="10" xfId="0" applyNumberFormat="1" applyFont="1" applyBorder="1" applyAlignment="1">
      <alignment horizontal="center" vertical="center"/>
    </xf>
    <xf numFmtId="0" fontId="35" fillId="0" borderId="2" xfId="0" applyFont="1" applyFill="1" applyBorder="1"/>
    <xf numFmtId="0" fontId="35" fillId="0" borderId="1" xfId="0" applyFont="1" applyFill="1" applyBorder="1" applyAlignment="1">
      <alignment vertical="center" wrapText="1"/>
    </xf>
    <xf numFmtId="0" fontId="35" fillId="0" borderId="4" xfId="0" applyFont="1" applyFill="1" applyBorder="1" applyAlignment="1">
      <alignment horizontal="center" vertical="center" wrapText="1"/>
    </xf>
    <xf numFmtId="0" fontId="36" fillId="6" borderId="8" xfId="0" applyFont="1" applyFill="1" applyBorder="1" applyAlignment="1">
      <alignment horizontal="left" vertical="center" wrapText="1"/>
    </xf>
    <xf numFmtId="0" fontId="37" fillId="6" borderId="35" xfId="0" applyFont="1" applyFill="1" applyBorder="1" applyAlignment="1">
      <alignment vertical="center"/>
    </xf>
    <xf numFmtId="0" fontId="36" fillId="6" borderId="35" xfId="0" applyFont="1" applyFill="1" applyBorder="1" applyAlignment="1">
      <alignment vertical="center"/>
    </xf>
    <xf numFmtId="0" fontId="35" fillId="2" borderId="4"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1" xfId="0" applyFont="1" applyFill="1" applyBorder="1" applyAlignment="1">
      <alignment horizontal="center" vertical="center" wrapText="1"/>
    </xf>
    <xf numFmtId="43" fontId="35" fillId="0" borderId="4" xfId="53" applyFont="1" applyFill="1" applyBorder="1" applyAlignment="1">
      <alignment vertical="center" wrapText="1"/>
    </xf>
    <xf numFmtId="43" fontId="35" fillId="2" borderId="4" xfId="53" applyFont="1" applyFill="1" applyBorder="1" applyAlignment="1">
      <alignment vertical="center"/>
    </xf>
    <xf numFmtId="0" fontId="35" fillId="0" borderId="1" xfId="0" applyFont="1" applyBorder="1" applyAlignment="1">
      <alignment horizontal="center" wrapText="1"/>
    </xf>
    <xf numFmtId="3" fontId="35" fillId="2" borderId="2" xfId="0" applyNumberFormat="1" applyFont="1" applyFill="1" applyBorder="1" applyAlignment="1">
      <alignment horizontal="center" vertical="center" wrapText="1"/>
    </xf>
    <xf numFmtId="9" fontId="35" fillId="0" borderId="3" xfId="0" applyNumberFormat="1" applyFont="1" applyBorder="1" applyAlignment="1">
      <alignment horizontal="center" vertical="center"/>
    </xf>
    <xf numFmtId="0" fontId="37" fillId="6" borderId="11" xfId="0" applyFont="1" applyFill="1" applyBorder="1" applyAlignment="1">
      <alignment vertical="center" wrapText="1"/>
    </xf>
    <xf numFmtId="0" fontId="36" fillId="6" borderId="11" xfId="0" applyFont="1" applyFill="1" applyBorder="1" applyAlignment="1">
      <alignment horizontal="center" vertical="center" wrapText="1"/>
    </xf>
    <xf numFmtId="0" fontId="35" fillId="0" borderId="2" xfId="0" applyFont="1" applyBorder="1" applyAlignment="1">
      <alignment horizontal="center" wrapText="1"/>
    </xf>
    <xf numFmtId="10" fontId="35" fillId="0" borderId="4" xfId="54" applyNumberFormat="1" applyFont="1" applyFill="1" applyBorder="1" applyAlignment="1">
      <alignment horizontal="center" vertical="center" wrapText="1"/>
    </xf>
    <xf numFmtId="0" fontId="35" fillId="2" borderId="1" xfId="0" applyFont="1" applyFill="1" applyBorder="1" applyAlignment="1">
      <alignment horizontal="justify" wrapText="1"/>
    </xf>
    <xf numFmtId="10" fontId="35" fillId="0" borderId="3" xfId="0" applyNumberFormat="1" applyFont="1" applyBorder="1" applyAlignment="1">
      <alignment horizontal="center" vertical="center"/>
    </xf>
    <xf numFmtId="0" fontId="35" fillId="0" borderId="1" xfId="0" applyFont="1" applyBorder="1" applyAlignment="1">
      <alignment vertical="center"/>
    </xf>
    <xf numFmtId="9" fontId="35" fillId="0" borderId="1" xfId="0" applyNumberFormat="1" applyFont="1" applyBorder="1" applyAlignment="1">
      <alignment vertical="center"/>
    </xf>
    <xf numFmtId="0" fontId="35" fillId="6" borderId="2" xfId="0" applyFont="1" applyFill="1" applyBorder="1" applyAlignment="1">
      <alignment vertical="center"/>
    </xf>
    <xf numFmtId="0" fontId="35" fillId="6" borderId="0" xfId="0" applyFont="1" applyFill="1" applyBorder="1" applyAlignment="1">
      <alignment horizontal="center" vertical="center" wrapText="1"/>
    </xf>
    <xf numFmtId="0" fontId="36" fillId="6" borderId="8" xfId="0" applyFont="1" applyFill="1" applyBorder="1" applyAlignment="1">
      <alignment vertical="center" wrapText="1"/>
    </xf>
    <xf numFmtId="43" fontId="35" fillId="0" borderId="8" xfId="53" applyFont="1" applyFill="1" applyBorder="1" applyAlignment="1">
      <alignment vertical="center"/>
    </xf>
    <xf numFmtId="0" fontId="36" fillId="6" borderId="8" xfId="0" applyFont="1" applyFill="1" applyBorder="1" applyAlignment="1">
      <alignment horizontal="justify" vertical="center" wrapText="1"/>
    </xf>
    <xf numFmtId="0" fontId="37" fillId="6" borderId="9" xfId="0" applyNumberFormat="1" applyFont="1" applyFill="1" applyBorder="1" applyAlignment="1">
      <alignment horizontal="center" vertical="center" wrapText="1"/>
    </xf>
    <xf numFmtId="0" fontId="36" fillId="6" borderId="9" xfId="0" applyNumberFormat="1" applyFont="1" applyFill="1" applyBorder="1" applyAlignment="1">
      <alignment horizontal="center" vertical="center" wrapText="1"/>
    </xf>
    <xf numFmtId="0" fontId="35" fillId="2" borderId="2" xfId="0" applyFont="1" applyFill="1" applyBorder="1" applyAlignment="1">
      <alignment horizontal="justify" wrapText="1"/>
    </xf>
    <xf numFmtId="0" fontId="35" fillId="2" borderId="2" xfId="0" applyFont="1" applyFill="1" applyBorder="1" applyAlignment="1">
      <alignment horizontal="center" wrapText="1"/>
    </xf>
    <xf numFmtId="10" fontId="35" fillId="2" borderId="8" xfId="54" applyNumberFormat="1" applyFont="1" applyFill="1" applyBorder="1" applyAlignment="1">
      <alignment horizontal="center" vertical="center" wrapText="1"/>
    </xf>
    <xf numFmtId="0" fontId="35" fillId="2" borderId="1" xfId="0" applyFont="1" applyFill="1" applyBorder="1" applyAlignment="1">
      <alignment vertical="center"/>
    </xf>
    <xf numFmtId="43" fontId="35" fillId="0" borderId="0" xfId="53" applyFont="1" applyFill="1" applyBorder="1" applyAlignment="1">
      <alignment vertical="center"/>
    </xf>
    <xf numFmtId="0" fontId="35" fillId="0" borderId="7" xfId="0" applyFont="1" applyFill="1" applyBorder="1" applyAlignment="1">
      <alignment horizontal="center" vertical="center"/>
    </xf>
    <xf numFmtId="0" fontId="35" fillId="0" borderId="2" xfId="0" applyFont="1" applyFill="1" applyBorder="1" applyAlignment="1">
      <alignment horizontal="justify" vertical="center"/>
    </xf>
    <xf numFmtId="0" fontId="35" fillId="0" borderId="2" xfId="0" applyFont="1" applyFill="1" applyBorder="1" applyAlignment="1">
      <alignment horizontal="center" vertical="center"/>
    </xf>
    <xf numFmtId="43" fontId="35" fillId="9" borderId="2" xfId="53" applyFont="1" applyFill="1" applyBorder="1" applyAlignment="1">
      <alignment vertical="center"/>
    </xf>
    <xf numFmtId="9" fontId="35" fillId="0" borderId="1" xfId="0" applyNumberFormat="1" applyFont="1" applyBorder="1" applyAlignment="1">
      <alignment horizontal="center" vertical="center"/>
    </xf>
    <xf numFmtId="0" fontId="40" fillId="2" borderId="8" xfId="0" applyFont="1" applyFill="1" applyBorder="1" applyAlignment="1">
      <alignment horizontal="center" vertical="center" wrapText="1"/>
    </xf>
    <xf numFmtId="9" fontId="35" fillId="0" borderId="2" xfId="0" applyNumberFormat="1" applyFont="1" applyBorder="1" applyAlignment="1">
      <alignment horizontal="center" vertical="center"/>
    </xf>
    <xf numFmtId="43" fontId="35" fillId="9" borderId="8" xfId="53" applyFont="1" applyFill="1" applyBorder="1" applyAlignment="1">
      <alignment vertical="center"/>
    </xf>
    <xf numFmtId="0" fontId="35" fillId="0" borderId="5" xfId="0" applyFont="1" applyBorder="1" applyAlignment="1">
      <alignment horizontal="center" vertical="center" wrapText="1"/>
    </xf>
    <xf numFmtId="9" fontId="35" fillId="2" borderId="0" xfId="0" applyNumberFormat="1" applyFont="1" applyFill="1" applyAlignment="1">
      <alignment horizontal="center" vertical="center"/>
    </xf>
    <xf numFmtId="9" fontId="35" fillId="2" borderId="1" xfId="0" applyNumberFormat="1" applyFont="1" applyFill="1" applyBorder="1" applyAlignment="1">
      <alignment horizontal="center" vertical="center"/>
    </xf>
    <xf numFmtId="0" fontId="35" fillId="2" borderId="7" xfId="0" applyFont="1" applyFill="1" applyBorder="1" applyAlignment="1">
      <alignment horizontal="center" vertical="center"/>
    </xf>
    <xf numFmtId="9" fontId="35" fillId="0" borderId="2"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40" fillId="2" borderId="2" xfId="0" applyFont="1" applyFill="1" applyBorder="1" applyAlignment="1">
      <alignment horizontal="justify" vertical="center" wrapText="1"/>
    </xf>
    <xf numFmtId="0" fontId="35" fillId="0" borderId="1" xfId="0" applyFont="1" applyFill="1" applyBorder="1" applyAlignment="1">
      <alignment vertical="center"/>
    </xf>
    <xf numFmtId="0" fontId="35" fillId="0" borderId="0" xfId="0" applyFont="1" applyAlignment="1">
      <alignment horizontal="center" vertical="center" wrapText="1"/>
    </xf>
    <xf numFmtId="0" fontId="36" fillId="5" borderId="9" xfId="0" applyFont="1" applyFill="1" applyBorder="1" applyAlignment="1">
      <alignment vertical="center" wrapText="1"/>
    </xf>
    <xf numFmtId="0" fontId="37" fillId="5" borderId="9" xfId="0" applyFont="1" applyFill="1" applyBorder="1" applyAlignment="1">
      <alignment horizontal="center" vertical="center" wrapText="1"/>
    </xf>
    <xf numFmtId="0" fontId="37" fillId="5" borderId="9" xfId="0" applyFont="1" applyFill="1" applyBorder="1" applyAlignment="1">
      <alignment vertical="center" wrapText="1"/>
    </xf>
    <xf numFmtId="10" fontId="36" fillId="5" borderId="9" xfId="0" applyNumberFormat="1" applyFont="1" applyFill="1" applyBorder="1" applyAlignment="1">
      <alignment horizontal="center" vertical="center" wrapText="1"/>
    </xf>
    <xf numFmtId="43" fontId="36" fillId="5" borderId="2" xfId="53" applyFont="1" applyFill="1" applyBorder="1" applyAlignment="1">
      <alignment vertical="center" wrapText="1"/>
    </xf>
    <xf numFmtId="43" fontId="36" fillId="5" borderId="8" xfId="53" applyFont="1" applyFill="1" applyBorder="1" applyAlignment="1">
      <alignment vertical="center" wrapText="1"/>
    </xf>
    <xf numFmtId="43" fontId="36" fillId="5" borderId="2" xfId="53" applyFont="1" applyFill="1" applyBorder="1" applyAlignment="1">
      <alignment horizontal="right" vertical="center" wrapText="1"/>
    </xf>
    <xf numFmtId="3" fontId="35" fillId="2" borderId="2" xfId="0" applyNumberFormat="1" applyFont="1" applyFill="1" applyBorder="1" applyAlignment="1">
      <alignment horizontal="justify" vertical="center" wrapText="1"/>
    </xf>
    <xf numFmtId="3" fontId="35" fillId="0" borderId="8" xfId="0" applyNumberFormat="1" applyFont="1" applyFill="1" applyBorder="1" applyAlignment="1">
      <alignment horizontal="center" vertical="center" wrapText="1"/>
    </xf>
    <xf numFmtId="10" fontId="35" fillId="0" borderId="8" xfId="54" applyNumberFormat="1" applyFont="1" applyFill="1" applyBorder="1" applyAlignment="1">
      <alignment horizontal="center" vertical="center"/>
    </xf>
    <xf numFmtId="43" fontId="35" fillId="2" borderId="8" xfId="53" applyFont="1" applyFill="1" applyBorder="1" applyAlignment="1">
      <alignment horizontal="center" vertical="center"/>
    </xf>
    <xf numFmtId="0" fontId="35" fillId="0" borderId="7" xfId="0" applyFont="1" applyBorder="1" applyAlignment="1">
      <alignment horizontal="center" vertical="center"/>
    </xf>
    <xf numFmtId="0" fontId="35" fillId="0" borderId="2" xfId="0" applyFont="1" applyFill="1" applyBorder="1" applyAlignment="1">
      <alignment vertical="center" wrapText="1"/>
    </xf>
    <xf numFmtId="3" fontId="35" fillId="0" borderId="8" xfId="0" applyNumberFormat="1" applyFont="1" applyFill="1" applyBorder="1" applyAlignment="1">
      <alignment horizontal="center" vertical="center"/>
    </xf>
    <xf numFmtId="3" fontId="35" fillId="0" borderId="2" xfId="0" applyNumberFormat="1" applyFont="1" applyFill="1" applyBorder="1" applyAlignment="1">
      <alignment horizontal="center" vertical="center"/>
    </xf>
    <xf numFmtId="10" fontId="35" fillId="0" borderId="2" xfId="0" applyNumberFormat="1" applyFont="1" applyBorder="1" applyAlignment="1">
      <alignment horizontal="center" vertical="center"/>
    </xf>
    <xf numFmtId="3" fontId="35" fillId="0" borderId="2" xfId="0" applyNumberFormat="1" applyFont="1" applyFill="1" applyBorder="1" applyAlignment="1">
      <alignment horizontal="center" vertical="center" wrapText="1"/>
    </xf>
    <xf numFmtId="3" fontId="35" fillId="2" borderId="8" xfId="0" applyNumberFormat="1" applyFont="1" applyFill="1" applyBorder="1" applyAlignment="1">
      <alignment horizontal="center" vertical="center"/>
    </xf>
    <xf numFmtId="3" fontId="35" fillId="2" borderId="2" xfId="0" applyNumberFormat="1" applyFont="1" applyFill="1" applyBorder="1" applyAlignment="1">
      <alignment horizontal="center" vertical="center"/>
    </xf>
    <xf numFmtId="0" fontId="36" fillId="6" borderId="2" xfId="0" applyFont="1" applyFill="1" applyBorder="1" applyAlignment="1">
      <alignment horizontal="center" vertical="center"/>
    </xf>
    <xf numFmtId="3" fontId="35" fillId="2" borderId="8" xfId="0" applyNumberFormat="1" applyFont="1" applyFill="1" applyBorder="1" applyAlignment="1">
      <alignment horizontal="center" vertical="center" wrapText="1"/>
    </xf>
    <xf numFmtId="43" fontId="35" fillId="0" borderId="2" xfId="53" applyFont="1" applyFill="1" applyBorder="1" applyAlignment="1">
      <alignment horizontal="right" vertical="center" wrapText="1"/>
    </xf>
    <xf numFmtId="0" fontId="35" fillId="6" borderId="9" xfId="0" applyFont="1" applyFill="1" applyBorder="1" applyAlignment="1">
      <alignment vertical="center"/>
    </xf>
    <xf numFmtId="0" fontId="35" fillId="2" borderId="1" xfId="0" applyNumberFormat="1" applyFont="1" applyFill="1" applyBorder="1" applyAlignment="1">
      <alignment horizontal="justify" vertical="center" wrapText="1"/>
    </xf>
    <xf numFmtId="0" fontId="35" fillId="0" borderId="11" xfId="0" applyFont="1" applyBorder="1" applyAlignment="1">
      <alignment horizontal="center" vertical="center"/>
    </xf>
    <xf numFmtId="9" fontId="35" fillId="2" borderId="1" xfId="0" applyNumberFormat="1" applyFont="1" applyFill="1" applyBorder="1" applyAlignment="1">
      <alignment horizontal="center" vertical="center" wrapText="1"/>
    </xf>
    <xf numFmtId="0" fontId="35" fillId="0" borderId="3" xfId="0" applyFont="1" applyBorder="1" applyAlignment="1">
      <alignment horizontal="center" wrapText="1"/>
    </xf>
    <xf numFmtId="3" fontId="35" fillId="2" borderId="2" xfId="0" applyNumberFormat="1" applyFont="1" applyFill="1" applyBorder="1" applyAlignment="1">
      <alignment horizontal="justify" vertical="center"/>
    </xf>
    <xf numFmtId="10" fontId="35" fillId="0" borderId="8" xfId="0" applyNumberFormat="1" applyFont="1" applyFill="1" applyBorder="1" applyAlignment="1">
      <alignment horizontal="center" vertical="center"/>
    </xf>
    <xf numFmtId="0" fontId="35" fillId="0" borderId="0" xfId="0" applyFont="1" applyAlignment="1">
      <alignment horizontal="center" wrapText="1"/>
    </xf>
    <xf numFmtId="0" fontId="35" fillId="2" borderId="3" xfId="0" applyFont="1" applyFill="1" applyBorder="1" applyAlignment="1">
      <alignment horizontal="center" vertical="top" wrapText="1"/>
    </xf>
    <xf numFmtId="0" fontId="35" fillId="0" borderId="0" xfId="0" applyFont="1" applyAlignment="1">
      <alignment horizontal="center" vertical="top"/>
    </xf>
    <xf numFmtId="0" fontId="35" fillId="2" borderId="2" xfId="0" applyNumberFormat="1" applyFont="1" applyFill="1" applyBorder="1" applyAlignment="1">
      <alignment horizontal="justify" vertical="center" wrapText="1"/>
    </xf>
    <xf numFmtId="0" fontId="35" fillId="0" borderId="9" xfId="0" applyFont="1" applyBorder="1" applyAlignment="1">
      <alignment horizontal="center" vertical="center"/>
    </xf>
    <xf numFmtId="9" fontId="35" fillId="2" borderId="2"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2" borderId="10" xfId="0" applyFont="1" applyFill="1" applyBorder="1" applyAlignment="1">
      <alignment horizontal="justify" vertical="center" wrapText="1"/>
    </xf>
    <xf numFmtId="10" fontId="35" fillId="0" borderId="8" xfId="53" applyNumberFormat="1" applyFont="1" applyFill="1" applyBorder="1" applyAlignment="1">
      <alignment horizontal="center" vertical="center"/>
    </xf>
    <xf numFmtId="0" fontId="35" fillId="0" borderId="8" xfId="0" applyFont="1" applyFill="1" applyBorder="1" applyAlignment="1">
      <alignment horizontal="center" vertical="center"/>
    </xf>
    <xf numFmtId="0" fontId="35" fillId="2" borderId="0" xfId="0" applyFont="1" applyFill="1" applyBorder="1" applyAlignment="1">
      <alignment horizontal="justify" vertical="center" wrapText="1"/>
    </xf>
    <xf numFmtId="0" fontId="35" fillId="2"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43" fontId="35" fillId="2" borderId="2" xfId="53" applyFont="1" applyFill="1" applyBorder="1" applyAlignment="1">
      <alignment horizontal="right" vertical="center" wrapText="1"/>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wrapText="1"/>
    </xf>
    <xf numFmtId="9" fontId="35" fillId="2" borderId="2" xfId="0" applyNumberFormat="1" applyFont="1" applyFill="1" applyBorder="1" applyAlignment="1">
      <alignment horizontal="justify" vertical="center" wrapText="1"/>
    </xf>
    <xf numFmtId="9" fontId="35" fillId="2" borderId="8" xfId="0" applyNumberFormat="1" applyFont="1" applyFill="1" applyBorder="1" applyAlignment="1">
      <alignment horizontal="center" vertical="center"/>
    </xf>
    <xf numFmtId="9" fontId="35" fillId="0" borderId="2" xfId="0" applyNumberFormat="1" applyFont="1" applyFill="1" applyBorder="1" applyAlignment="1">
      <alignment horizontal="center" vertical="center"/>
    </xf>
    <xf numFmtId="9" fontId="35" fillId="2" borderId="2" xfId="0" applyNumberFormat="1" applyFont="1" applyFill="1" applyBorder="1" applyAlignment="1">
      <alignment horizontal="center" vertical="center"/>
    </xf>
    <xf numFmtId="0" fontId="35" fillId="2" borderId="3" xfId="0" applyFont="1" applyFill="1" applyBorder="1" applyAlignment="1">
      <alignment horizontal="center" vertical="justify"/>
    </xf>
    <xf numFmtId="10" fontId="35" fillId="2" borderId="8" xfId="54" applyNumberFormat="1" applyFont="1" applyFill="1" applyBorder="1" applyAlignment="1">
      <alignment horizontal="center" vertical="center"/>
    </xf>
    <xf numFmtId="0" fontId="35" fillId="2" borderId="4" xfId="0" applyFont="1" applyFill="1" applyBorder="1" applyAlignment="1">
      <alignment vertical="center"/>
    </xf>
    <xf numFmtId="0" fontId="36" fillId="4" borderId="4" xfId="0" applyFont="1" applyFill="1" applyBorder="1" applyAlignment="1">
      <alignment horizontal="left" vertical="center"/>
    </xf>
    <xf numFmtId="0" fontId="36" fillId="4" borderId="4"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5" fillId="2" borderId="2" xfId="0" applyFont="1" applyFill="1" applyBorder="1" applyAlignment="1">
      <alignment horizontal="justify" vertical="center"/>
    </xf>
    <xf numFmtId="0" fontId="35" fillId="0" borderId="6" xfId="0" applyFont="1" applyFill="1" applyBorder="1" applyAlignment="1">
      <alignment horizontal="center" vertical="center"/>
    </xf>
    <xf numFmtId="0" fontId="35" fillId="2" borderId="6" xfId="0" applyFont="1" applyFill="1" applyBorder="1" applyAlignment="1">
      <alignment horizontal="center" vertical="center"/>
    </xf>
    <xf numFmtId="0" fontId="36" fillId="6" borderId="0" xfId="0" applyFont="1" applyFill="1" applyBorder="1" applyAlignment="1">
      <alignment horizontal="left" vertical="center" wrapText="1"/>
    </xf>
    <xf numFmtId="0" fontId="35" fillId="0" borderId="9" xfId="0" applyFont="1" applyBorder="1" applyAlignment="1">
      <alignment horizontal="justify" vertical="center" wrapText="1"/>
    </xf>
    <xf numFmtId="0" fontId="36" fillId="4" borderId="8" xfId="0" applyFont="1" applyFill="1" applyBorder="1" applyAlignment="1">
      <alignment horizontal="center" vertical="center"/>
    </xf>
    <xf numFmtId="0" fontId="35" fillId="2" borderId="2" xfId="0" applyFont="1" applyFill="1" applyBorder="1" applyAlignment="1">
      <alignment vertical="center" wrapText="1"/>
    </xf>
    <xf numFmtId="1" fontId="35" fillId="2" borderId="8" xfId="0" applyNumberFormat="1" applyFont="1" applyFill="1" applyBorder="1" applyAlignment="1">
      <alignment horizontal="center" vertical="center"/>
    </xf>
    <xf numFmtId="1" fontId="35" fillId="0" borderId="2" xfId="0" applyNumberFormat="1" applyFont="1" applyFill="1" applyBorder="1" applyAlignment="1">
      <alignment horizontal="center" vertical="center"/>
    </xf>
    <xf numFmtId="1" fontId="35" fillId="2" borderId="2" xfId="0" applyNumberFormat="1" applyFont="1" applyFill="1" applyBorder="1" applyAlignment="1">
      <alignment horizontal="center" vertical="center"/>
    </xf>
    <xf numFmtId="1" fontId="35" fillId="2" borderId="2" xfId="0" applyNumberFormat="1" applyFont="1" applyFill="1" applyBorder="1" applyAlignment="1">
      <alignment horizontal="center" vertical="center" wrapText="1"/>
    </xf>
    <xf numFmtId="0" fontId="35" fillId="2" borderId="11" xfId="0" applyFont="1" applyFill="1" applyBorder="1" applyAlignment="1">
      <alignment horizontal="justify" vertical="center" wrapText="1"/>
    </xf>
    <xf numFmtId="9" fontId="35" fillId="0" borderId="5" xfId="0" applyNumberFormat="1" applyFont="1" applyBorder="1" applyAlignment="1">
      <alignment horizontal="center" vertical="center"/>
    </xf>
    <xf numFmtId="0" fontId="35" fillId="0" borderId="8" xfId="0" applyNumberFormat="1" applyFont="1" applyFill="1" applyBorder="1" applyAlignment="1">
      <alignment horizontal="center" vertical="center"/>
    </xf>
    <xf numFmtId="0" fontId="35" fillId="0" borderId="2" xfId="0" applyNumberFormat="1" applyFont="1" applyFill="1" applyBorder="1" applyAlignment="1">
      <alignment horizontal="center" vertical="center"/>
    </xf>
    <xf numFmtId="37" fontId="35" fillId="2" borderId="8" xfId="53" applyNumberFormat="1" applyFont="1" applyFill="1" applyBorder="1" applyAlignment="1">
      <alignment horizontal="center" vertical="center"/>
    </xf>
    <xf numFmtId="37" fontId="35" fillId="0" borderId="2" xfId="53" applyNumberFormat="1" applyFont="1" applyFill="1" applyBorder="1" applyAlignment="1">
      <alignment horizontal="left" vertical="center" indent="2"/>
    </xf>
    <xf numFmtId="37" fontId="35" fillId="2" borderId="2" xfId="53" applyNumberFormat="1" applyFont="1" applyFill="1" applyBorder="1" applyAlignment="1">
      <alignment horizontal="left" vertical="center" indent="2"/>
    </xf>
    <xf numFmtId="37" fontId="35" fillId="2" borderId="2" xfId="53" applyNumberFormat="1" applyFont="1" applyFill="1" applyBorder="1" applyAlignment="1">
      <alignment horizontal="center" vertical="center"/>
    </xf>
    <xf numFmtId="9" fontId="35" fillId="0" borderId="3" xfId="0" applyNumberFormat="1" applyFont="1" applyBorder="1" applyAlignment="1">
      <alignment horizontal="center" vertical="center" wrapText="1"/>
    </xf>
    <xf numFmtId="37" fontId="35" fillId="0" borderId="2" xfId="53" applyNumberFormat="1" applyFont="1" applyFill="1" applyBorder="1" applyAlignment="1">
      <alignment horizontal="center" vertical="center"/>
    </xf>
    <xf numFmtId="9" fontId="35" fillId="0" borderId="0" xfId="0" applyNumberFormat="1" applyFont="1" applyAlignment="1">
      <alignment horizontal="center" vertical="center"/>
    </xf>
    <xf numFmtId="37" fontId="35" fillId="0" borderId="8" xfId="53" applyNumberFormat="1" applyFont="1" applyFill="1" applyBorder="1" applyAlignment="1">
      <alignment horizontal="center" vertical="center"/>
    </xf>
    <xf numFmtId="9" fontId="35" fillId="0" borderId="2" xfId="0" applyNumberFormat="1" applyFont="1" applyFill="1" applyBorder="1" applyAlignment="1">
      <alignment horizontal="center" vertical="center" wrapText="1"/>
    </xf>
    <xf numFmtId="1" fontId="35" fillId="2" borderId="2" xfId="54" applyNumberFormat="1" applyFont="1" applyFill="1" applyBorder="1" applyAlignment="1">
      <alignment horizontal="center" vertical="center" wrapText="1"/>
    </xf>
    <xf numFmtId="10" fontId="35" fillId="0" borderId="4" xfId="54" applyNumberFormat="1" applyFont="1" applyFill="1" applyBorder="1" applyAlignment="1">
      <alignment horizontal="center" vertical="center"/>
    </xf>
    <xf numFmtId="43" fontId="35" fillId="0" borderId="4" xfId="53" applyFont="1" applyFill="1" applyBorder="1" applyAlignment="1">
      <alignment vertical="center"/>
    </xf>
    <xf numFmtId="0" fontId="35" fillId="0" borderId="0" xfId="0" applyFont="1" applyAlignment="1">
      <alignment horizontal="center" vertical="center"/>
    </xf>
    <xf numFmtId="0" fontId="35" fillId="2" borderId="2" xfId="0" applyFont="1" applyFill="1" applyBorder="1" applyAlignment="1">
      <alignment horizontal="justify" vertical="top" wrapText="1"/>
    </xf>
    <xf numFmtId="37" fontId="35" fillId="2" borderId="4" xfId="53" applyNumberFormat="1" applyFont="1" applyFill="1" applyBorder="1" applyAlignment="1">
      <alignment horizontal="center" vertical="center"/>
    </xf>
    <xf numFmtId="37" fontId="35" fillId="0" borderId="12" xfId="53" applyNumberFormat="1" applyFont="1" applyFill="1" applyBorder="1" applyAlignment="1">
      <alignment horizontal="center" vertical="center"/>
    </xf>
    <xf numFmtId="37" fontId="35" fillId="2" borderId="12" xfId="53" applyNumberFormat="1" applyFont="1" applyFill="1" applyBorder="1" applyAlignment="1">
      <alignment horizontal="center" vertical="center"/>
    </xf>
    <xf numFmtId="171" fontId="35" fillId="0" borderId="1" xfId="53" applyNumberFormat="1" applyFont="1" applyFill="1" applyBorder="1" applyAlignment="1">
      <alignment vertical="center" wrapText="1"/>
    </xf>
    <xf numFmtId="37" fontId="35" fillId="2" borderId="10" xfId="53" applyNumberFormat="1" applyFont="1" applyFill="1" applyBorder="1" applyAlignment="1">
      <alignment horizontal="center" vertical="center"/>
    </xf>
    <xf numFmtId="171" fontId="35" fillId="2" borderId="2" xfId="53" applyNumberFormat="1" applyFont="1" applyFill="1" applyBorder="1" applyAlignment="1">
      <alignment horizontal="center" vertical="center" wrapText="1"/>
    </xf>
    <xf numFmtId="0" fontId="35" fillId="2" borderId="2" xfId="53" applyNumberFormat="1" applyFont="1" applyFill="1" applyBorder="1" applyAlignment="1">
      <alignment horizontal="center" vertical="center" wrapText="1"/>
    </xf>
    <xf numFmtId="171" fontId="35" fillId="2" borderId="2" xfId="53" applyNumberFormat="1" applyFont="1" applyFill="1" applyBorder="1" applyAlignment="1">
      <alignment horizontal="right" vertical="center"/>
    </xf>
    <xf numFmtId="0" fontId="35" fillId="0" borderId="4" xfId="0" applyFont="1" applyFill="1" applyBorder="1" applyAlignment="1">
      <alignment horizontal="center" vertical="center"/>
    </xf>
    <xf numFmtId="10" fontId="35" fillId="2" borderId="4" xfId="54" applyNumberFormat="1" applyFont="1" applyFill="1" applyBorder="1" applyAlignment="1">
      <alignment horizontal="center" vertical="center"/>
    </xf>
    <xf numFmtId="43" fontId="35" fillId="0" borderId="13" xfId="53" applyFont="1" applyFill="1" applyBorder="1" applyAlignment="1">
      <alignment horizontal="right"/>
    </xf>
    <xf numFmtId="0" fontId="35" fillId="0" borderId="2" xfId="0" applyFont="1" applyBorder="1" applyAlignment="1">
      <alignment horizontal="justify" vertical="center" wrapText="1"/>
    </xf>
    <xf numFmtId="43" fontId="35" fillId="2" borderId="4" xfId="53" applyFont="1" applyFill="1" applyBorder="1" applyAlignment="1">
      <alignment horizontal="right" vertical="center" wrapText="1"/>
    </xf>
    <xf numFmtId="0" fontId="35" fillId="0" borderId="1" xfId="0" applyFont="1" applyBorder="1" applyAlignment="1">
      <alignment horizontal="justify" vertical="center"/>
    </xf>
    <xf numFmtId="10" fontId="35" fillId="2" borderId="2" xfId="54" applyNumberFormat="1" applyFont="1" applyFill="1" applyBorder="1" applyAlignment="1">
      <alignment horizontal="center" vertical="center"/>
    </xf>
    <xf numFmtId="0" fontId="35" fillId="0" borderId="10" xfId="0" applyFont="1" applyFill="1" applyBorder="1" applyAlignment="1">
      <alignment horizontal="center" vertical="center" wrapText="1"/>
    </xf>
    <xf numFmtId="9" fontId="35" fillId="0" borderId="8" xfId="0" applyNumberFormat="1" applyFont="1" applyFill="1" applyBorder="1" applyAlignment="1">
      <alignment horizontal="center" vertical="center" wrapText="1"/>
    </xf>
    <xf numFmtId="10" fontId="35" fillId="2" borderId="10" xfId="54" applyNumberFormat="1" applyFont="1" applyFill="1" applyBorder="1" applyAlignment="1">
      <alignment horizontal="center" vertical="center"/>
    </xf>
    <xf numFmtId="43" fontId="35" fillId="2" borderId="10" xfId="53" applyFont="1" applyFill="1" applyBorder="1" applyAlignment="1">
      <alignment vertical="center"/>
    </xf>
    <xf numFmtId="9" fontId="35" fillId="2" borderId="8" xfId="0" applyNumberFormat="1" applyFont="1" applyFill="1" applyBorder="1" applyAlignment="1">
      <alignment horizontal="center" vertical="center" wrapText="1"/>
    </xf>
    <xf numFmtId="1" fontId="36" fillId="4" borderId="2" xfId="0" applyNumberFormat="1" applyFont="1" applyFill="1" applyBorder="1" applyAlignment="1">
      <alignment horizontal="left" vertical="center" wrapText="1"/>
    </xf>
    <xf numFmtId="2" fontId="36" fillId="4" borderId="8" xfId="0" applyNumberFormat="1" applyFont="1" applyFill="1" applyBorder="1" applyAlignment="1">
      <alignment horizontal="left" vertical="center" wrapText="1"/>
    </xf>
    <xf numFmtId="10" fontId="35" fillId="2" borderId="8" xfId="53" applyNumberFormat="1" applyFont="1" applyFill="1" applyBorder="1" applyAlignment="1">
      <alignment horizontal="center" vertical="center"/>
    </xf>
    <xf numFmtId="0" fontId="35" fillId="0" borderId="3" xfId="0" applyFont="1" applyBorder="1" applyAlignment="1">
      <alignment horizontal="justify" vertical="center" wrapText="1"/>
    </xf>
    <xf numFmtId="43" fontId="35" fillId="0" borderId="0" xfId="53" applyFont="1" applyBorder="1" applyAlignment="1">
      <alignment horizontal="right" vertical="center"/>
    </xf>
    <xf numFmtId="0" fontId="35" fillId="0" borderId="1" xfId="0" applyFont="1" applyBorder="1" applyAlignment="1">
      <alignment horizontal="justify" vertical="center" wrapText="1"/>
    </xf>
    <xf numFmtId="1" fontId="35" fillId="2" borderId="2" xfId="54" applyNumberFormat="1" applyFont="1" applyFill="1" applyBorder="1" applyAlignment="1">
      <alignment horizontal="justify" vertical="center" wrapText="1"/>
    </xf>
    <xf numFmtId="9" fontId="35" fillId="2" borderId="2" xfId="54" applyFont="1" applyFill="1" applyBorder="1" applyAlignment="1">
      <alignment horizontal="justify" vertical="center" wrapText="1"/>
    </xf>
    <xf numFmtId="9" fontId="35" fillId="2" borderId="2" xfId="59492"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xf>
    <xf numFmtId="10" fontId="35" fillId="2" borderId="2" xfId="0" applyNumberFormat="1" applyFont="1" applyFill="1" applyBorder="1" applyAlignment="1">
      <alignment horizontal="center" vertical="center"/>
    </xf>
    <xf numFmtId="0" fontId="35" fillId="0" borderId="2" xfId="0" applyFont="1" applyBorder="1" applyAlignment="1">
      <alignment horizontal="justify" wrapText="1"/>
    </xf>
    <xf numFmtId="10" fontId="35" fillId="0" borderId="7" xfId="0" applyNumberFormat="1" applyFont="1" applyBorder="1" applyAlignment="1">
      <alignment horizontal="center" vertical="center"/>
    </xf>
    <xf numFmtId="9" fontId="35" fillId="0" borderId="7" xfId="0" applyNumberFormat="1" applyFont="1" applyBorder="1" applyAlignment="1">
      <alignment horizontal="center" vertical="center"/>
    </xf>
    <xf numFmtId="43" fontId="35" fillId="0" borderId="14" xfId="53" applyFont="1" applyFill="1" applyBorder="1" applyAlignment="1">
      <alignment vertical="center"/>
    </xf>
    <xf numFmtId="43" fontId="36" fillId="2" borderId="9" xfId="53" applyFont="1" applyFill="1" applyBorder="1" applyAlignment="1">
      <alignment horizontal="right" vertical="center"/>
    </xf>
    <xf numFmtId="9" fontId="35" fillId="2" borderId="3" xfId="0" applyNumberFormat="1" applyFont="1" applyFill="1" applyBorder="1" applyAlignment="1">
      <alignment horizontal="center" vertical="center"/>
    </xf>
    <xf numFmtId="43" fontId="35" fillId="2" borderId="14" xfId="53" applyFont="1" applyFill="1" applyBorder="1" applyAlignment="1">
      <alignment vertical="center"/>
    </xf>
    <xf numFmtId="0" fontId="35" fillId="2" borderId="8" xfId="0" applyFont="1" applyFill="1" applyBorder="1" applyAlignment="1">
      <alignment vertical="center" wrapText="1"/>
    </xf>
    <xf numFmtId="0" fontId="35" fillId="2" borderId="4" xfId="0" applyFont="1" applyFill="1" applyBorder="1" applyAlignment="1">
      <alignment vertical="center" wrapText="1"/>
    </xf>
    <xf numFmtId="0" fontId="35" fillId="2" borderId="4" xfId="0" applyFont="1" applyFill="1" applyBorder="1" applyAlignment="1">
      <alignment horizontal="center" vertical="center"/>
    </xf>
    <xf numFmtId="0" fontId="35" fillId="2" borderId="2" xfId="0" applyNumberFormat="1" applyFont="1" applyFill="1" applyBorder="1" applyAlignment="1">
      <alignment horizontal="center" vertical="center"/>
    </xf>
    <xf numFmtId="0" fontId="37" fillId="6" borderId="2" xfId="0" applyFont="1" applyFill="1" applyBorder="1" applyAlignment="1">
      <alignment vertical="center"/>
    </xf>
    <xf numFmtId="0" fontId="36" fillId="6" borderId="2" xfId="0" applyFont="1" applyFill="1" applyBorder="1" applyAlignment="1">
      <alignment vertical="center"/>
    </xf>
    <xf numFmtId="1" fontId="35" fillId="0" borderId="3" xfId="0" applyNumberFormat="1" applyFont="1" applyFill="1" applyBorder="1" applyAlignment="1">
      <alignment horizontal="center" vertical="center"/>
    </xf>
    <xf numFmtId="1" fontId="35" fillId="2" borderId="3" xfId="0" applyNumberFormat="1" applyFont="1" applyFill="1" applyBorder="1" applyAlignment="1">
      <alignment horizontal="center" vertical="center"/>
    </xf>
    <xf numFmtId="10" fontId="35" fillId="0" borderId="2" xfId="54" applyNumberFormat="1" applyFont="1" applyFill="1" applyBorder="1" applyAlignment="1">
      <alignment horizontal="center" vertical="center"/>
    </xf>
    <xf numFmtId="0" fontId="35" fillId="2" borderId="8" xfId="0" applyNumberFormat="1" applyFont="1" applyFill="1" applyBorder="1" applyAlignment="1">
      <alignment horizontal="center" vertical="center"/>
    </xf>
    <xf numFmtId="43" fontId="35" fillId="2" borderId="7" xfId="53" applyFont="1" applyFill="1" applyBorder="1" applyAlignment="1">
      <alignment vertical="center"/>
    </xf>
    <xf numFmtId="0" fontId="35" fillId="2" borderId="3" xfId="0" applyFont="1" applyFill="1" applyBorder="1" applyAlignment="1">
      <alignment horizontal="justify" vertical="center"/>
    </xf>
    <xf numFmtId="10" fontId="35" fillId="2" borderId="3" xfId="54" applyNumberFormat="1" applyFont="1" applyFill="1" applyBorder="1" applyAlignment="1">
      <alignment horizontal="center" vertical="center" wrapText="1"/>
    </xf>
    <xf numFmtId="0" fontId="35" fillId="2" borderId="2" xfId="53" applyNumberFormat="1" applyFont="1" applyFill="1" applyBorder="1" applyAlignment="1">
      <alignment horizontal="center" vertical="center"/>
    </xf>
    <xf numFmtId="0" fontId="37" fillId="6" borderId="0" xfId="0" applyFont="1" applyFill="1" applyBorder="1" applyAlignment="1">
      <alignment vertical="center"/>
    </xf>
    <xf numFmtId="0" fontId="36" fillId="6" borderId="0" xfId="0" applyFont="1" applyFill="1" applyBorder="1" applyAlignment="1">
      <alignment vertical="center"/>
    </xf>
    <xf numFmtId="0" fontId="36" fillId="6" borderId="0" xfId="0" applyFont="1" applyFill="1" applyBorder="1" applyAlignment="1">
      <alignment horizontal="center" vertical="center"/>
    </xf>
    <xf numFmtId="10" fontId="35" fillId="2" borderId="3" xfId="0" applyNumberFormat="1" applyFont="1" applyFill="1" applyBorder="1" applyAlignment="1">
      <alignment horizontal="center" vertical="center"/>
    </xf>
    <xf numFmtId="10" fontId="35" fillId="2" borderId="1" xfId="0" applyNumberFormat="1" applyFont="1" applyFill="1" applyBorder="1" applyAlignment="1">
      <alignment horizontal="center" vertical="center"/>
    </xf>
    <xf numFmtId="0" fontId="37" fillId="6" borderId="11" xfId="0" applyFont="1" applyFill="1" applyBorder="1" applyAlignment="1">
      <alignment vertical="center"/>
    </xf>
    <xf numFmtId="0" fontId="36" fillId="6" borderId="11" xfId="0" applyFont="1" applyFill="1" applyBorder="1" applyAlignment="1">
      <alignment horizontal="center" vertical="center"/>
    </xf>
    <xf numFmtId="0" fontId="35" fillId="0" borderId="3" xfId="0" applyFont="1" applyFill="1" applyBorder="1" applyAlignment="1">
      <alignment horizontal="center" vertical="center"/>
    </xf>
    <xf numFmtId="9" fontId="35" fillId="2" borderId="2" xfId="0" applyNumberFormat="1" applyFont="1" applyFill="1" applyBorder="1" applyAlignment="1">
      <alignment horizontal="justify" vertical="center"/>
    </xf>
    <xf numFmtId="0" fontId="37" fillId="6" borderId="11" xfId="0" applyFont="1" applyFill="1" applyBorder="1" applyAlignment="1">
      <alignment horizontal="center" vertical="center"/>
    </xf>
    <xf numFmtId="9" fontId="35" fillId="0" borderId="1" xfId="0" applyNumberFormat="1" applyFont="1" applyFill="1" applyBorder="1" applyAlignment="1">
      <alignment horizontal="center" vertical="center"/>
    </xf>
    <xf numFmtId="2" fontId="35" fillId="0" borderId="10" xfId="0" applyNumberFormat="1" applyFont="1" applyFill="1" applyBorder="1" applyAlignment="1">
      <alignment horizontal="center" vertical="center"/>
    </xf>
    <xf numFmtId="2" fontId="35" fillId="0" borderId="2" xfId="0" applyNumberFormat="1" applyFont="1" applyFill="1" applyBorder="1" applyAlignment="1">
      <alignment horizontal="center" vertical="center"/>
    </xf>
    <xf numFmtId="1" fontId="37" fillId="6" borderId="11" xfId="0" applyNumberFormat="1" applyFont="1" applyFill="1" applyBorder="1" applyAlignment="1">
      <alignment vertical="center"/>
    </xf>
    <xf numFmtId="10" fontId="36" fillId="6" borderId="11" xfId="0" applyNumberFormat="1" applyFont="1" applyFill="1" applyBorder="1" applyAlignment="1">
      <alignment horizontal="center" vertical="center"/>
    </xf>
    <xf numFmtId="0" fontId="36" fillId="4" borderId="11" xfId="0" applyFont="1" applyFill="1" applyBorder="1" applyAlignment="1">
      <alignment horizontal="center" vertical="center" wrapText="1"/>
    </xf>
    <xf numFmtId="0" fontId="36" fillId="4" borderId="11"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1" xfId="0" applyFont="1" applyFill="1" applyBorder="1" applyAlignment="1">
      <alignment vertical="center"/>
    </xf>
    <xf numFmtId="1" fontId="37" fillId="4" borderId="11" xfId="0" applyNumberFormat="1" applyFont="1" applyFill="1" applyBorder="1" applyAlignment="1">
      <alignment vertical="center"/>
    </xf>
    <xf numFmtId="1" fontId="37" fillId="6" borderId="9" xfId="0" applyNumberFormat="1" applyFont="1" applyFill="1" applyBorder="1" applyAlignment="1">
      <alignment vertical="center"/>
    </xf>
    <xf numFmtId="43" fontId="35" fillId="0" borderId="8" xfId="53" applyFont="1" applyBorder="1" applyAlignment="1">
      <alignment vertical="center" wrapText="1"/>
    </xf>
    <xf numFmtId="43" fontId="35" fillId="0" borderId="1" xfId="53" applyFont="1" applyBorder="1" applyAlignment="1">
      <alignment vertical="center"/>
    </xf>
    <xf numFmtId="0" fontId="35" fillId="0" borderId="0" xfId="0" applyNumberFormat="1" applyFont="1" applyFill="1" applyBorder="1" applyAlignment="1">
      <alignment horizontal="center" vertical="center"/>
    </xf>
    <xf numFmtId="0" fontId="35" fillId="2" borderId="8" xfId="0" applyFont="1" applyFill="1" applyBorder="1" applyAlignment="1">
      <alignment vertical="center"/>
    </xf>
    <xf numFmtId="0" fontId="36" fillId="2" borderId="0" xfId="0" applyFont="1" applyFill="1" applyBorder="1"/>
    <xf numFmtId="0" fontId="36" fillId="8" borderId="2" xfId="0" applyFont="1" applyFill="1" applyBorder="1"/>
    <xf numFmtId="0" fontId="36" fillId="8" borderId="2" xfId="0" applyFont="1" applyFill="1" applyBorder="1" applyAlignment="1">
      <alignment horizontal="center" vertical="center"/>
    </xf>
    <xf numFmtId="0" fontId="36" fillId="8" borderId="2" xfId="0" applyFont="1" applyFill="1" applyBorder="1" applyAlignment="1">
      <alignment horizontal="center" vertical="center" wrapText="1"/>
    </xf>
    <xf numFmtId="0" fontId="36" fillId="8" borderId="2" xfId="0" applyFont="1" applyFill="1" applyBorder="1" applyAlignment="1">
      <alignment horizontal="justify" vertical="center"/>
    </xf>
    <xf numFmtId="0" fontId="36" fillId="8" borderId="2" xfId="0" applyFont="1" applyFill="1" applyBorder="1" applyAlignment="1">
      <alignment horizontal="justify"/>
    </xf>
    <xf numFmtId="0" fontId="36" fillId="8" borderId="2" xfId="0" applyFont="1" applyFill="1" applyBorder="1" applyAlignment="1">
      <alignment horizontal="center" wrapText="1"/>
    </xf>
    <xf numFmtId="0" fontId="36" fillId="8" borderId="2" xfId="0" applyFont="1" applyFill="1" applyBorder="1" applyAlignment="1">
      <alignment horizontal="center"/>
    </xf>
    <xf numFmtId="0" fontId="37" fillId="8" borderId="2" xfId="0" applyNumberFormat="1" applyFont="1" applyFill="1" applyBorder="1" applyAlignment="1">
      <alignment horizontal="center" vertical="center"/>
    </xf>
    <xf numFmtId="0" fontId="36" fillId="8" borderId="2" xfId="0" applyNumberFormat="1" applyFont="1" applyFill="1" applyBorder="1" applyAlignment="1">
      <alignment horizontal="center" vertical="center"/>
    </xf>
    <xf numFmtId="10" fontId="36" fillId="8" borderId="2" xfId="0" applyNumberFormat="1" applyFont="1" applyFill="1" applyBorder="1" applyAlignment="1">
      <alignment horizontal="center" vertical="center"/>
    </xf>
    <xf numFmtId="43" fontId="36" fillId="8" borderId="2" xfId="53" applyFont="1" applyFill="1" applyBorder="1" applyAlignment="1">
      <alignment vertical="center"/>
    </xf>
    <xf numFmtId="43" fontId="36" fillId="8" borderId="2" xfId="53" applyFont="1" applyFill="1" applyBorder="1" applyAlignment="1">
      <alignment horizontal="right" vertical="center"/>
    </xf>
    <xf numFmtId="0" fontId="36" fillId="12" borderId="2" xfId="0" applyFont="1" applyFill="1" applyBorder="1" applyAlignment="1">
      <alignment vertical="center" wrapText="1"/>
    </xf>
    <xf numFmtId="0" fontId="36" fillId="12" borderId="2" xfId="0" applyFont="1" applyFill="1" applyBorder="1" applyAlignment="1">
      <alignment horizontal="center" vertical="center" wrapText="1"/>
    </xf>
    <xf numFmtId="0" fontId="35" fillId="12" borderId="2" xfId="0" applyFont="1" applyFill="1" applyBorder="1"/>
    <xf numFmtId="0" fontId="35" fillId="12" borderId="2" xfId="0" applyFont="1" applyFill="1" applyBorder="1" applyAlignment="1">
      <alignment horizontal="center" vertical="center" wrapText="1"/>
    </xf>
    <xf numFmtId="0" fontId="36" fillId="12" borderId="2" xfId="0" applyFont="1" applyFill="1" applyBorder="1" applyAlignment="1">
      <alignment horizontal="justify"/>
    </xf>
    <xf numFmtId="0" fontId="35" fillId="12" borderId="2" xfId="0" applyFont="1" applyFill="1" applyBorder="1" applyAlignment="1">
      <alignment horizontal="justify"/>
    </xf>
    <xf numFmtId="0" fontId="35" fillId="12" borderId="2" xfId="0" applyFont="1" applyFill="1" applyBorder="1" applyAlignment="1">
      <alignment horizontal="center" wrapText="1"/>
    </xf>
    <xf numFmtId="0" fontId="35" fillId="12" borderId="2" xfId="0" applyFont="1" applyFill="1" applyBorder="1" applyAlignment="1">
      <alignment horizontal="center"/>
    </xf>
    <xf numFmtId="0" fontId="40" fillId="12" borderId="2" xfId="0" applyNumberFormat="1" applyFont="1" applyFill="1" applyBorder="1" applyAlignment="1">
      <alignment horizontal="center" vertical="center"/>
    </xf>
    <xf numFmtId="0" fontId="35" fillId="12" borderId="2" xfId="0" applyNumberFormat="1" applyFont="1" applyFill="1" applyBorder="1" applyAlignment="1">
      <alignment horizontal="center" vertical="center"/>
    </xf>
    <xf numFmtId="10" fontId="35" fillId="12" borderId="2" xfId="0" applyNumberFormat="1" applyFont="1" applyFill="1" applyBorder="1" applyAlignment="1">
      <alignment horizontal="center" vertical="center"/>
    </xf>
    <xf numFmtId="43" fontId="35" fillId="12" borderId="2" xfId="53" applyFont="1" applyFill="1" applyBorder="1" applyAlignment="1">
      <alignment vertical="center"/>
    </xf>
    <xf numFmtId="43" fontId="36" fillId="12" borderId="8" xfId="53" applyFont="1" applyFill="1" applyBorder="1" applyAlignment="1">
      <alignment vertical="center" wrapText="1"/>
    </xf>
    <xf numFmtId="43" fontId="36" fillId="12" borderId="2" xfId="53" applyFont="1" applyFill="1" applyBorder="1" applyAlignment="1">
      <alignment horizontal="right" vertical="center" wrapText="1"/>
    </xf>
    <xf numFmtId="0" fontId="35"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40" fillId="2" borderId="0" xfId="0" applyNumberFormat="1" applyFont="1" applyFill="1" applyBorder="1" applyAlignment="1">
      <alignment horizontal="center" vertical="center"/>
    </xf>
    <xf numFmtId="0" fontId="35" fillId="2" borderId="0" xfId="0" applyNumberFormat="1" applyFont="1" applyFill="1" applyBorder="1" applyAlignment="1">
      <alignment horizontal="center" vertical="center"/>
    </xf>
    <xf numFmtId="10" fontId="35" fillId="0" borderId="0" xfId="0" applyNumberFormat="1" applyFont="1" applyFill="1" applyBorder="1" applyAlignment="1">
      <alignment horizontal="center" vertical="center"/>
    </xf>
    <xf numFmtId="3" fontId="35" fillId="0"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3" fontId="35" fillId="0" borderId="0" xfId="53" applyFont="1" applyFill="1" applyBorder="1" applyAlignment="1">
      <alignment horizontal="right" vertical="center"/>
    </xf>
    <xf numFmtId="4" fontId="35" fillId="0" borderId="0" xfId="53" applyNumberFormat="1" applyFont="1" applyFill="1" applyBorder="1" applyAlignment="1">
      <alignment horizontal="right" vertical="center"/>
    </xf>
    <xf numFmtId="171" fontId="35" fillId="2" borderId="0" xfId="53" applyNumberFormat="1" applyFont="1" applyFill="1" applyBorder="1" applyAlignment="1">
      <alignment horizontal="right" vertical="center"/>
    </xf>
    <xf numFmtId="3" fontId="35" fillId="2" borderId="0" xfId="53" applyNumberFormat="1" applyFont="1" applyFill="1" applyBorder="1" applyAlignment="1">
      <alignment horizontal="right" vertical="center"/>
    </xf>
    <xf numFmtId="171" fontId="35" fillId="0" borderId="0" xfId="53" applyNumberFormat="1" applyFont="1" applyFill="1" applyBorder="1" applyAlignment="1">
      <alignment horizontal="right" vertical="center"/>
    </xf>
    <xf numFmtId="171" fontId="41" fillId="0" borderId="0" xfId="53" applyNumberFormat="1" applyFont="1" applyFill="1" applyBorder="1" applyAlignment="1">
      <alignment horizontal="right" vertical="center"/>
    </xf>
    <xf numFmtId="0" fontId="35" fillId="2" borderId="0" xfId="0" applyFont="1" applyFill="1" applyBorder="1" applyAlignment="1">
      <alignment horizontal="justify"/>
    </xf>
    <xf numFmtId="0" fontId="35" fillId="2" borderId="0" xfId="0" applyFont="1" applyFill="1" applyBorder="1" applyAlignment="1">
      <alignment horizontal="center" wrapText="1"/>
    </xf>
    <xf numFmtId="0" fontId="35" fillId="2" borderId="0" xfId="0" applyFont="1" applyFill="1" applyBorder="1" applyAlignment="1">
      <alignment horizontal="center"/>
    </xf>
    <xf numFmtId="0" fontId="36" fillId="2" borderId="36" xfId="0" applyFont="1" applyFill="1" applyBorder="1" applyAlignment="1">
      <alignment vertical="center" wrapText="1"/>
    </xf>
    <xf numFmtId="0" fontId="35" fillId="0" borderId="36" xfId="0" applyFont="1" applyBorder="1" applyAlignment="1">
      <alignment horizontal="center" vertical="center"/>
    </xf>
    <xf numFmtId="0" fontId="35" fillId="0" borderId="36" xfId="0" applyFont="1" applyFill="1" applyBorder="1" applyAlignment="1">
      <alignment horizontal="left" vertical="center" wrapText="1" indent="1"/>
    </xf>
    <xf numFmtId="0" fontId="35" fillId="2" borderId="36" xfId="0" applyNumberFormat="1" applyFont="1" applyFill="1" applyBorder="1" applyAlignment="1">
      <alignment horizontal="center" vertical="center" wrapText="1"/>
    </xf>
    <xf numFmtId="0" fontId="35" fillId="0" borderId="36" xfId="0" applyNumberFormat="1" applyFont="1" applyFill="1" applyBorder="1" applyAlignment="1">
      <alignment horizontal="center" vertical="center" wrapText="1"/>
    </xf>
    <xf numFmtId="0" fontId="35" fillId="2" borderId="34" xfId="0" applyNumberFormat="1" applyFont="1" applyFill="1" applyBorder="1" applyAlignment="1">
      <alignment horizontal="center" vertical="center" wrapText="1"/>
    </xf>
    <xf numFmtId="0" fontId="35" fillId="2" borderId="37" xfId="0" applyFont="1" applyFill="1" applyBorder="1" applyAlignment="1">
      <alignment horizontal="center" vertical="center" wrapText="1"/>
    </xf>
    <xf numFmtId="43" fontId="35" fillId="0" borderId="36" xfId="53" applyFont="1" applyFill="1" applyBorder="1" applyAlignment="1">
      <alignment vertical="center" wrapText="1"/>
    </xf>
    <xf numFmtId="0" fontId="35" fillId="2" borderId="36" xfId="0" applyFont="1" applyFill="1" applyBorder="1" applyAlignment="1">
      <alignment vertical="center" wrapText="1"/>
    </xf>
    <xf numFmtId="0" fontId="35" fillId="0" borderId="36" xfId="0" applyFont="1" applyBorder="1" applyAlignment="1"/>
    <xf numFmtId="0" fontId="35" fillId="2" borderId="36" xfId="0" applyFont="1" applyFill="1" applyBorder="1" applyAlignment="1">
      <alignment vertical="center"/>
    </xf>
    <xf numFmtId="9" fontId="35" fillId="0" borderId="36" xfId="0" applyNumberFormat="1" applyFont="1" applyBorder="1" applyAlignment="1">
      <alignment horizontal="center" vertical="center"/>
    </xf>
    <xf numFmtId="0" fontId="35" fillId="2" borderId="34" xfId="0" applyFont="1" applyFill="1" applyBorder="1" applyAlignment="1">
      <alignment horizontal="center" vertical="center" wrapText="1"/>
    </xf>
    <xf numFmtId="10" fontId="35" fillId="0" borderId="34" xfId="54" applyNumberFormat="1" applyFont="1" applyFill="1" applyBorder="1" applyAlignment="1">
      <alignment horizontal="center" vertical="center" wrapText="1"/>
    </xf>
    <xf numFmtId="0" fontId="35" fillId="0" borderId="34" xfId="0" applyFont="1" applyFill="1" applyBorder="1" applyAlignment="1">
      <alignment horizontal="center" vertical="center" wrapText="1"/>
    </xf>
    <xf numFmtId="43" fontId="35" fillId="0" borderId="34" xfId="53" applyFont="1" applyFill="1" applyBorder="1" applyAlignment="1">
      <alignment vertical="center" wrapText="1"/>
    </xf>
    <xf numFmtId="0" fontId="35" fillId="0" borderId="36" xfId="0" applyFont="1" applyFill="1" applyBorder="1" applyAlignment="1">
      <alignment vertical="center"/>
    </xf>
    <xf numFmtId="0" fontId="35" fillId="0" borderId="37" xfId="0" applyFont="1" applyFill="1" applyBorder="1" applyAlignment="1">
      <alignment horizontal="center" vertical="center" wrapText="1"/>
    </xf>
    <xf numFmtId="0" fontId="36" fillId="6" borderId="34" xfId="0" applyFont="1" applyFill="1" applyBorder="1" applyAlignment="1">
      <alignment horizontal="left" vertical="center" wrapText="1"/>
    </xf>
    <xf numFmtId="43" fontId="35" fillId="0" borderId="34" xfId="53" applyFont="1" applyFill="1" applyBorder="1" applyAlignment="1">
      <alignment vertical="center"/>
    </xf>
    <xf numFmtId="43" fontId="35" fillId="2" borderId="34" xfId="53" applyFont="1" applyFill="1" applyBorder="1" applyAlignment="1">
      <alignment vertical="center" wrapText="1"/>
    </xf>
    <xf numFmtId="0" fontId="36" fillId="6" borderId="36" xfId="0" applyFont="1" applyFill="1" applyBorder="1" applyAlignment="1">
      <alignment horizontal="center" vertical="center" wrapText="1"/>
    </xf>
    <xf numFmtId="0" fontId="36" fillId="6" borderId="35" xfId="0" applyFont="1" applyFill="1" applyBorder="1" applyAlignment="1">
      <alignment horizontal="center" vertical="center" wrapText="1"/>
    </xf>
    <xf numFmtId="0" fontId="36" fillId="6" borderId="35" xfId="0" applyFont="1" applyFill="1" applyBorder="1" applyAlignment="1">
      <alignment horizontal="center" vertical="center"/>
    </xf>
    <xf numFmtId="0" fontId="37" fillId="6" borderId="35" xfId="0" applyFont="1" applyFill="1" applyBorder="1" applyAlignment="1">
      <alignment horizontal="center" vertical="center"/>
    </xf>
    <xf numFmtId="10" fontId="36" fillId="6" borderId="35" xfId="0" applyNumberFormat="1" applyFont="1" applyFill="1" applyBorder="1" applyAlignment="1">
      <alignment horizontal="center" vertical="center"/>
    </xf>
    <xf numFmtId="43" fontId="35" fillId="0" borderId="36" xfId="53" applyFont="1" applyFill="1" applyBorder="1" applyAlignment="1">
      <alignment horizontal="right" vertical="center"/>
    </xf>
    <xf numFmtId="43" fontId="35" fillId="2" borderId="34" xfId="53" applyFont="1" applyFill="1" applyBorder="1" applyAlignment="1">
      <alignment horizontal="right" vertical="center" wrapText="1"/>
    </xf>
    <xf numFmtId="0" fontId="36" fillId="6" borderId="35" xfId="0" applyFont="1" applyFill="1" applyBorder="1" applyAlignment="1">
      <alignment horizontal="left" vertical="center" wrapText="1"/>
    </xf>
    <xf numFmtId="0" fontId="36" fillId="6" borderId="34" xfId="0" applyFont="1" applyFill="1" applyBorder="1" applyAlignment="1">
      <alignment vertical="center"/>
    </xf>
    <xf numFmtId="0" fontId="35" fillId="0" borderId="34" xfId="0" applyFont="1" applyFill="1" applyBorder="1" applyAlignment="1">
      <alignment horizontal="center" vertical="center"/>
    </xf>
    <xf numFmtId="0" fontId="35" fillId="2" borderId="34" xfId="0" applyFont="1" applyFill="1" applyBorder="1" applyAlignment="1">
      <alignment horizontal="center" vertical="center"/>
    </xf>
    <xf numFmtId="10" fontId="35" fillId="0" borderId="34" xfId="54" applyNumberFormat="1" applyFont="1" applyFill="1" applyBorder="1" applyAlignment="1">
      <alignment horizontal="center" vertical="center"/>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9" fontId="35" fillId="0" borderId="36" xfId="0" applyNumberFormat="1" applyFont="1" applyBorder="1" applyAlignment="1">
      <alignment horizontal="center" vertical="center" wrapText="1"/>
    </xf>
    <xf numFmtId="43" fontId="35" fillId="2" borderId="34" xfId="53" applyFont="1" applyFill="1" applyBorder="1" applyAlignment="1">
      <alignment vertical="center"/>
    </xf>
    <xf numFmtId="0" fontId="37" fillId="6" borderId="35" xfId="0" applyFont="1" applyFill="1" applyBorder="1" applyAlignment="1">
      <alignment horizontal="center" vertical="center" wrapText="1"/>
    </xf>
    <xf numFmtId="0" fontId="37" fillId="6" borderId="35" xfId="0" applyFont="1" applyFill="1" applyBorder="1" applyAlignment="1">
      <alignment vertical="center" wrapText="1"/>
    </xf>
    <xf numFmtId="0" fontId="36" fillId="6" borderId="35" xfId="0" applyFont="1" applyFill="1" applyBorder="1" applyAlignment="1">
      <alignment vertical="center" wrapText="1"/>
    </xf>
    <xf numFmtId="1" fontId="35" fillId="0" borderId="36" xfId="53" applyNumberFormat="1" applyFont="1" applyFill="1" applyBorder="1" applyAlignment="1">
      <alignment horizontal="center" vertical="center"/>
    </xf>
    <xf numFmtId="9" fontId="35" fillId="2" borderId="36" xfId="0" applyNumberFormat="1" applyFont="1" applyFill="1" applyBorder="1" applyAlignment="1">
      <alignment horizontal="center" vertical="center"/>
    </xf>
    <xf numFmtId="37" fontId="35" fillId="2" borderId="34" xfId="53" applyNumberFormat="1" applyFont="1" applyFill="1" applyBorder="1" applyAlignment="1">
      <alignment horizontal="center" vertical="center"/>
    </xf>
    <xf numFmtId="0" fontId="35" fillId="0" borderId="36" xfId="0" applyFont="1" applyFill="1" applyBorder="1" applyAlignment="1">
      <alignment horizontal="justify" vertical="justify" wrapText="1"/>
    </xf>
    <xf numFmtId="0" fontId="35" fillId="0" borderId="36" xfId="0" applyFont="1" applyBorder="1" applyAlignment="1">
      <alignment horizontal="justify" vertical="center" wrapText="1"/>
    </xf>
    <xf numFmtId="0" fontId="35" fillId="2" borderId="35" xfId="0" applyFont="1" applyFill="1" applyBorder="1" applyAlignment="1">
      <alignment vertical="center"/>
    </xf>
    <xf numFmtId="1" fontId="35" fillId="0" borderId="36" xfId="0" applyNumberFormat="1" applyFont="1" applyFill="1" applyBorder="1" applyAlignment="1">
      <alignment horizontal="center" vertical="center"/>
    </xf>
    <xf numFmtId="1" fontId="35" fillId="2" borderId="36" xfId="0" applyNumberFormat="1" applyFont="1" applyFill="1" applyBorder="1" applyAlignment="1">
      <alignment horizontal="center" vertical="center"/>
    </xf>
    <xf numFmtId="10" fontId="35" fillId="2" borderId="36" xfId="0" applyNumberFormat="1" applyFont="1" applyFill="1" applyBorder="1" applyAlignment="1">
      <alignment horizontal="center" vertical="center"/>
    </xf>
    <xf numFmtId="0" fontId="35" fillId="2" borderId="34" xfId="0" applyFont="1" applyFill="1" applyBorder="1" applyAlignment="1">
      <alignment horizontal="justify" vertical="center" wrapText="1"/>
    </xf>
    <xf numFmtId="1" fontId="37" fillId="6" borderId="35" xfId="0" applyNumberFormat="1" applyFont="1" applyFill="1" applyBorder="1" applyAlignment="1">
      <alignment vertical="center"/>
    </xf>
    <xf numFmtId="0" fontId="35" fillId="16" borderId="2" xfId="53" applyNumberFormat="1" applyFont="1" applyFill="1" applyBorder="1" applyAlignment="1">
      <alignment horizontal="center" vertical="center" wrapText="1"/>
    </xf>
    <xf numFmtId="43" fontId="36" fillId="6" borderId="9" xfId="0" applyNumberFormat="1" applyFont="1" applyFill="1" applyBorder="1" applyAlignment="1">
      <alignment vertical="center" wrapText="1"/>
    </xf>
    <xf numFmtId="170" fontId="36" fillId="4" borderId="9" xfId="0" applyNumberFormat="1" applyFont="1" applyFill="1" applyBorder="1" applyAlignment="1">
      <alignment vertical="center"/>
    </xf>
    <xf numFmtId="170" fontId="43" fillId="4" borderId="9" xfId="0" applyNumberFormat="1" applyFont="1" applyFill="1" applyBorder="1" applyAlignment="1">
      <alignment vertical="center"/>
    </xf>
    <xf numFmtId="43" fontId="43" fillId="6" borderId="9" xfId="0" applyNumberFormat="1" applyFont="1" applyFill="1" applyBorder="1" applyAlignment="1">
      <alignment vertical="center" wrapText="1"/>
    </xf>
    <xf numFmtId="0" fontId="42" fillId="2" borderId="2" xfId="0" applyFont="1" applyFill="1" applyBorder="1"/>
    <xf numFmtId="0" fontId="42" fillId="2" borderId="2" xfId="0" applyFont="1" applyFill="1" applyBorder="1" applyAlignment="1">
      <alignment vertical="center"/>
    </xf>
    <xf numFmtId="0" fontId="42" fillId="2" borderId="3" xfId="0" applyFont="1" applyFill="1" applyBorder="1" applyAlignment="1">
      <alignment vertical="center"/>
    </xf>
    <xf numFmtId="0" fontId="43" fillId="4" borderId="2" xfId="0" applyFont="1" applyFill="1" applyBorder="1" applyAlignment="1">
      <alignment horizontal="left" vertical="center" wrapText="1"/>
    </xf>
    <xf numFmtId="0" fontId="43" fillId="4" borderId="8" xfId="0" applyFont="1" applyFill="1" applyBorder="1" applyAlignment="1">
      <alignment horizontal="left"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xf>
    <xf numFmtId="0" fontId="43" fillId="4" borderId="9" xfId="0" applyFont="1" applyFill="1" applyBorder="1" applyAlignment="1">
      <alignment horizontal="center" vertical="center" wrapText="1"/>
    </xf>
    <xf numFmtId="0" fontId="42" fillId="2" borderId="0" xfId="0" applyFont="1" applyFill="1" applyBorder="1"/>
    <xf numFmtId="0" fontId="42" fillId="2" borderId="36" xfId="0" applyFont="1" applyFill="1" applyBorder="1" applyAlignment="1">
      <alignment vertical="center"/>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9" xfId="0" applyFont="1" applyFill="1" applyBorder="1" applyAlignment="1">
      <alignment vertical="center" wrapText="1"/>
    </xf>
    <xf numFmtId="0" fontId="43" fillId="6" borderId="8" xfId="0" applyFont="1" applyFill="1" applyBorder="1" applyAlignment="1">
      <alignment vertical="center" wrapText="1"/>
    </xf>
    <xf numFmtId="0" fontId="43" fillId="6" borderId="9" xfId="0" applyFont="1" applyFill="1" applyBorder="1" applyAlignment="1">
      <alignment horizontal="center" vertical="center" wrapText="1"/>
    </xf>
    <xf numFmtId="43" fontId="43" fillId="6" borderId="35" xfId="0" applyNumberFormat="1" applyFont="1" applyFill="1" applyBorder="1" applyAlignment="1">
      <alignment vertical="center"/>
    </xf>
    <xf numFmtId="43" fontId="43" fillId="4" borderId="9" xfId="0" applyNumberFormat="1" applyFont="1" applyFill="1" applyBorder="1" applyAlignment="1">
      <alignment vertical="center"/>
    </xf>
    <xf numFmtId="43" fontId="43" fillId="6" borderId="9" xfId="0" applyNumberFormat="1" applyFont="1" applyFill="1" applyBorder="1" applyAlignment="1">
      <alignment vertical="center"/>
    </xf>
    <xf numFmtId="181" fontId="43" fillId="6" borderId="9" xfId="0" applyNumberFormat="1" applyFont="1" applyFill="1" applyBorder="1" applyAlignment="1">
      <alignment vertical="center"/>
    </xf>
    <xf numFmtId="3" fontId="35" fillId="16" borderId="8" xfId="0" applyNumberFormat="1" applyFont="1" applyFill="1" applyBorder="1" applyAlignment="1">
      <alignment horizontal="center" vertical="center"/>
    </xf>
    <xf numFmtId="3" fontId="35" fillId="16" borderId="2" xfId="0" applyNumberFormat="1" applyFont="1" applyFill="1" applyBorder="1" applyAlignment="1">
      <alignment horizontal="center" vertical="center"/>
    </xf>
    <xf numFmtId="0" fontId="35" fillId="16" borderId="8" xfId="0" applyFont="1" applyFill="1" applyBorder="1" applyAlignment="1">
      <alignment horizontal="center" vertical="center" wrapText="1"/>
    </xf>
    <xf numFmtId="0" fontId="35" fillId="16" borderId="2" xfId="0" applyNumberFormat="1" applyFont="1" applyFill="1" applyBorder="1" applyAlignment="1">
      <alignment horizontal="center" vertical="center" wrapText="1"/>
    </xf>
    <xf numFmtId="3" fontId="35" fillId="16" borderId="2" xfId="0" applyNumberFormat="1" applyFont="1" applyFill="1" applyBorder="1" applyAlignment="1">
      <alignment horizontal="center" vertical="center" wrapText="1"/>
    </xf>
    <xf numFmtId="3" fontId="40" fillId="16" borderId="8" xfId="0" applyNumberFormat="1" applyFont="1" applyFill="1" applyBorder="1" applyAlignment="1">
      <alignment horizontal="center" vertical="center"/>
    </xf>
    <xf numFmtId="0" fontId="40" fillId="16" borderId="8" xfId="0" applyFont="1" applyFill="1" applyBorder="1" applyAlignment="1">
      <alignment horizontal="center" vertical="center" wrapText="1"/>
    </xf>
    <xf numFmtId="3" fontId="35" fillId="2" borderId="36" xfId="0" applyNumberFormat="1"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1" xfId="0" applyFont="1" applyFill="1" applyBorder="1" applyAlignment="1">
      <alignment horizontal="center" vertical="center" wrapText="1"/>
    </xf>
    <xf numFmtId="43" fontId="35" fillId="2" borderId="36" xfId="53" applyFont="1" applyFill="1" applyBorder="1" applyAlignment="1">
      <alignment horizontal="right" vertical="center" wrapText="1"/>
    </xf>
    <xf numFmtId="43" fontId="35" fillId="2" borderId="36" xfId="53" applyFont="1" applyFill="1" applyBorder="1" applyAlignment="1">
      <alignment horizontal="center" vertical="center"/>
    </xf>
    <xf numFmtId="43" fontId="35" fillId="2" borderId="36" xfId="53" applyFont="1" applyFill="1" applyBorder="1" applyAlignment="1">
      <alignment horizontal="right" vertical="center"/>
    </xf>
    <xf numFmtId="43" fontId="35" fillId="2" borderId="2" xfId="53" applyFont="1" applyFill="1" applyBorder="1" applyAlignment="1">
      <alignment vertical="center"/>
    </xf>
    <xf numFmtId="43" fontId="35" fillId="0" borderId="36" xfId="53" applyFont="1" applyFill="1" applyBorder="1" applyAlignment="1">
      <alignment horizontal="center" vertical="center" wrapText="1"/>
    </xf>
    <xf numFmtId="43" fontId="35" fillId="0" borderId="2" xfId="53" applyFont="1" applyFill="1" applyBorder="1" applyAlignment="1">
      <alignment vertical="center" wrapText="1"/>
    </xf>
    <xf numFmtId="43" fontId="35" fillId="2" borderId="36" xfId="53" applyFont="1" applyFill="1" applyBorder="1" applyAlignment="1">
      <alignment horizontal="center" vertical="center" wrapText="1"/>
    </xf>
    <xf numFmtId="43" fontId="35" fillId="0" borderId="2" xfId="53" applyFont="1" applyFill="1" applyBorder="1" applyAlignment="1">
      <alignment vertical="center"/>
    </xf>
    <xf numFmtId="43" fontId="35" fillId="0" borderId="36" xfId="53" applyFont="1" applyFill="1" applyBorder="1" applyAlignment="1">
      <alignment vertical="center"/>
    </xf>
    <xf numFmtId="43" fontId="35" fillId="2" borderId="2" xfId="53" applyFont="1" applyFill="1" applyBorder="1" applyAlignment="1">
      <alignment vertical="center" wrapText="1"/>
    </xf>
    <xf numFmtId="43" fontId="35" fillId="2" borderId="36" xfId="53" applyFont="1" applyFill="1" applyBorder="1" applyAlignment="1">
      <alignment vertical="center"/>
    </xf>
    <xf numFmtId="43" fontId="35" fillId="0" borderId="36" xfId="53" applyFont="1" applyFill="1" applyBorder="1" applyAlignment="1">
      <alignment horizontal="right" vertical="center" wrapText="1"/>
    </xf>
    <xf numFmtId="43" fontId="35" fillId="2" borderId="34" xfId="53" applyFont="1" applyFill="1" applyBorder="1" applyAlignment="1">
      <alignment horizontal="right" vertical="center"/>
    </xf>
    <xf numFmtId="0" fontId="35" fillId="2" borderId="1" xfId="0" applyFont="1" applyFill="1" applyBorder="1" applyAlignment="1">
      <alignment horizontal="center" vertical="center"/>
    </xf>
    <xf numFmtId="10" fontId="35" fillId="2" borderId="36" xfId="54" applyNumberFormat="1" applyFont="1" applyFill="1" applyBorder="1" applyAlignment="1">
      <alignment horizontal="center" vertical="center"/>
    </xf>
    <xf numFmtId="37" fontId="35" fillId="0" borderId="36" xfId="53" applyNumberFormat="1" applyFont="1" applyFill="1" applyBorder="1" applyAlignment="1">
      <alignment horizontal="center" vertical="center"/>
    </xf>
    <xf numFmtId="37" fontId="35" fillId="0" borderId="1" xfId="53" applyNumberFormat="1" applyFont="1" applyFill="1" applyBorder="1" applyAlignment="1">
      <alignment horizontal="center" vertical="center"/>
    </xf>
    <xf numFmtId="0" fontId="35" fillId="2" borderId="36" xfId="0" applyFont="1" applyFill="1" applyBorder="1" applyAlignment="1">
      <alignment horizontal="center" vertical="center"/>
    </xf>
    <xf numFmtId="43" fontId="35" fillId="2" borderId="2" xfId="53" applyFont="1" applyFill="1" applyBorder="1" applyAlignment="1">
      <alignment horizontal="right" vertical="center"/>
    </xf>
    <xf numFmtId="0" fontId="35" fillId="0" borderId="3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36" xfId="0" applyFont="1" applyFill="1" applyBorder="1" applyAlignment="1">
      <alignment horizontal="justify" vertical="center" wrapText="1"/>
    </xf>
    <xf numFmtId="0" fontId="35" fillId="0" borderId="1" xfId="0" applyFont="1" applyFill="1" applyBorder="1" applyAlignment="1">
      <alignment horizontal="justify" vertical="center" wrapText="1"/>
    </xf>
    <xf numFmtId="0" fontId="35" fillId="2" borderId="36"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35" fillId="0" borderId="36" xfId="0" applyFont="1" applyFill="1" applyBorder="1" applyAlignment="1">
      <alignment horizontal="center" vertical="center"/>
    </xf>
    <xf numFmtId="0" fontId="35" fillId="0" borderId="1" xfId="0" applyFont="1" applyFill="1" applyBorder="1" applyAlignment="1">
      <alignment horizontal="center" vertical="center"/>
    </xf>
    <xf numFmtId="10" fontId="35" fillId="2" borderId="36" xfId="54" applyNumberFormat="1" applyFont="1" applyFill="1" applyBorder="1" applyAlignment="1">
      <alignment horizontal="center" vertical="center" wrapText="1"/>
    </xf>
    <xf numFmtId="10" fontId="35" fillId="2" borderId="1" xfId="54" applyNumberFormat="1" applyFont="1" applyFill="1" applyBorder="1" applyAlignment="1">
      <alignment horizontal="center" vertical="center" wrapText="1"/>
    </xf>
    <xf numFmtId="10" fontId="35" fillId="0" borderId="36" xfId="54" applyNumberFormat="1" applyFont="1" applyFill="1" applyBorder="1" applyAlignment="1">
      <alignment horizontal="center" vertical="center"/>
    </xf>
    <xf numFmtId="9" fontId="35" fillId="0" borderId="1" xfId="0" applyNumberFormat="1" applyFont="1" applyFill="1" applyBorder="1" applyAlignment="1">
      <alignment horizontal="center" vertical="center" wrapText="1"/>
    </xf>
    <xf numFmtId="0" fontId="35" fillId="0" borderId="3" xfId="0" applyFont="1" applyFill="1" applyBorder="1" applyAlignment="1">
      <alignment horizontal="justify" vertical="center" wrapText="1"/>
    </xf>
    <xf numFmtId="3" fontId="35" fillId="0" borderId="36" xfId="0" applyNumberFormat="1" applyFont="1" applyFill="1" applyBorder="1" applyAlignment="1">
      <alignment horizontal="center" vertical="center" wrapText="1"/>
    </xf>
    <xf numFmtId="3" fontId="35" fillId="0" borderId="36" xfId="0" applyNumberFormat="1" applyFont="1" applyFill="1" applyBorder="1" applyAlignment="1">
      <alignment horizontal="center" vertical="center"/>
    </xf>
    <xf numFmtId="0" fontId="38" fillId="3" borderId="2" xfId="0" applyNumberFormat="1" applyFont="1" applyFill="1" applyBorder="1" applyAlignment="1">
      <alignment horizontal="center" vertical="center" wrapText="1"/>
    </xf>
    <xf numFmtId="37" fontId="35" fillId="2" borderId="36" xfId="53" applyNumberFormat="1" applyFont="1" applyFill="1" applyBorder="1" applyAlignment="1">
      <alignment horizontal="center" vertical="center"/>
    </xf>
    <xf numFmtId="37" fontId="35" fillId="2" borderId="1" xfId="53" applyNumberFormat="1" applyFont="1" applyFill="1" applyBorder="1" applyAlignment="1">
      <alignment horizontal="center" vertical="center"/>
    </xf>
    <xf numFmtId="3" fontId="35" fillId="2" borderId="36" xfId="0" applyNumberFormat="1" applyFont="1" applyFill="1" applyBorder="1" applyAlignment="1">
      <alignment horizontal="center" vertical="center"/>
    </xf>
    <xf numFmtId="0" fontId="35" fillId="2" borderId="10" xfId="0" applyFont="1" applyFill="1" applyBorder="1" applyAlignment="1">
      <alignment horizontal="center" vertical="center"/>
    </xf>
    <xf numFmtId="0" fontId="35" fillId="2" borderId="36" xfId="0" applyFont="1" applyFill="1" applyBorder="1" applyAlignment="1">
      <alignment horizontal="justify" vertical="center"/>
    </xf>
    <xf numFmtId="0" fontId="35" fillId="2" borderId="1" xfId="0" applyFont="1" applyFill="1" applyBorder="1" applyAlignment="1">
      <alignment horizontal="justify" vertical="center"/>
    </xf>
    <xf numFmtId="0" fontId="35" fillId="16" borderId="8" xfId="0" applyNumberFormat="1" applyFont="1" applyFill="1" applyBorder="1" applyAlignment="1">
      <alignment horizontal="center" vertical="center" wrapText="1"/>
    </xf>
    <xf numFmtId="0" fontId="35" fillId="16" borderId="2" xfId="0" applyFont="1" applyFill="1" applyBorder="1" applyAlignment="1">
      <alignment horizontal="center" vertical="center"/>
    </xf>
    <xf numFmtId="3" fontId="42" fillId="16" borderId="2" xfId="0" applyNumberFormat="1" applyFont="1" applyFill="1" applyBorder="1" applyAlignment="1">
      <alignment horizontal="center" vertical="center"/>
    </xf>
    <xf numFmtId="0" fontId="35" fillId="16" borderId="2" xfId="0" applyFont="1" applyFill="1" applyBorder="1" applyAlignment="1">
      <alignment horizontal="center" vertical="center" wrapText="1"/>
    </xf>
    <xf numFmtId="2" fontId="35" fillId="0" borderId="1" xfId="0" applyNumberFormat="1" applyFont="1" applyFill="1" applyBorder="1" applyAlignment="1">
      <alignment horizontal="center" vertical="center"/>
    </xf>
    <xf numFmtId="43" fontId="35" fillId="2" borderId="2" xfId="53" applyFont="1" applyFill="1" applyBorder="1" applyAlignment="1">
      <alignment horizontal="right" vertical="center"/>
    </xf>
    <xf numFmtId="167" fontId="35" fillId="2" borderId="0" xfId="0" applyNumberFormat="1" applyFont="1" applyFill="1" applyBorder="1" applyAlignment="1">
      <alignment vertical="center"/>
    </xf>
    <xf numFmtId="182" fontId="43" fillId="6" borderId="9" xfId="62889" applyNumberFormat="1" applyFont="1" applyFill="1" applyBorder="1" applyAlignment="1">
      <alignment vertical="center"/>
    </xf>
    <xf numFmtId="175" fontId="38" fillId="2" borderId="2" xfId="0" applyNumberFormat="1" applyFont="1" applyFill="1" applyBorder="1" applyAlignment="1">
      <alignment horizontal="left" vertical="center"/>
    </xf>
    <xf numFmtId="43" fontId="35" fillId="2" borderId="36" xfId="53" applyFont="1" applyFill="1" applyBorder="1" applyAlignment="1">
      <alignment horizontal="right" vertical="center" wrapText="1"/>
    </xf>
    <xf numFmtId="43" fontId="35" fillId="0" borderId="36" xfId="53" applyFont="1" applyFill="1" applyBorder="1" applyAlignment="1">
      <alignment horizontal="right" vertical="center" wrapText="1"/>
    </xf>
    <xf numFmtId="43" fontId="35" fillId="0" borderId="36" xfId="53" applyFont="1" applyFill="1" applyBorder="1" applyAlignment="1">
      <alignment horizontal="center" vertical="center" wrapText="1"/>
    </xf>
    <xf numFmtId="0" fontId="35" fillId="0" borderId="1" xfId="0" applyFont="1" applyFill="1" applyBorder="1" applyAlignment="1">
      <alignment horizontal="justify" vertical="center" wrapText="1"/>
    </xf>
    <xf numFmtId="0" fontId="35" fillId="2" borderId="1" xfId="0" applyFont="1" applyFill="1" applyBorder="1" applyAlignment="1">
      <alignment horizontal="justify" vertical="center"/>
    </xf>
    <xf numFmtId="10" fontId="35" fillId="0" borderId="36" xfId="54" applyNumberFormat="1" applyFont="1" applyFill="1" applyBorder="1" applyAlignment="1">
      <alignment horizontal="center" vertical="center"/>
    </xf>
    <xf numFmtId="0" fontId="35" fillId="0" borderId="36" xfId="0" applyFont="1" applyFill="1" applyBorder="1" applyAlignment="1">
      <alignment horizontal="center" vertical="center" wrapText="1"/>
    </xf>
    <xf numFmtId="10" fontId="35" fillId="2" borderId="1" xfId="54" applyNumberFormat="1" applyFont="1" applyFill="1" applyBorder="1" applyAlignment="1">
      <alignment horizontal="center" vertical="center"/>
    </xf>
    <xf numFmtId="43" fontId="35" fillId="2" borderId="36" xfId="53" applyFont="1" applyFill="1" applyBorder="1" applyAlignment="1">
      <alignment vertical="center"/>
    </xf>
    <xf numFmtId="43" fontId="35" fillId="2" borderId="1" xfId="53" applyFont="1" applyFill="1" applyBorder="1" applyAlignment="1">
      <alignment vertical="center"/>
    </xf>
    <xf numFmtId="43" fontId="35" fillId="0" borderId="2" xfId="53" applyFont="1" applyFill="1" applyBorder="1" applyAlignment="1">
      <alignment vertical="center" wrapText="1"/>
    </xf>
    <xf numFmtId="43" fontId="35" fillId="0" borderId="36" xfId="53" applyFont="1" applyFill="1" applyBorder="1" applyAlignment="1">
      <alignment vertical="center"/>
    </xf>
    <xf numFmtId="43" fontId="35" fillId="2" borderId="2" xfId="53" applyFont="1" applyFill="1" applyBorder="1" applyAlignment="1">
      <alignment vertical="center"/>
    </xf>
    <xf numFmtId="43" fontId="35" fillId="2" borderId="36" xfId="53" applyFont="1" applyFill="1" applyBorder="1" applyAlignment="1">
      <alignment horizontal="center" vertical="center" wrapText="1"/>
    </xf>
    <xf numFmtId="0" fontId="35" fillId="2" borderId="36" xfId="0" applyFont="1" applyFill="1" applyBorder="1" applyAlignment="1">
      <alignment horizontal="justify" vertical="center" wrapText="1"/>
    </xf>
    <xf numFmtId="37" fontId="35" fillId="2" borderId="1" xfId="53" applyNumberFormat="1" applyFont="1" applyFill="1" applyBorder="1" applyAlignment="1">
      <alignment horizontal="center" vertical="center"/>
    </xf>
    <xf numFmtId="3" fontId="35" fillId="2" borderId="36" xfId="0" applyNumberFormat="1" applyFont="1" applyFill="1" applyBorder="1" applyAlignment="1">
      <alignment horizontal="center" vertical="center"/>
    </xf>
    <xf numFmtId="0" fontId="35" fillId="2" borderId="36"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3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0" borderId="36" xfId="0" applyFont="1" applyFill="1" applyBorder="1" applyAlignment="1">
      <alignment horizontal="center" vertical="center"/>
    </xf>
    <xf numFmtId="0" fontId="35" fillId="0" borderId="36" xfId="0" applyFont="1" applyFill="1" applyBorder="1" applyAlignment="1">
      <alignment horizontal="justify" vertical="center" wrapText="1"/>
    </xf>
    <xf numFmtId="43" fontId="35" fillId="2" borderId="2" xfId="53" applyFont="1" applyFill="1" applyBorder="1" applyAlignment="1">
      <alignment vertical="center" wrapText="1"/>
    </xf>
    <xf numFmtId="3" fontId="35" fillId="0" borderId="36" xfId="0" applyNumberFormat="1" applyFont="1" applyFill="1" applyBorder="1" applyAlignment="1">
      <alignment horizontal="center" vertical="center" wrapText="1"/>
    </xf>
    <xf numFmtId="3" fontId="35" fillId="16" borderId="36" xfId="0" applyNumberFormat="1" applyFont="1" applyFill="1" applyBorder="1" applyAlignment="1">
      <alignment horizontal="center" vertical="center"/>
    </xf>
    <xf numFmtId="3" fontId="35" fillId="16" borderId="36" xfId="0" applyNumberFormat="1" applyFont="1" applyFill="1" applyBorder="1" applyAlignment="1">
      <alignment horizontal="center" vertical="center" wrapText="1"/>
    </xf>
    <xf numFmtId="3" fontId="35" fillId="0" borderId="36" xfId="0" applyNumberFormat="1" applyFont="1" applyFill="1" applyBorder="1" applyAlignment="1">
      <alignment horizontal="center" vertical="center"/>
    </xf>
    <xf numFmtId="43" fontId="35" fillId="2" borderId="36" xfId="53" applyFont="1" applyFill="1" applyBorder="1" applyAlignment="1">
      <alignment vertical="center" wrapText="1"/>
    </xf>
    <xf numFmtId="10" fontId="35" fillId="2" borderId="36" xfId="54" applyNumberFormat="1" applyFont="1" applyFill="1" applyBorder="1" applyAlignment="1">
      <alignment horizontal="center" vertical="center" wrapText="1"/>
    </xf>
    <xf numFmtId="0" fontId="35" fillId="2" borderId="1" xfId="0" applyNumberFormat="1" applyFont="1" applyFill="1" applyBorder="1" applyAlignment="1">
      <alignment horizontal="center" vertical="center"/>
    </xf>
    <xf numFmtId="43" fontId="35" fillId="2" borderId="36" xfId="53" applyFont="1" applyFill="1" applyBorder="1" applyAlignment="1">
      <alignment horizontal="right" vertical="center"/>
    </xf>
    <xf numFmtId="43" fontId="35" fillId="2" borderId="1" xfId="53" applyFont="1" applyFill="1" applyBorder="1" applyAlignment="1">
      <alignment horizontal="right" vertical="center"/>
    </xf>
    <xf numFmtId="43" fontId="35" fillId="2" borderId="2" xfId="53" applyFont="1" applyFill="1" applyBorder="1" applyAlignment="1">
      <alignment horizontal="right" vertical="center"/>
    </xf>
    <xf numFmtId="37" fontId="35" fillId="0" borderId="1" xfId="53" applyNumberFormat="1" applyFont="1" applyFill="1" applyBorder="1" applyAlignment="1">
      <alignment horizontal="center" vertical="center"/>
    </xf>
    <xf numFmtId="43" fontId="35" fillId="2" borderId="4" xfId="53" applyFont="1" applyFill="1" applyBorder="1" applyAlignment="1">
      <alignment horizontal="right" vertical="center"/>
    </xf>
    <xf numFmtId="0" fontId="41" fillId="0" borderId="0" xfId="0" applyFont="1" applyFill="1" applyBorder="1" applyAlignment="1">
      <alignment horizontal="right" vertical="center"/>
    </xf>
    <xf numFmtId="0" fontId="35" fillId="0" borderId="36" xfId="0" applyFont="1" applyFill="1" applyBorder="1" applyAlignment="1">
      <alignment vertical="center" wrapText="1"/>
    </xf>
    <xf numFmtId="3" fontId="35" fillId="2" borderId="36" xfId="0" applyNumberFormat="1" applyFont="1" applyFill="1" applyBorder="1" applyAlignment="1">
      <alignment vertical="center" wrapText="1"/>
    </xf>
    <xf numFmtId="3" fontId="35" fillId="0" borderId="36" xfId="0" applyNumberFormat="1" applyFont="1" applyFill="1" applyBorder="1" applyAlignment="1">
      <alignment vertical="center" wrapText="1"/>
    </xf>
    <xf numFmtId="43" fontId="35" fillId="0" borderId="1" xfId="53" applyFont="1" applyFill="1" applyBorder="1" applyAlignment="1">
      <alignment horizontal="right" vertical="center"/>
    </xf>
    <xf numFmtId="43" fontId="35" fillId="2" borderId="2" xfId="53" applyFont="1" applyFill="1" applyBorder="1" applyAlignment="1">
      <alignment horizontal="center" vertical="center"/>
    </xf>
    <xf numFmtId="43" fontId="35" fillId="2" borderId="2" xfId="53" applyFont="1" applyFill="1" applyBorder="1" applyAlignment="1">
      <alignment horizontal="center" vertical="center" wrapText="1"/>
    </xf>
    <xf numFmtId="43" fontId="35" fillId="0" borderId="2" xfId="53" applyFont="1" applyFill="1" applyBorder="1" applyAlignment="1">
      <alignment horizontal="center" vertical="center" wrapText="1"/>
    </xf>
    <xf numFmtId="43" fontId="35" fillId="2" borderId="8" xfId="53" applyFont="1" applyFill="1" applyBorder="1" applyAlignment="1">
      <alignment horizontal="center" vertical="center" wrapText="1"/>
    </xf>
    <xf numFmtId="43" fontId="35" fillId="2" borderId="10" xfId="53" applyFont="1" applyFill="1" applyBorder="1" applyAlignment="1">
      <alignment horizontal="right" vertical="center"/>
    </xf>
    <xf numFmtId="43" fontId="35" fillId="2" borderId="3" xfId="53" applyFont="1" applyFill="1" applyBorder="1" applyAlignment="1">
      <alignment horizontal="right" vertical="center"/>
    </xf>
    <xf numFmtId="43" fontId="36" fillId="2" borderId="2" xfId="53" applyFont="1" applyFill="1" applyBorder="1" applyAlignment="1">
      <alignment vertical="center"/>
    </xf>
    <xf numFmtId="0" fontId="35" fillId="2" borderId="12" xfId="0" applyFont="1" applyFill="1" applyBorder="1" applyAlignment="1">
      <alignment horizontal="center" vertical="center"/>
    </xf>
    <xf numFmtId="3" fontId="35" fillId="2" borderId="36" xfId="0" applyNumberFormat="1" applyFont="1" applyFill="1" applyBorder="1" applyAlignment="1">
      <alignment horizontal="justify" vertical="center" wrapText="1"/>
    </xf>
    <xf numFmtId="3" fontId="38" fillId="3" borderId="8" xfId="53" applyNumberFormat="1" applyFont="1" applyFill="1" applyBorder="1" applyAlignment="1">
      <alignment horizontal="center" vertical="center"/>
    </xf>
    <xf numFmtId="3" fontId="38" fillId="10" borderId="8" xfId="53" applyNumberFormat="1" applyFont="1" applyFill="1" applyBorder="1" applyAlignment="1">
      <alignment horizontal="center" vertical="center"/>
    </xf>
    <xf numFmtId="3" fontId="38" fillId="10" borderId="8" xfId="0" applyNumberFormat="1" applyFont="1" applyFill="1" applyBorder="1" applyAlignment="1">
      <alignment horizontal="center" vertical="center" wrapText="1"/>
    </xf>
    <xf numFmtId="3" fontId="38" fillId="10" borderId="34" xfId="0" applyNumberFormat="1" applyFont="1" applyFill="1" applyBorder="1" applyAlignment="1">
      <alignment horizontal="center" vertical="center" wrapText="1"/>
    </xf>
    <xf numFmtId="3" fontId="38" fillId="3" borderId="8" xfId="0" applyNumberFormat="1" applyFont="1" applyFill="1" applyBorder="1" applyAlignment="1">
      <alignment horizontal="center" vertical="center" wrapText="1"/>
    </xf>
    <xf numFmtId="0" fontId="38" fillId="3" borderId="8" xfId="0" applyNumberFormat="1" applyFont="1" applyFill="1" applyBorder="1" applyAlignment="1">
      <alignment horizontal="center" vertical="center" wrapText="1"/>
    </xf>
    <xf numFmtId="0" fontId="36" fillId="5" borderId="8" xfId="0" applyFont="1" applyFill="1" applyBorder="1" applyAlignment="1">
      <alignment horizontal="left" vertical="center"/>
    </xf>
    <xf numFmtId="0" fontId="36" fillId="5" borderId="9" xfId="0" applyFont="1" applyFill="1" applyBorder="1" applyAlignment="1">
      <alignment horizontal="left" vertical="center"/>
    </xf>
    <xf numFmtId="3" fontId="38" fillId="3" borderId="8" xfId="53" applyNumberFormat="1" applyFont="1" applyFill="1" applyBorder="1" applyAlignment="1">
      <alignment horizontal="center" vertical="center" wrapText="1"/>
    </xf>
    <xf numFmtId="43" fontId="43" fillId="6" borderId="7" xfId="0" applyNumberFormat="1" applyFont="1" applyFill="1" applyBorder="1" applyAlignment="1">
      <alignment vertical="center" wrapText="1"/>
    </xf>
    <xf numFmtId="43" fontId="36" fillId="2" borderId="2" xfId="53" applyFont="1" applyFill="1" applyBorder="1" applyAlignment="1">
      <alignment horizontal="center" vertical="center"/>
    </xf>
    <xf numFmtId="0" fontId="36" fillId="2" borderId="0" xfId="0" applyFont="1" applyFill="1" applyBorder="1" applyAlignment="1">
      <alignment vertical="center" wrapText="1"/>
    </xf>
    <xf numFmtId="0" fontId="38" fillId="0" borderId="7" xfId="0" applyFont="1" applyFill="1" applyBorder="1" applyAlignment="1">
      <alignment vertical="center"/>
    </xf>
    <xf numFmtId="43" fontId="36" fillId="2" borderId="38" xfId="53" applyFont="1" applyFill="1" applyBorder="1" applyAlignment="1">
      <alignment horizontal="center" vertical="center"/>
    </xf>
    <xf numFmtId="43" fontId="36" fillId="6" borderId="7" xfId="53" applyFont="1" applyFill="1" applyBorder="1" applyAlignment="1">
      <alignment vertical="center" wrapText="1"/>
    </xf>
    <xf numFmtId="43" fontId="36" fillId="4" borderId="7" xfId="53" applyFont="1" applyFill="1" applyBorder="1" applyAlignment="1">
      <alignment vertical="center"/>
    </xf>
    <xf numFmtId="43" fontId="36" fillId="6" borderId="7" xfId="53" applyFont="1" applyFill="1" applyBorder="1" applyAlignment="1">
      <alignment vertical="center"/>
    </xf>
    <xf numFmtId="43" fontId="36" fillId="6" borderId="7" xfId="0" applyNumberFormat="1" applyFont="1" applyFill="1" applyBorder="1" applyAlignment="1">
      <alignment vertical="center" wrapText="1"/>
    </xf>
    <xf numFmtId="170" fontId="36" fillId="4" borderId="7" xfId="0" applyNumberFormat="1" applyFont="1" applyFill="1" applyBorder="1" applyAlignment="1">
      <alignment vertical="center"/>
    </xf>
    <xf numFmtId="43" fontId="43" fillId="6" borderId="7" xfId="0" applyNumberFormat="1" applyFont="1" applyFill="1" applyBorder="1" applyAlignment="1">
      <alignment vertical="center"/>
    </xf>
    <xf numFmtId="182" fontId="43" fillId="6" borderId="7" xfId="62889" applyNumberFormat="1" applyFont="1" applyFill="1" applyBorder="1" applyAlignment="1">
      <alignment vertical="center"/>
    </xf>
    <xf numFmtId="170" fontId="43" fillId="4" borderId="7" xfId="0" applyNumberFormat="1" applyFont="1" applyFill="1" applyBorder="1" applyAlignment="1">
      <alignment vertical="center"/>
    </xf>
    <xf numFmtId="43" fontId="36" fillId="0" borderId="2" xfId="53" applyFont="1" applyFill="1" applyBorder="1" applyAlignment="1">
      <alignment horizontal="center" vertical="center"/>
    </xf>
    <xf numFmtId="43" fontId="36" fillId="2" borderId="1" xfId="53" applyFont="1" applyFill="1" applyBorder="1" applyAlignment="1">
      <alignment horizontal="center" vertical="center"/>
    </xf>
    <xf numFmtId="43" fontId="43" fillId="6" borderId="39" xfId="0" applyNumberFormat="1" applyFont="1" applyFill="1" applyBorder="1" applyAlignment="1">
      <alignment vertical="center"/>
    </xf>
    <xf numFmtId="43" fontId="43" fillId="4" borderId="7" xfId="0" applyNumberFormat="1" applyFont="1" applyFill="1" applyBorder="1" applyAlignment="1">
      <alignment vertical="center"/>
    </xf>
    <xf numFmtId="43" fontId="36" fillId="0" borderId="38" xfId="53" applyFont="1" applyFill="1" applyBorder="1" applyAlignment="1">
      <alignment vertical="center"/>
    </xf>
    <xf numFmtId="43" fontId="36" fillId="12" borderId="2" xfId="53" applyFont="1" applyFill="1" applyBorder="1" applyAlignment="1">
      <alignment vertical="center"/>
    </xf>
    <xf numFmtId="43" fontId="35" fillId="0" borderId="1" xfId="53" applyFont="1" applyFill="1" applyBorder="1" applyAlignment="1">
      <alignment vertical="center"/>
    </xf>
    <xf numFmtId="43" fontId="35" fillId="2" borderId="4" xfId="53" applyFont="1" applyFill="1" applyBorder="1" applyAlignment="1">
      <alignment vertical="center" wrapText="1"/>
    </xf>
    <xf numFmtId="43" fontId="36" fillId="0" borderId="2" xfId="53" applyFont="1" applyBorder="1" applyAlignment="1">
      <alignment vertical="center"/>
    </xf>
    <xf numFmtId="0" fontId="36" fillId="2" borderId="0" xfId="0" applyFont="1" applyFill="1" applyBorder="1" applyAlignment="1">
      <alignment horizontal="center"/>
    </xf>
    <xf numFmtId="0" fontId="36" fillId="2" borderId="0" xfId="0" applyFont="1" applyFill="1" applyBorder="1" applyAlignment="1">
      <alignment horizontal="center" vertical="center" wrapText="1"/>
    </xf>
    <xf numFmtId="0" fontId="36" fillId="13" borderId="8" xfId="0" applyFont="1" applyFill="1" applyBorder="1" applyAlignment="1">
      <alignment horizontal="center"/>
    </xf>
    <xf numFmtId="0" fontId="36" fillId="13" borderId="9" xfId="0" applyFont="1" applyFill="1" applyBorder="1" applyAlignment="1">
      <alignment horizontal="center"/>
    </xf>
    <xf numFmtId="0" fontId="36" fillId="13" borderId="7" xfId="0" applyFont="1" applyFill="1" applyBorder="1" applyAlignment="1">
      <alignment horizontal="center"/>
    </xf>
    <xf numFmtId="3" fontId="38" fillId="11" borderId="2" xfId="0" applyNumberFormat="1" applyFont="1" applyFill="1" applyBorder="1" applyAlignment="1">
      <alignment horizontal="center" vertical="center" wrapText="1"/>
    </xf>
    <xf numFmtId="3" fontId="38" fillId="7" borderId="2" xfId="53" applyNumberFormat="1" applyFont="1" applyFill="1" applyBorder="1" applyAlignment="1">
      <alignment horizontal="center" vertical="center"/>
    </xf>
    <xf numFmtId="3" fontId="38" fillId="7" borderId="2" xfId="0" applyNumberFormat="1" applyFont="1" applyFill="1" applyBorder="1" applyAlignment="1">
      <alignment horizontal="center" vertical="center" wrapText="1"/>
    </xf>
    <xf numFmtId="0" fontId="36" fillId="14" borderId="2" xfId="0" applyFont="1" applyFill="1" applyBorder="1" applyAlignment="1">
      <alignment horizontal="center" vertical="center"/>
    </xf>
    <xf numFmtId="0" fontId="36" fillId="15" borderId="2" xfId="0" applyFont="1" applyFill="1" applyBorder="1" applyAlignment="1">
      <alignment horizontal="center"/>
    </xf>
    <xf numFmtId="3" fontId="38" fillId="11" borderId="2" xfId="53" applyNumberFormat="1" applyFont="1" applyFill="1" applyBorder="1" applyAlignment="1">
      <alignment horizontal="center" vertical="center"/>
    </xf>
    <xf numFmtId="3" fontId="38" fillId="6" borderId="8" xfId="53" applyNumberFormat="1" applyFont="1" applyFill="1" applyBorder="1" applyAlignment="1">
      <alignment horizontal="center" vertical="center"/>
    </xf>
    <xf numFmtId="3" fontId="38" fillId="6" borderId="9" xfId="53" applyNumberFormat="1" applyFont="1" applyFill="1" applyBorder="1" applyAlignment="1">
      <alignment horizontal="center" vertical="center"/>
    </xf>
    <xf numFmtId="0" fontId="36" fillId="13" borderId="8" xfId="0" applyFont="1" applyFill="1" applyBorder="1" applyAlignment="1">
      <alignment horizontal="center" vertical="center"/>
    </xf>
    <xf numFmtId="0" fontId="36" fillId="13" borderId="9" xfId="0" applyFont="1" applyFill="1" applyBorder="1" applyAlignment="1">
      <alignment horizontal="center" vertical="center"/>
    </xf>
    <xf numFmtId="9" fontId="35" fillId="0" borderId="36"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35" fillId="2" borderId="36"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38" fillId="3" borderId="2" xfId="0" applyFont="1" applyFill="1" applyBorder="1" applyAlignment="1">
      <alignment horizontal="center" vertical="center" wrapText="1"/>
    </xf>
    <xf numFmtId="0" fontId="38" fillId="3" borderId="2" xfId="0" applyNumberFormat="1" applyFont="1" applyFill="1" applyBorder="1" applyAlignment="1">
      <alignment horizontal="center" vertical="center" wrapText="1"/>
    </xf>
    <xf numFmtId="0" fontId="38" fillId="3" borderId="2" xfId="0" applyFont="1" applyFill="1" applyBorder="1" applyAlignment="1">
      <alignment horizontal="center" vertical="center"/>
    </xf>
    <xf numFmtId="0" fontId="35" fillId="0" borderId="3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8" fillId="3" borderId="36"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7" xfId="0" applyFont="1" applyFill="1" applyBorder="1" applyAlignment="1">
      <alignment horizontal="center" vertical="center"/>
    </xf>
    <xf numFmtId="0" fontId="35" fillId="2" borderId="36" xfId="0" applyFont="1" applyFill="1" applyBorder="1" applyAlignment="1">
      <alignment horizontal="center" vertical="center" wrapText="1"/>
    </xf>
    <xf numFmtId="0" fontId="35" fillId="2" borderId="1" xfId="0" applyFont="1" applyFill="1" applyBorder="1" applyAlignment="1">
      <alignment horizontal="center" vertical="center" wrapText="1"/>
    </xf>
    <xf numFmtId="10" fontId="38" fillId="3" borderId="2" xfId="0" applyNumberFormat="1" applyFont="1" applyFill="1" applyBorder="1" applyAlignment="1">
      <alignment horizontal="center" vertical="center" wrapText="1"/>
    </xf>
  </cellXfs>
  <cellStyles count="62890">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0"/>
  <tableStyles count="0" defaultTableStyle="TableStyleMedium2" defaultPivotStyle="PivotStyleLight16"/>
  <colors>
    <mruColors>
      <color rgb="FFCCFF66"/>
      <color rgb="FFFF0000"/>
      <color rgb="FFCC99FF"/>
      <color rgb="FFFF00FF"/>
      <color rgb="FFFFFF66"/>
      <color rgb="FFFF99CC"/>
      <color rgb="FFCCFF99"/>
      <color rgb="FFFF9966"/>
      <color rgb="FF00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140606</xdr:colOff>
      <xdr:row>1</xdr:row>
      <xdr:rowOff>0</xdr:rowOff>
    </xdr:from>
    <xdr:to>
      <xdr:col>4</xdr:col>
      <xdr:colOff>254000</xdr:colOff>
      <xdr:row>6</xdr:row>
      <xdr:rowOff>226785</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481" y="317500"/>
          <a:ext cx="1288144" cy="1397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ownloads/SEGUIMIENTO_PLAN_INDICATIVO_DIC_2016%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P. NDICATIVO"/>
      <sheetName val="EJECICION ESTRATEGIAS"/>
      <sheetName val="% EJECUCION ESTRATEGIAS "/>
      <sheetName val="EJECUCION PROGRAMAS"/>
      <sheetName val="EJECUCION % PROGRAMAS "/>
    </sheetNames>
    <sheetDataSet>
      <sheetData sheetId="0">
        <row r="430">
          <cell r="AA430">
            <v>47919111022</v>
          </cell>
          <cell r="AE430">
            <v>12564576694.639999</v>
          </cell>
          <cell r="AI430">
            <v>1615474143</v>
          </cell>
          <cell r="AM430">
            <v>4987433131</v>
          </cell>
          <cell r="AQ430">
            <v>2248717121</v>
          </cell>
          <cell r="AU430">
            <v>112952913595</v>
          </cell>
          <cell r="AY430">
            <v>11365979119</v>
          </cell>
          <cell r="BC430">
            <v>33076572379</v>
          </cell>
          <cell r="CJ430">
            <v>2341576058.48</v>
          </cell>
          <cell r="CK430">
            <v>123373286491.84402</v>
          </cell>
          <cell r="CL430">
            <v>11457657446.024429</v>
          </cell>
          <cell r="CM430">
            <v>34802379885</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32"/>
  <sheetViews>
    <sheetView showGridLines="0" tabSelected="1" topLeftCell="C1" zoomScale="70" zoomScaleNormal="70" workbookViewId="0">
      <pane xSplit="7" ySplit="9" topLeftCell="BL420" activePane="bottomRight" state="frozen"/>
      <selection activeCell="C1" sqref="C1"/>
      <selection pane="topRight" activeCell="J1" sqref="J1"/>
      <selection pane="bottomLeft" activeCell="C10" sqref="C10"/>
      <selection pane="bottomRight" activeCell="BL425" sqref="BL425"/>
    </sheetView>
  </sheetViews>
  <sheetFormatPr baseColWidth="10" defaultColWidth="11.42578125" defaultRowHeight="24.75" customHeight="1" x14ac:dyDescent="0.2"/>
  <cols>
    <col min="1" max="1" width="9.28515625" style="1" hidden="1" customWidth="1"/>
    <col min="2" max="2" width="18" style="1" hidden="1" customWidth="1"/>
    <col min="3" max="3" width="15.42578125" style="1" customWidth="1"/>
    <col min="4" max="4" width="17.7109375" style="1" customWidth="1"/>
    <col min="5" max="5" width="18.42578125" style="391" customWidth="1"/>
    <col min="6" max="6" width="34.140625" style="1" hidden="1" customWidth="1"/>
    <col min="7" max="7" width="15.28515625" style="1" hidden="1" customWidth="1"/>
    <col min="8" max="8" width="14.28515625" style="1" hidden="1" customWidth="1"/>
    <col min="9" max="9" width="7.5703125" style="392" customWidth="1"/>
    <col min="10" max="10" width="39.7109375" style="404" customWidth="1"/>
    <col min="11" max="11" width="27.85546875" style="404" customWidth="1"/>
    <col min="12" max="12" width="19.28515625" style="405" customWidth="1"/>
    <col min="13" max="13" width="11.85546875" style="406" customWidth="1"/>
    <col min="14" max="14" width="14.28515625" style="393" customWidth="1"/>
    <col min="15" max="16" width="14.28515625" style="394" customWidth="1"/>
    <col min="17" max="17" width="8.85546875" style="393" customWidth="1"/>
    <col min="18" max="18" width="10.5703125" style="394" customWidth="1"/>
    <col min="19" max="19" width="9.42578125" style="394" customWidth="1"/>
    <col min="20" max="20" width="8.5703125" style="394" customWidth="1"/>
    <col min="21" max="21" width="20.7109375" style="395" customWidth="1"/>
    <col min="22" max="22" width="12.140625" style="362" customWidth="1"/>
    <col min="23" max="23" width="17" style="362" customWidth="1"/>
    <col min="24" max="24" width="26.140625" style="396" customWidth="1"/>
    <col min="25" max="25" width="28.28515625" style="397" customWidth="1"/>
    <col min="26" max="26" width="26.28515625" style="398" customWidth="1"/>
    <col min="27" max="27" width="25.140625" style="396" customWidth="1"/>
    <col min="28" max="28" width="24.140625" style="396" customWidth="1"/>
    <col min="29" max="29" width="23.140625" style="396" customWidth="1"/>
    <col min="30" max="30" width="29" style="396" customWidth="1"/>
    <col min="31" max="31" width="28" style="396" customWidth="1"/>
    <col min="32" max="32" width="28.140625" style="396" customWidth="1"/>
    <col min="33" max="33" width="26.28515625" style="399" customWidth="1"/>
    <col min="34" max="39" width="27.5703125" style="400" customWidth="1"/>
    <col min="40" max="40" width="31.140625" style="400" customWidth="1"/>
    <col min="41" max="53" width="27.5703125" style="400" customWidth="1"/>
    <col min="54" max="63" width="27.5703125" style="401" customWidth="1"/>
    <col min="64" max="64" width="31.140625" style="1" customWidth="1"/>
    <col min="65" max="65" width="38.7109375" style="1" customWidth="1"/>
    <col min="66" max="16384" width="11.42578125" style="1"/>
  </cols>
  <sheetData>
    <row r="1" spans="1:64" ht="18" customHeight="1" x14ac:dyDescent="0.25">
      <c r="C1" s="624" t="s">
        <v>0</v>
      </c>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2"/>
    </row>
    <row r="2" spans="1:64" ht="18" customHeight="1" x14ac:dyDescent="0.2">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4" t="s">
        <v>1</v>
      </c>
      <c r="BL2" s="4" t="s">
        <v>937</v>
      </c>
    </row>
    <row r="3" spans="1:64" ht="18" customHeight="1" x14ac:dyDescent="0.2">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c r="BF3" s="624"/>
      <c r="BG3" s="624"/>
      <c r="BH3" s="624"/>
      <c r="BI3" s="624"/>
      <c r="BJ3" s="624"/>
      <c r="BK3" s="4" t="s">
        <v>2</v>
      </c>
      <c r="BL3" s="542">
        <v>5</v>
      </c>
    </row>
    <row r="4" spans="1:64" ht="18" customHeight="1" x14ac:dyDescent="0.2">
      <c r="C4" s="625" t="s">
        <v>939</v>
      </c>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625"/>
      <c r="BH4" s="625"/>
      <c r="BI4" s="625"/>
      <c r="BJ4" s="625"/>
      <c r="BK4" s="5" t="s">
        <v>3</v>
      </c>
      <c r="BL4" s="605" t="s">
        <v>938</v>
      </c>
    </row>
    <row r="5" spans="1:64" ht="18" customHeight="1" x14ac:dyDescent="0.2">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4" t="s">
        <v>4</v>
      </c>
      <c r="BL5" s="4" t="s">
        <v>5</v>
      </c>
    </row>
    <row r="6" spans="1:64" ht="18" customHeight="1" x14ac:dyDescent="0.2">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04"/>
      <c r="BL6" s="6"/>
    </row>
    <row r="7" spans="1:64" ht="24.75" customHeight="1" x14ac:dyDescent="0.25">
      <c r="C7" s="2"/>
      <c r="D7" s="2"/>
      <c r="E7" s="2"/>
      <c r="F7" s="626" t="s">
        <v>929</v>
      </c>
      <c r="G7" s="627"/>
      <c r="H7" s="627"/>
      <c r="I7" s="627"/>
      <c r="J7" s="627"/>
      <c r="K7" s="627"/>
      <c r="L7" s="627"/>
      <c r="M7" s="627"/>
      <c r="N7" s="627"/>
      <c r="O7" s="627"/>
      <c r="P7" s="627"/>
      <c r="Q7" s="627"/>
      <c r="R7" s="627"/>
      <c r="S7" s="627"/>
      <c r="T7" s="627"/>
      <c r="U7" s="627"/>
      <c r="V7" s="627"/>
      <c r="W7" s="628"/>
      <c r="X7" s="637" t="s">
        <v>6</v>
      </c>
      <c r="Y7" s="638"/>
      <c r="Z7" s="638"/>
      <c r="AA7" s="638"/>
      <c r="AB7" s="638"/>
      <c r="AC7" s="638"/>
      <c r="AD7" s="638"/>
      <c r="AE7" s="638"/>
      <c r="AF7" s="638"/>
      <c r="AG7" s="638"/>
      <c r="AH7" s="635" t="s">
        <v>7</v>
      </c>
      <c r="AI7" s="636"/>
      <c r="AJ7" s="636"/>
      <c r="AK7" s="636"/>
      <c r="AL7" s="636"/>
      <c r="AM7" s="636"/>
      <c r="AN7" s="636"/>
      <c r="AO7" s="636"/>
      <c r="AP7" s="636"/>
      <c r="AQ7" s="636"/>
      <c r="AR7" s="632" t="s">
        <v>8</v>
      </c>
      <c r="AS7" s="632"/>
      <c r="AT7" s="632"/>
      <c r="AU7" s="632"/>
      <c r="AV7" s="632"/>
      <c r="AW7" s="632"/>
      <c r="AX7" s="632"/>
      <c r="AY7" s="632"/>
      <c r="AZ7" s="632"/>
      <c r="BA7" s="632"/>
      <c r="BB7" s="633" t="s">
        <v>9</v>
      </c>
      <c r="BC7" s="633"/>
      <c r="BD7" s="633"/>
      <c r="BE7" s="633"/>
      <c r="BF7" s="633"/>
      <c r="BG7" s="633"/>
      <c r="BH7" s="633"/>
      <c r="BI7" s="633"/>
      <c r="BJ7" s="633"/>
      <c r="BK7" s="633"/>
      <c r="BL7" s="631" t="s">
        <v>928</v>
      </c>
    </row>
    <row r="8" spans="1:64" s="7" customFormat="1" ht="38.25" customHeight="1" x14ac:dyDescent="0.25">
      <c r="A8" s="648" t="s">
        <v>11</v>
      </c>
      <c r="B8" s="650" t="s">
        <v>12</v>
      </c>
      <c r="C8" s="653" t="s">
        <v>13</v>
      </c>
      <c r="D8" s="654"/>
      <c r="E8" s="655"/>
      <c r="F8" s="651" t="s">
        <v>14</v>
      </c>
      <c r="G8" s="644" t="s">
        <v>15</v>
      </c>
      <c r="H8" s="644" t="s">
        <v>16</v>
      </c>
      <c r="I8" s="645" t="s">
        <v>17</v>
      </c>
      <c r="J8" s="645"/>
      <c r="K8" s="643" t="s">
        <v>18</v>
      </c>
      <c r="L8" s="643" t="s">
        <v>19</v>
      </c>
      <c r="M8" s="643" t="s">
        <v>20</v>
      </c>
      <c r="N8" s="644" t="s">
        <v>21</v>
      </c>
      <c r="O8" s="644" t="s">
        <v>22</v>
      </c>
      <c r="P8" s="644" t="s">
        <v>23</v>
      </c>
      <c r="Q8" s="598">
        <v>2016</v>
      </c>
      <c r="R8" s="598">
        <v>2017</v>
      </c>
      <c r="S8" s="644">
        <v>2018</v>
      </c>
      <c r="T8" s="644">
        <v>2019</v>
      </c>
      <c r="U8" s="658" t="s">
        <v>24</v>
      </c>
      <c r="V8" s="644" t="s">
        <v>25</v>
      </c>
      <c r="W8" s="644" t="s">
        <v>26</v>
      </c>
      <c r="X8" s="593" t="s">
        <v>27</v>
      </c>
      <c r="Y8" s="593" t="s">
        <v>28</v>
      </c>
      <c r="Z8" s="593" t="s">
        <v>29</v>
      </c>
      <c r="AA8" s="593" t="s">
        <v>30</v>
      </c>
      <c r="AB8" s="601" t="s">
        <v>31</v>
      </c>
      <c r="AC8" s="597" t="s">
        <v>32</v>
      </c>
      <c r="AD8" s="593" t="s">
        <v>33</v>
      </c>
      <c r="AE8" s="593" t="s">
        <v>34</v>
      </c>
      <c r="AF8" s="593" t="s">
        <v>35</v>
      </c>
      <c r="AG8" s="593" t="s">
        <v>36</v>
      </c>
      <c r="AH8" s="594" t="s">
        <v>27</v>
      </c>
      <c r="AI8" s="594" t="s">
        <v>28</v>
      </c>
      <c r="AJ8" s="594" t="s">
        <v>29</v>
      </c>
      <c r="AK8" s="594" t="s">
        <v>30</v>
      </c>
      <c r="AL8" s="595" t="s">
        <v>31</v>
      </c>
      <c r="AM8" s="596" t="s">
        <v>32</v>
      </c>
      <c r="AN8" s="596" t="s">
        <v>33</v>
      </c>
      <c r="AO8" s="596" t="s">
        <v>34</v>
      </c>
      <c r="AP8" s="596" t="s">
        <v>35</v>
      </c>
      <c r="AQ8" s="596" t="s">
        <v>37</v>
      </c>
      <c r="AR8" s="630" t="s">
        <v>27</v>
      </c>
      <c r="AS8" s="630" t="s">
        <v>28</v>
      </c>
      <c r="AT8" s="630" t="s">
        <v>29</v>
      </c>
      <c r="AU8" s="630" t="s">
        <v>38</v>
      </c>
      <c r="AV8" s="631" t="s">
        <v>31</v>
      </c>
      <c r="AW8" s="631" t="s">
        <v>32</v>
      </c>
      <c r="AX8" s="631" t="s">
        <v>33</v>
      </c>
      <c r="AY8" s="631" t="s">
        <v>34</v>
      </c>
      <c r="AZ8" s="631" t="s">
        <v>35</v>
      </c>
      <c r="BA8" s="631" t="s">
        <v>10</v>
      </c>
      <c r="BB8" s="634" t="s">
        <v>27</v>
      </c>
      <c r="BC8" s="634" t="s">
        <v>28</v>
      </c>
      <c r="BD8" s="634" t="s">
        <v>29</v>
      </c>
      <c r="BE8" s="634" t="s">
        <v>38</v>
      </c>
      <c r="BF8" s="629" t="s">
        <v>31</v>
      </c>
      <c r="BG8" s="629" t="s">
        <v>32</v>
      </c>
      <c r="BH8" s="629" t="s">
        <v>33</v>
      </c>
      <c r="BI8" s="629" t="s">
        <v>34</v>
      </c>
      <c r="BJ8" s="629" t="s">
        <v>35</v>
      </c>
      <c r="BK8" s="629" t="s">
        <v>39</v>
      </c>
      <c r="BL8" s="631"/>
    </row>
    <row r="9" spans="1:64" s="7" customFormat="1" ht="24.75" customHeight="1" x14ac:dyDescent="0.25">
      <c r="A9" s="649"/>
      <c r="B9" s="650"/>
      <c r="C9" s="8" t="s">
        <v>40</v>
      </c>
      <c r="D9" s="9" t="s">
        <v>41</v>
      </c>
      <c r="E9" s="10" t="s">
        <v>42</v>
      </c>
      <c r="F9" s="652"/>
      <c r="G9" s="644"/>
      <c r="H9" s="644"/>
      <c r="I9" s="645"/>
      <c r="J9" s="645"/>
      <c r="K9" s="643"/>
      <c r="L9" s="643"/>
      <c r="M9" s="643"/>
      <c r="N9" s="644"/>
      <c r="O9" s="644"/>
      <c r="P9" s="644"/>
      <c r="Q9" s="527" t="s">
        <v>43</v>
      </c>
      <c r="R9" s="527" t="s">
        <v>43</v>
      </c>
      <c r="S9" s="644"/>
      <c r="T9" s="644"/>
      <c r="U9" s="658"/>
      <c r="V9" s="644"/>
      <c r="W9" s="644"/>
      <c r="X9" s="11" t="s">
        <v>44</v>
      </c>
      <c r="Y9" s="12" t="s">
        <v>44</v>
      </c>
      <c r="Z9" s="13" t="s">
        <v>44</v>
      </c>
      <c r="AA9" s="11" t="s">
        <v>44</v>
      </c>
      <c r="AB9" s="11" t="s">
        <v>44</v>
      </c>
      <c r="AC9" s="11" t="s">
        <v>44</v>
      </c>
      <c r="AD9" s="11" t="s">
        <v>44</v>
      </c>
      <c r="AE9" s="11" t="s">
        <v>44</v>
      </c>
      <c r="AF9" s="11" t="s">
        <v>44</v>
      </c>
      <c r="AG9" s="14" t="s">
        <v>44</v>
      </c>
      <c r="AH9" s="15" t="s">
        <v>44</v>
      </c>
      <c r="AI9" s="15" t="s">
        <v>44</v>
      </c>
      <c r="AJ9" s="15" t="s">
        <v>44</v>
      </c>
      <c r="AK9" s="15" t="s">
        <v>44</v>
      </c>
      <c r="AL9" s="15" t="s">
        <v>44</v>
      </c>
      <c r="AM9" s="15" t="s">
        <v>44</v>
      </c>
      <c r="AN9" s="15" t="s">
        <v>44</v>
      </c>
      <c r="AO9" s="15" t="s">
        <v>44</v>
      </c>
      <c r="AP9" s="15" t="s">
        <v>44</v>
      </c>
      <c r="AQ9" s="15" t="s">
        <v>44</v>
      </c>
      <c r="AR9" s="630"/>
      <c r="AS9" s="630"/>
      <c r="AT9" s="630"/>
      <c r="AU9" s="630"/>
      <c r="AV9" s="631"/>
      <c r="AW9" s="631"/>
      <c r="AX9" s="631"/>
      <c r="AY9" s="631"/>
      <c r="AZ9" s="631"/>
      <c r="BA9" s="631"/>
      <c r="BB9" s="634"/>
      <c r="BC9" s="634"/>
      <c r="BD9" s="634"/>
      <c r="BE9" s="634"/>
      <c r="BF9" s="629"/>
      <c r="BG9" s="629"/>
      <c r="BH9" s="629"/>
      <c r="BI9" s="629"/>
      <c r="BJ9" s="629"/>
      <c r="BK9" s="629"/>
      <c r="BL9" s="631"/>
    </row>
    <row r="10" spans="1:64" s="7" customFormat="1" ht="24.75" customHeight="1" x14ac:dyDescent="0.25">
      <c r="A10" s="17"/>
      <c r="B10" s="18"/>
      <c r="C10" s="19">
        <v>1</v>
      </c>
      <c r="D10" s="20" t="s">
        <v>45</v>
      </c>
      <c r="E10" s="21"/>
      <c r="F10" s="22"/>
      <c r="G10" s="22"/>
      <c r="H10" s="22"/>
      <c r="I10" s="21"/>
      <c r="J10" s="22"/>
      <c r="K10" s="22"/>
      <c r="L10" s="23"/>
      <c r="M10" s="21"/>
      <c r="N10" s="24"/>
      <c r="O10" s="22"/>
      <c r="P10" s="22"/>
      <c r="Q10" s="25"/>
      <c r="R10" s="22"/>
      <c r="S10" s="22"/>
      <c r="T10" s="21"/>
      <c r="U10" s="26"/>
      <c r="V10" s="21"/>
      <c r="W10" s="21"/>
      <c r="X10" s="27">
        <f t="shared" ref="X10:AF10" si="0">X11</f>
        <v>0</v>
      </c>
      <c r="Y10" s="27">
        <f t="shared" si="0"/>
        <v>0</v>
      </c>
      <c r="Z10" s="27">
        <f t="shared" si="0"/>
        <v>849366350</v>
      </c>
      <c r="AA10" s="27">
        <f t="shared" si="0"/>
        <v>0</v>
      </c>
      <c r="AB10" s="27">
        <f t="shared" si="0"/>
        <v>0</v>
      </c>
      <c r="AC10" s="27">
        <f t="shared" si="0"/>
        <v>2248717121</v>
      </c>
      <c r="AD10" s="27">
        <f t="shared" si="0"/>
        <v>0</v>
      </c>
      <c r="AE10" s="27">
        <f t="shared" si="0"/>
        <v>0</v>
      </c>
      <c r="AF10" s="27">
        <f t="shared" si="0"/>
        <v>1379572379</v>
      </c>
      <c r="AG10" s="28">
        <f>AG11</f>
        <v>4477655850</v>
      </c>
      <c r="AH10" s="27">
        <f t="shared" ref="AH10:AQ10" si="1">AH11</f>
        <v>0</v>
      </c>
      <c r="AI10" s="27">
        <f t="shared" si="1"/>
        <v>0</v>
      </c>
      <c r="AJ10" s="27">
        <f t="shared" si="1"/>
        <v>698591884.66919994</v>
      </c>
      <c r="AK10" s="27">
        <f t="shared" si="1"/>
        <v>0</v>
      </c>
      <c r="AL10" s="27">
        <f t="shared" si="1"/>
        <v>0</v>
      </c>
      <c r="AM10" s="27">
        <f t="shared" si="1"/>
        <v>2207217417.7399998</v>
      </c>
      <c r="AN10" s="27">
        <f t="shared" si="1"/>
        <v>0</v>
      </c>
      <c r="AO10" s="27">
        <f t="shared" si="1"/>
        <v>0</v>
      </c>
      <c r="AP10" s="27">
        <f t="shared" si="1"/>
        <v>1000000000</v>
      </c>
      <c r="AQ10" s="27">
        <f t="shared" si="1"/>
        <v>3905809302.4091997</v>
      </c>
      <c r="AR10" s="29"/>
      <c r="AS10" s="29"/>
      <c r="AT10" s="29"/>
      <c r="AU10" s="29"/>
      <c r="AV10" s="29"/>
      <c r="AW10" s="29"/>
      <c r="AX10" s="29"/>
      <c r="AY10" s="29"/>
      <c r="AZ10" s="29"/>
      <c r="BA10" s="27">
        <f t="shared" ref="BA10" si="2">BA11</f>
        <v>10823833477.481499</v>
      </c>
      <c r="BB10" s="29"/>
      <c r="BC10" s="29"/>
      <c r="BD10" s="29"/>
      <c r="BE10" s="29"/>
      <c r="BF10" s="29"/>
      <c r="BG10" s="29"/>
      <c r="BH10" s="29"/>
      <c r="BI10" s="29"/>
      <c r="BJ10" s="29"/>
      <c r="BK10" s="27">
        <f t="shared" ref="BK10:BL10" si="3">BK11</f>
        <v>4990465088.4799995</v>
      </c>
      <c r="BL10" s="27">
        <f t="shared" si="3"/>
        <v>24197763718.370697</v>
      </c>
    </row>
    <row r="11" spans="1:64" s="7" customFormat="1" ht="24.75" customHeight="1" x14ac:dyDescent="0.25">
      <c r="A11" s="17"/>
      <c r="B11" s="18"/>
      <c r="C11" s="407"/>
      <c r="D11" s="30">
        <v>1</v>
      </c>
      <c r="E11" s="31" t="s">
        <v>46</v>
      </c>
      <c r="F11" s="32"/>
      <c r="G11" s="33"/>
      <c r="H11" s="33"/>
      <c r="I11" s="34"/>
      <c r="J11" s="35"/>
      <c r="K11" s="35"/>
      <c r="L11" s="36"/>
      <c r="M11" s="34"/>
      <c r="N11" s="37"/>
      <c r="O11" s="35"/>
      <c r="P11" s="35"/>
      <c r="Q11" s="38"/>
      <c r="R11" s="35"/>
      <c r="S11" s="35"/>
      <c r="T11" s="34"/>
      <c r="U11" s="39"/>
      <c r="V11" s="34"/>
      <c r="W11" s="34"/>
      <c r="X11" s="40">
        <f t="shared" ref="X11:AE11" si="4">X12+X19+X27</f>
        <v>0</v>
      </c>
      <c r="Y11" s="40">
        <f t="shared" si="4"/>
        <v>0</v>
      </c>
      <c r="Z11" s="40">
        <f t="shared" si="4"/>
        <v>849366350</v>
      </c>
      <c r="AA11" s="40">
        <f t="shared" si="4"/>
        <v>0</v>
      </c>
      <c r="AB11" s="40">
        <f t="shared" si="4"/>
        <v>0</v>
      </c>
      <c r="AC11" s="40">
        <f t="shared" si="4"/>
        <v>2248717121</v>
      </c>
      <c r="AD11" s="40">
        <f t="shared" si="4"/>
        <v>0</v>
      </c>
      <c r="AE11" s="40">
        <f t="shared" si="4"/>
        <v>0</v>
      </c>
      <c r="AF11" s="40">
        <f t="shared" ref="AF11:AG11" si="5">AF12+AF19+AF27</f>
        <v>1379572379</v>
      </c>
      <c r="AG11" s="41">
        <f t="shared" si="5"/>
        <v>4477655850</v>
      </c>
      <c r="AH11" s="40">
        <f t="shared" ref="AH11:AQ11" si="6">AH12+AH19+AH27</f>
        <v>0</v>
      </c>
      <c r="AI11" s="40">
        <f t="shared" si="6"/>
        <v>0</v>
      </c>
      <c r="AJ11" s="40">
        <f t="shared" si="6"/>
        <v>698591884.66919994</v>
      </c>
      <c r="AK11" s="40">
        <f t="shared" si="6"/>
        <v>0</v>
      </c>
      <c r="AL11" s="40">
        <f t="shared" si="6"/>
        <v>0</v>
      </c>
      <c r="AM11" s="40">
        <f t="shared" si="6"/>
        <v>2207217417.7399998</v>
      </c>
      <c r="AN11" s="40">
        <f t="shared" si="6"/>
        <v>0</v>
      </c>
      <c r="AO11" s="40">
        <f t="shared" si="6"/>
        <v>0</v>
      </c>
      <c r="AP11" s="40">
        <f t="shared" si="6"/>
        <v>1000000000</v>
      </c>
      <c r="AQ11" s="40">
        <f t="shared" si="6"/>
        <v>3905809302.4091997</v>
      </c>
      <c r="AR11" s="42"/>
      <c r="AS11" s="42"/>
      <c r="AT11" s="42"/>
      <c r="AU11" s="42"/>
      <c r="AV11" s="42"/>
      <c r="AW11" s="42"/>
      <c r="AX11" s="42"/>
      <c r="AY11" s="42"/>
      <c r="AZ11" s="42"/>
      <c r="BA11" s="40">
        <f t="shared" ref="BA11" si="7">BA12+BA19+BA27</f>
        <v>10823833477.481499</v>
      </c>
      <c r="BB11" s="42"/>
      <c r="BC11" s="42"/>
      <c r="BD11" s="42"/>
      <c r="BE11" s="42"/>
      <c r="BF11" s="42"/>
      <c r="BG11" s="42"/>
      <c r="BH11" s="42"/>
      <c r="BI11" s="42"/>
      <c r="BJ11" s="42"/>
      <c r="BK11" s="40">
        <f t="shared" ref="BK11" si="8">BK12+BK19+BK27</f>
        <v>4990465088.4799995</v>
      </c>
      <c r="BL11" s="40">
        <f t="shared" ref="BL11" si="9">BL12+BL19+BL27</f>
        <v>24197763718.370697</v>
      </c>
    </row>
    <row r="12" spans="1:64" s="7" customFormat="1" ht="24.75" customHeight="1" x14ac:dyDescent="0.25">
      <c r="A12" s="17"/>
      <c r="B12" s="18"/>
      <c r="C12" s="43"/>
      <c r="D12" s="407"/>
      <c r="E12" s="44">
        <v>1</v>
      </c>
      <c r="F12" s="45" t="s">
        <v>47</v>
      </c>
      <c r="G12" s="46"/>
      <c r="H12" s="45"/>
      <c r="I12" s="47"/>
      <c r="J12" s="48"/>
      <c r="K12" s="48"/>
      <c r="L12" s="47"/>
      <c r="M12" s="49"/>
      <c r="N12" s="50"/>
      <c r="O12" s="48"/>
      <c r="P12" s="48"/>
      <c r="Q12" s="51"/>
      <c r="R12" s="48"/>
      <c r="S12" s="48"/>
      <c r="T12" s="49"/>
      <c r="U12" s="52"/>
      <c r="V12" s="49"/>
      <c r="W12" s="49"/>
      <c r="X12" s="53">
        <f t="shared" ref="X12:AE12" si="10">SUM(X13:X18)</f>
        <v>0</v>
      </c>
      <c r="Y12" s="53">
        <f t="shared" si="10"/>
        <v>0</v>
      </c>
      <c r="Z12" s="53">
        <f t="shared" si="10"/>
        <v>80000000</v>
      </c>
      <c r="AA12" s="53">
        <f t="shared" si="10"/>
        <v>0</v>
      </c>
      <c r="AB12" s="53">
        <f t="shared" si="10"/>
        <v>0</v>
      </c>
      <c r="AC12" s="53">
        <f t="shared" si="10"/>
        <v>0</v>
      </c>
      <c r="AD12" s="53">
        <f t="shared" si="10"/>
        <v>0</v>
      </c>
      <c r="AE12" s="53">
        <f t="shared" si="10"/>
        <v>0</v>
      </c>
      <c r="AF12" s="53">
        <f t="shared" ref="AF12:AG12" si="11">SUM(AF13:AF18)</f>
        <v>1379572379</v>
      </c>
      <c r="AG12" s="54">
        <f t="shared" si="11"/>
        <v>1459572379</v>
      </c>
      <c r="AH12" s="53">
        <f t="shared" ref="AH12:AQ12" si="12">SUM(AH13:AH18)</f>
        <v>0</v>
      </c>
      <c r="AI12" s="53">
        <f t="shared" si="12"/>
        <v>0</v>
      </c>
      <c r="AJ12" s="53">
        <f t="shared" si="12"/>
        <v>60000000</v>
      </c>
      <c r="AK12" s="53">
        <f t="shared" si="12"/>
        <v>0</v>
      </c>
      <c r="AL12" s="53">
        <f t="shared" si="12"/>
        <v>0</v>
      </c>
      <c r="AM12" s="53">
        <f t="shared" si="12"/>
        <v>0</v>
      </c>
      <c r="AN12" s="53">
        <f t="shared" si="12"/>
        <v>0</v>
      </c>
      <c r="AO12" s="53">
        <f t="shared" si="12"/>
        <v>0</v>
      </c>
      <c r="AP12" s="53">
        <f t="shared" si="12"/>
        <v>1000000000</v>
      </c>
      <c r="AQ12" s="53">
        <f t="shared" si="12"/>
        <v>1060000000</v>
      </c>
      <c r="AR12" s="55"/>
      <c r="AS12" s="55"/>
      <c r="AT12" s="55"/>
      <c r="AU12" s="55"/>
      <c r="AV12" s="55"/>
      <c r="AW12" s="55"/>
      <c r="AX12" s="55"/>
      <c r="AY12" s="55"/>
      <c r="AZ12" s="55"/>
      <c r="BA12" s="53">
        <f t="shared" ref="BA12" si="13">SUM(BA13:BA18)</f>
        <v>7934449896</v>
      </c>
      <c r="BB12" s="55"/>
      <c r="BC12" s="55"/>
      <c r="BD12" s="55"/>
      <c r="BE12" s="55"/>
      <c r="BF12" s="55"/>
      <c r="BG12" s="55"/>
      <c r="BH12" s="55"/>
      <c r="BI12" s="55"/>
      <c r="BJ12" s="55"/>
      <c r="BK12" s="53">
        <f t="shared" ref="BK12" si="14">SUM(BK13:BK18)</f>
        <v>2015000000</v>
      </c>
      <c r="BL12" s="53">
        <f t="shared" ref="BL12" si="15">SUM(BL13:BL18)</f>
        <v>12469022275</v>
      </c>
    </row>
    <row r="13" spans="1:64" s="73" customFormat="1" ht="74.25" customHeight="1" x14ac:dyDescent="0.25">
      <c r="A13" s="56">
        <v>1</v>
      </c>
      <c r="B13" s="56">
        <v>1</v>
      </c>
      <c r="C13" s="43"/>
      <c r="D13" s="43"/>
      <c r="E13" s="510">
        <v>1</v>
      </c>
      <c r="F13" s="57" t="s">
        <v>48</v>
      </c>
      <c r="G13" s="491" t="s">
        <v>49</v>
      </c>
      <c r="H13" s="58" t="s">
        <v>50</v>
      </c>
      <c r="I13" s="59">
        <v>1</v>
      </c>
      <c r="J13" s="60" t="s">
        <v>51</v>
      </c>
      <c r="K13" s="57" t="s">
        <v>52</v>
      </c>
      <c r="L13" s="61" t="s">
        <v>53</v>
      </c>
      <c r="M13" s="61">
        <v>10</v>
      </c>
      <c r="N13" s="62" t="s">
        <v>54</v>
      </c>
      <c r="O13" s="63">
        <v>0</v>
      </c>
      <c r="P13" s="63">
        <v>1</v>
      </c>
      <c r="Q13" s="64">
        <v>1</v>
      </c>
      <c r="R13" s="65">
        <v>1</v>
      </c>
      <c r="S13" s="65">
        <v>1</v>
      </c>
      <c r="T13" s="62">
        <v>1</v>
      </c>
      <c r="U13" s="66">
        <f>AG13/$AG$12</f>
        <v>2.055396527889488E-2</v>
      </c>
      <c r="V13" s="67">
        <v>15</v>
      </c>
      <c r="W13" s="68" t="s">
        <v>55</v>
      </c>
      <c r="X13" s="69"/>
      <c r="Y13" s="69"/>
      <c r="Z13" s="69">
        <v>30000000</v>
      </c>
      <c r="AA13" s="69"/>
      <c r="AB13" s="69"/>
      <c r="AC13" s="69"/>
      <c r="AD13" s="69"/>
      <c r="AE13" s="69"/>
      <c r="AF13" s="69"/>
      <c r="AG13" s="69">
        <f t="shared" ref="AG13:AG18" si="16">+X13+Y13+Z13+AA13+AB13+AC13+AD13+AE13+AF13</f>
        <v>30000000</v>
      </c>
      <c r="AH13" s="71"/>
      <c r="AI13" s="71"/>
      <c r="AJ13" s="71">
        <v>22500000</v>
      </c>
      <c r="AK13" s="71"/>
      <c r="AL13" s="71"/>
      <c r="AM13" s="71"/>
      <c r="AN13" s="71"/>
      <c r="AO13" s="71"/>
      <c r="AP13" s="71"/>
      <c r="AQ13" s="71">
        <f t="shared" ref="AQ13:AQ18" si="17">AH13+AI13+AJ13+AK13+AL13+AM13+AN13+AO13+AP13</f>
        <v>22500000</v>
      </c>
      <c r="AR13" s="71"/>
      <c r="AS13" s="71"/>
      <c r="AT13" s="71">
        <v>11250000</v>
      </c>
      <c r="AU13" s="71"/>
      <c r="AV13" s="71"/>
      <c r="AW13" s="71"/>
      <c r="AX13" s="71"/>
      <c r="AY13" s="71"/>
      <c r="AZ13" s="71"/>
      <c r="BA13" s="71">
        <f t="shared" ref="BA13:BA18" si="18">SUM(AR13:AZ13)</f>
        <v>11250000</v>
      </c>
      <c r="BB13" s="71"/>
      <c r="BC13" s="71"/>
      <c r="BD13" s="71">
        <v>7525000</v>
      </c>
      <c r="BE13" s="71"/>
      <c r="BF13" s="71"/>
      <c r="BG13" s="71"/>
      <c r="BH13" s="71"/>
      <c r="BI13" s="71"/>
      <c r="BJ13" s="71"/>
      <c r="BK13" s="71">
        <f t="shared" ref="BK13:BK18" si="19">SUM(BB13:BJ13)</f>
        <v>7525000</v>
      </c>
      <c r="BL13" s="603">
        <f>AG13+AQ13+BA13+BK13</f>
        <v>71275000</v>
      </c>
    </row>
    <row r="14" spans="1:64" ht="132" customHeight="1" x14ac:dyDescent="0.2">
      <c r="A14" s="74">
        <v>2</v>
      </c>
      <c r="B14" s="56">
        <v>1</v>
      </c>
      <c r="C14" s="43"/>
      <c r="D14" s="43"/>
      <c r="E14" s="510"/>
      <c r="F14" s="641" t="s">
        <v>56</v>
      </c>
      <c r="G14" s="75" t="s">
        <v>57</v>
      </c>
      <c r="H14" s="75" t="s">
        <v>58</v>
      </c>
      <c r="I14" s="59">
        <v>2</v>
      </c>
      <c r="J14" s="60" t="s">
        <v>59</v>
      </c>
      <c r="K14" s="57" t="s">
        <v>60</v>
      </c>
      <c r="L14" s="61" t="s">
        <v>53</v>
      </c>
      <c r="M14" s="61">
        <v>10</v>
      </c>
      <c r="N14" s="76" t="s">
        <v>54</v>
      </c>
      <c r="O14" s="63">
        <v>3</v>
      </c>
      <c r="P14" s="63">
        <v>4</v>
      </c>
      <c r="Q14" s="77">
        <v>4</v>
      </c>
      <c r="R14" s="63">
        <v>4</v>
      </c>
      <c r="S14" s="63">
        <v>4</v>
      </c>
      <c r="T14" s="76">
        <v>4</v>
      </c>
      <c r="U14" s="66">
        <f>AG14/$AG$12</f>
        <v>6.8513217596316272E-3</v>
      </c>
      <c r="V14" s="67">
        <v>15</v>
      </c>
      <c r="W14" s="68" t="s">
        <v>55</v>
      </c>
      <c r="X14" s="69"/>
      <c r="Y14" s="69"/>
      <c r="Z14" s="69">
        <v>10000000</v>
      </c>
      <c r="AA14" s="69"/>
      <c r="AB14" s="69"/>
      <c r="AC14" s="69"/>
      <c r="AD14" s="69"/>
      <c r="AE14" s="69"/>
      <c r="AF14" s="69"/>
      <c r="AG14" s="69">
        <f t="shared" si="16"/>
        <v>10000000</v>
      </c>
      <c r="AH14" s="78"/>
      <c r="AI14" s="78"/>
      <c r="AJ14" s="71">
        <v>7500000</v>
      </c>
      <c r="AK14" s="71"/>
      <c r="AL14" s="78"/>
      <c r="AM14" s="78"/>
      <c r="AN14" s="78"/>
      <c r="AO14" s="78"/>
      <c r="AP14" s="78"/>
      <c r="AQ14" s="71">
        <f t="shared" si="17"/>
        <v>7500000</v>
      </c>
      <c r="AR14" s="71"/>
      <c r="AS14" s="71"/>
      <c r="AT14" s="71">
        <v>3750000</v>
      </c>
      <c r="AU14" s="71"/>
      <c r="AV14" s="71"/>
      <c r="AW14" s="71"/>
      <c r="AX14" s="71"/>
      <c r="AY14" s="71"/>
      <c r="AZ14" s="71"/>
      <c r="BA14" s="71">
        <f t="shared" si="18"/>
        <v>3750000</v>
      </c>
      <c r="BB14" s="71"/>
      <c r="BC14" s="71"/>
      <c r="BD14" s="71">
        <v>1875000</v>
      </c>
      <c r="BE14" s="71"/>
      <c r="BF14" s="71"/>
      <c r="BG14" s="71"/>
      <c r="BH14" s="71"/>
      <c r="BI14" s="71"/>
      <c r="BJ14" s="71"/>
      <c r="BK14" s="71">
        <f t="shared" si="19"/>
        <v>1875000</v>
      </c>
      <c r="BL14" s="603">
        <f>AG14+AQ14+BA14+BK14</f>
        <v>23125000</v>
      </c>
    </row>
    <row r="15" spans="1:64" ht="154.5" customHeight="1" x14ac:dyDescent="0.2">
      <c r="A15" s="56">
        <v>3</v>
      </c>
      <c r="B15" s="56">
        <v>1</v>
      </c>
      <c r="C15" s="43"/>
      <c r="D15" s="43"/>
      <c r="E15" s="506">
        <v>4</v>
      </c>
      <c r="F15" s="642"/>
      <c r="G15" s="58"/>
      <c r="H15" s="58"/>
      <c r="I15" s="59">
        <v>3</v>
      </c>
      <c r="J15" s="60" t="s">
        <v>62</v>
      </c>
      <c r="K15" s="57" t="s">
        <v>63</v>
      </c>
      <c r="L15" s="61" t="s">
        <v>53</v>
      </c>
      <c r="M15" s="61">
        <v>10</v>
      </c>
      <c r="N15" s="62" t="s">
        <v>54</v>
      </c>
      <c r="O15" s="63">
        <v>1</v>
      </c>
      <c r="P15" s="63">
        <v>1</v>
      </c>
      <c r="Q15" s="64">
        <v>1</v>
      </c>
      <c r="R15" s="65">
        <v>1</v>
      </c>
      <c r="S15" s="65">
        <v>1</v>
      </c>
      <c r="T15" s="62">
        <v>1</v>
      </c>
      <c r="U15" s="66">
        <f>AG15/$AG$12</f>
        <v>0.9554664085623944</v>
      </c>
      <c r="V15" s="67">
        <v>15</v>
      </c>
      <c r="W15" s="68" t="s">
        <v>55</v>
      </c>
      <c r="X15" s="69"/>
      <c r="Y15" s="69"/>
      <c r="Z15" s="69">
        <v>15000000</v>
      </c>
      <c r="AA15" s="69"/>
      <c r="AB15" s="69"/>
      <c r="AC15" s="69"/>
      <c r="AD15" s="69"/>
      <c r="AE15" s="69"/>
      <c r="AF15" s="69">
        <f>1394572379-15000000</f>
        <v>1379572379</v>
      </c>
      <c r="AG15" s="69">
        <f t="shared" si="16"/>
        <v>1394572379</v>
      </c>
      <c r="AH15" s="78"/>
      <c r="AI15" s="78"/>
      <c r="AJ15" s="71">
        <v>11250000</v>
      </c>
      <c r="AK15" s="71"/>
      <c r="AL15" s="78"/>
      <c r="AM15" s="78"/>
      <c r="AN15" s="78"/>
      <c r="AO15" s="78"/>
      <c r="AP15" s="78"/>
      <c r="AQ15" s="71">
        <f t="shared" si="17"/>
        <v>11250000</v>
      </c>
      <c r="AR15" s="71"/>
      <c r="AS15" s="71"/>
      <c r="AT15" s="71">
        <v>5625000</v>
      </c>
      <c r="AU15" s="71"/>
      <c r="AV15" s="71"/>
      <c r="AW15" s="71"/>
      <c r="AX15" s="71"/>
      <c r="AY15" s="71"/>
      <c r="AZ15" s="71"/>
      <c r="BA15" s="71">
        <f t="shared" si="18"/>
        <v>5625000</v>
      </c>
      <c r="BB15" s="71"/>
      <c r="BC15" s="71"/>
      <c r="BD15" s="71">
        <v>2800000</v>
      </c>
      <c r="BE15" s="71"/>
      <c r="BF15" s="71"/>
      <c r="BG15" s="71"/>
      <c r="BH15" s="71"/>
      <c r="BI15" s="71"/>
      <c r="BJ15" s="71"/>
      <c r="BK15" s="71">
        <f t="shared" si="19"/>
        <v>2800000</v>
      </c>
      <c r="BL15" s="603">
        <f>AG15+AQ15+BA15+BK15</f>
        <v>1414247379</v>
      </c>
    </row>
    <row r="16" spans="1:64" ht="74.25" customHeight="1" x14ac:dyDescent="0.2">
      <c r="A16" s="74">
        <v>4</v>
      </c>
      <c r="B16" s="56">
        <v>1</v>
      </c>
      <c r="C16" s="43"/>
      <c r="D16" s="43"/>
      <c r="E16" s="79">
        <v>1</v>
      </c>
      <c r="F16" s="516" t="s">
        <v>48</v>
      </c>
      <c r="G16" s="491" t="s">
        <v>49</v>
      </c>
      <c r="H16" s="408" t="s">
        <v>50</v>
      </c>
      <c r="I16" s="59">
        <v>4</v>
      </c>
      <c r="J16" s="60" t="s">
        <v>64</v>
      </c>
      <c r="K16" s="57" t="s">
        <v>65</v>
      </c>
      <c r="L16" s="61" t="s">
        <v>53</v>
      </c>
      <c r="M16" s="61">
        <v>10</v>
      </c>
      <c r="N16" s="61" t="s">
        <v>54</v>
      </c>
      <c r="O16" s="77">
        <v>0</v>
      </c>
      <c r="P16" s="77">
        <v>1</v>
      </c>
      <c r="Q16" s="64">
        <v>0</v>
      </c>
      <c r="R16" s="64">
        <v>1</v>
      </c>
      <c r="S16" s="64">
        <v>1</v>
      </c>
      <c r="T16" s="61">
        <v>1</v>
      </c>
      <c r="U16" s="66">
        <f>AG16/$AG$12</f>
        <v>0</v>
      </c>
      <c r="V16" s="67">
        <v>7</v>
      </c>
      <c r="W16" s="68" t="s">
        <v>66</v>
      </c>
      <c r="X16" s="69"/>
      <c r="Y16" s="69"/>
      <c r="Z16" s="69"/>
      <c r="AA16" s="69"/>
      <c r="AB16" s="69"/>
      <c r="AC16" s="69"/>
      <c r="AD16" s="69"/>
      <c r="AE16" s="69"/>
      <c r="AF16" s="69"/>
      <c r="AG16" s="69">
        <f t="shared" si="16"/>
        <v>0</v>
      </c>
      <c r="AH16" s="78"/>
      <c r="AI16" s="78"/>
      <c r="AJ16" s="71">
        <v>0</v>
      </c>
      <c r="AK16" s="71"/>
      <c r="AL16" s="78"/>
      <c r="AM16" s="78"/>
      <c r="AN16" s="78"/>
      <c r="AO16" s="78"/>
      <c r="AP16" s="78">
        <v>1000000000</v>
      </c>
      <c r="AQ16" s="71">
        <f t="shared" si="17"/>
        <v>1000000000</v>
      </c>
      <c r="AR16" s="71"/>
      <c r="AS16" s="71"/>
      <c r="AT16" s="71" t="s">
        <v>61</v>
      </c>
      <c r="AU16" s="71"/>
      <c r="AV16" s="71"/>
      <c r="AW16" s="71"/>
      <c r="AX16" s="71"/>
      <c r="AY16" s="71"/>
      <c r="AZ16" s="71">
        <v>7904449896</v>
      </c>
      <c r="BA16" s="71">
        <f t="shared" si="18"/>
        <v>7904449896</v>
      </c>
      <c r="BB16" s="71"/>
      <c r="BC16" s="71"/>
      <c r="BD16" s="71" t="s">
        <v>61</v>
      </c>
      <c r="BE16" s="71"/>
      <c r="BF16" s="71"/>
      <c r="BG16" s="71"/>
      <c r="BH16" s="71"/>
      <c r="BI16" s="71"/>
      <c r="BJ16" s="71">
        <v>2000000000</v>
      </c>
      <c r="BK16" s="71">
        <f t="shared" si="19"/>
        <v>2000000000</v>
      </c>
      <c r="BL16" s="603">
        <f>AG16+AQ16+BA16+BK16</f>
        <v>10904449896</v>
      </c>
    </row>
    <row r="17" spans="1:64" ht="126" customHeight="1" x14ac:dyDescent="0.2">
      <c r="A17" s="56">
        <v>5</v>
      </c>
      <c r="B17" s="56">
        <v>1</v>
      </c>
      <c r="C17" s="43"/>
      <c r="D17" s="43"/>
      <c r="E17" s="506"/>
      <c r="F17" s="517"/>
      <c r="G17" s="492"/>
      <c r="H17" s="80"/>
      <c r="I17" s="59">
        <v>5</v>
      </c>
      <c r="J17" s="60" t="s">
        <v>67</v>
      </c>
      <c r="K17" s="57" t="s">
        <v>68</v>
      </c>
      <c r="L17" s="61" t="s">
        <v>53</v>
      </c>
      <c r="M17" s="61">
        <v>10</v>
      </c>
      <c r="N17" s="62" t="s">
        <v>69</v>
      </c>
      <c r="O17" s="63">
        <v>3</v>
      </c>
      <c r="P17" s="63">
        <v>5</v>
      </c>
      <c r="Q17" s="64">
        <v>1</v>
      </c>
      <c r="R17" s="65">
        <v>2</v>
      </c>
      <c r="S17" s="65">
        <v>2</v>
      </c>
      <c r="T17" s="62">
        <v>0</v>
      </c>
      <c r="U17" s="66">
        <f>AG17/$AG$12</f>
        <v>6.8513217596316272E-3</v>
      </c>
      <c r="V17" s="67">
        <v>12</v>
      </c>
      <c r="W17" s="68" t="s">
        <v>70</v>
      </c>
      <c r="X17" s="69"/>
      <c r="Y17" s="69"/>
      <c r="Z17" s="69">
        <v>10000000</v>
      </c>
      <c r="AA17" s="69"/>
      <c r="AB17" s="69"/>
      <c r="AC17" s="69"/>
      <c r="AD17" s="69"/>
      <c r="AE17" s="69"/>
      <c r="AF17" s="69"/>
      <c r="AG17" s="69">
        <f t="shared" si="16"/>
        <v>10000000</v>
      </c>
      <c r="AH17" s="78"/>
      <c r="AI17" s="78"/>
      <c r="AJ17" s="71">
        <v>7500000</v>
      </c>
      <c r="AK17" s="71"/>
      <c r="AL17" s="78"/>
      <c r="AM17" s="78"/>
      <c r="AN17" s="78"/>
      <c r="AO17" s="78"/>
      <c r="AP17" s="78"/>
      <c r="AQ17" s="71">
        <f t="shared" si="17"/>
        <v>7500000</v>
      </c>
      <c r="AR17" s="71"/>
      <c r="AS17" s="71"/>
      <c r="AT17" s="71">
        <v>3750000</v>
      </c>
      <c r="AU17" s="71"/>
      <c r="AV17" s="71"/>
      <c r="AW17" s="71"/>
      <c r="AX17" s="71"/>
      <c r="AY17" s="71"/>
      <c r="AZ17" s="71"/>
      <c r="BA17" s="71">
        <f t="shared" si="18"/>
        <v>3750000</v>
      </c>
      <c r="BB17" s="71"/>
      <c r="BC17" s="71"/>
      <c r="BD17" s="71">
        <v>0</v>
      </c>
      <c r="BE17" s="71"/>
      <c r="BF17" s="71"/>
      <c r="BG17" s="71"/>
      <c r="BH17" s="71"/>
      <c r="BI17" s="71"/>
      <c r="BJ17" s="71"/>
      <c r="BK17" s="71">
        <f t="shared" si="19"/>
        <v>0</v>
      </c>
      <c r="BL17" s="603">
        <f>AG17+AQ17+BA17+BK17</f>
        <v>21250000</v>
      </c>
    </row>
    <row r="18" spans="1:64" ht="166.5" customHeight="1" x14ac:dyDescent="0.2">
      <c r="A18" s="74">
        <v>6</v>
      </c>
      <c r="B18" s="56">
        <v>1</v>
      </c>
      <c r="C18" s="43"/>
      <c r="D18" s="43"/>
      <c r="E18" s="79">
        <v>2</v>
      </c>
      <c r="F18" s="57" t="s">
        <v>71</v>
      </c>
      <c r="G18" s="81" t="s">
        <v>72</v>
      </c>
      <c r="H18" s="81" t="s">
        <v>72</v>
      </c>
      <c r="I18" s="512">
        <v>6</v>
      </c>
      <c r="J18" s="409" t="s">
        <v>73</v>
      </c>
      <c r="K18" s="57" t="s">
        <v>74</v>
      </c>
      <c r="L18" s="512" t="s">
        <v>53</v>
      </c>
      <c r="M18" s="512">
        <v>10</v>
      </c>
      <c r="N18" s="410" t="s">
        <v>54</v>
      </c>
      <c r="O18" s="410">
        <v>3</v>
      </c>
      <c r="P18" s="410">
        <v>12</v>
      </c>
      <c r="Q18" s="411">
        <v>12</v>
      </c>
      <c r="R18" s="410">
        <v>12</v>
      </c>
      <c r="S18" s="410">
        <v>12</v>
      </c>
      <c r="T18" s="412">
        <v>12</v>
      </c>
      <c r="U18" s="66">
        <f>AG18/AG12</f>
        <v>1.027698263944744E-2</v>
      </c>
      <c r="V18" s="413">
        <v>15</v>
      </c>
      <c r="W18" s="491" t="s">
        <v>55</v>
      </c>
      <c r="X18" s="414"/>
      <c r="Y18" s="414"/>
      <c r="Z18" s="414">
        <v>15000000</v>
      </c>
      <c r="AA18" s="414"/>
      <c r="AB18" s="414"/>
      <c r="AC18" s="414"/>
      <c r="AD18" s="414"/>
      <c r="AE18" s="414"/>
      <c r="AF18" s="414"/>
      <c r="AG18" s="497">
        <f t="shared" si="16"/>
        <v>15000000</v>
      </c>
      <c r="AH18" s="495"/>
      <c r="AI18" s="495"/>
      <c r="AJ18" s="495">
        <v>11250000</v>
      </c>
      <c r="AK18" s="494"/>
      <c r="AL18" s="495"/>
      <c r="AM18" s="495"/>
      <c r="AN18" s="495"/>
      <c r="AO18" s="495"/>
      <c r="AP18" s="495"/>
      <c r="AQ18" s="499">
        <f t="shared" si="17"/>
        <v>11250000</v>
      </c>
      <c r="AR18" s="494"/>
      <c r="AS18" s="494"/>
      <c r="AT18" s="494">
        <v>5625000</v>
      </c>
      <c r="AU18" s="494"/>
      <c r="AV18" s="494"/>
      <c r="AW18" s="494"/>
      <c r="AX18" s="494"/>
      <c r="AY18" s="494"/>
      <c r="AZ18" s="494"/>
      <c r="BA18" s="493">
        <f t="shared" si="18"/>
        <v>5625000</v>
      </c>
      <c r="BB18" s="499"/>
      <c r="BC18" s="499"/>
      <c r="BD18" s="499">
        <v>2800000</v>
      </c>
      <c r="BE18" s="499"/>
      <c r="BF18" s="499"/>
      <c r="BG18" s="499"/>
      <c r="BH18" s="499"/>
      <c r="BI18" s="499"/>
      <c r="BJ18" s="499"/>
      <c r="BK18" s="493">
        <f t="shared" si="19"/>
        <v>2800000</v>
      </c>
      <c r="BL18" s="606">
        <f>BK18+BA18+AQ18+AG18</f>
        <v>34675000</v>
      </c>
    </row>
    <row r="19" spans="1:64" ht="24.75" customHeight="1" x14ac:dyDescent="0.2">
      <c r="A19" s="74"/>
      <c r="B19" s="56"/>
      <c r="C19" s="43"/>
      <c r="D19" s="43"/>
      <c r="E19" s="44">
        <v>2</v>
      </c>
      <c r="F19" s="82" t="s">
        <v>75</v>
      </c>
      <c r="G19" s="83"/>
      <c r="H19" s="84"/>
      <c r="I19" s="47"/>
      <c r="J19" s="84"/>
      <c r="K19" s="84"/>
      <c r="L19" s="47"/>
      <c r="M19" s="47"/>
      <c r="N19" s="85"/>
      <c r="O19" s="84"/>
      <c r="P19" s="84"/>
      <c r="Q19" s="86"/>
      <c r="R19" s="84"/>
      <c r="S19" s="84"/>
      <c r="T19" s="47"/>
      <c r="U19" s="87"/>
      <c r="V19" s="47"/>
      <c r="W19" s="47"/>
      <c r="X19" s="88">
        <f t="shared" ref="X19:AF19" si="20">SUM(X20:X26)</f>
        <v>0</v>
      </c>
      <c r="Y19" s="88">
        <f t="shared" si="20"/>
        <v>0</v>
      </c>
      <c r="Z19" s="88">
        <f t="shared" si="20"/>
        <v>60000000</v>
      </c>
      <c r="AA19" s="88">
        <f t="shared" si="20"/>
        <v>0</v>
      </c>
      <c r="AB19" s="88">
        <f t="shared" si="20"/>
        <v>0</v>
      </c>
      <c r="AC19" s="88">
        <f t="shared" si="20"/>
        <v>2248717121</v>
      </c>
      <c r="AD19" s="88">
        <f t="shared" si="20"/>
        <v>0</v>
      </c>
      <c r="AE19" s="88">
        <f t="shared" si="20"/>
        <v>0</v>
      </c>
      <c r="AF19" s="88">
        <f t="shared" si="20"/>
        <v>0</v>
      </c>
      <c r="AG19" s="89">
        <f>SUM(AG20:AG26)</f>
        <v>2308717121</v>
      </c>
      <c r="AH19" s="88">
        <f t="shared" ref="AH19:BA19" si="21">SUM(AH20:AH26)</f>
        <v>0</v>
      </c>
      <c r="AI19" s="88">
        <f t="shared" si="21"/>
        <v>0</v>
      </c>
      <c r="AJ19" s="88">
        <f t="shared" si="21"/>
        <v>59000000</v>
      </c>
      <c r="AK19" s="88">
        <f t="shared" si="21"/>
        <v>0</v>
      </c>
      <c r="AL19" s="88">
        <f t="shared" si="21"/>
        <v>0</v>
      </c>
      <c r="AM19" s="88">
        <f t="shared" si="21"/>
        <v>2207217417.7399998</v>
      </c>
      <c r="AN19" s="88">
        <f t="shared" si="21"/>
        <v>0</v>
      </c>
      <c r="AO19" s="88">
        <f t="shared" si="21"/>
        <v>0</v>
      </c>
      <c r="AP19" s="88">
        <f t="shared" si="21"/>
        <v>0</v>
      </c>
      <c r="AQ19" s="88">
        <f t="shared" si="21"/>
        <v>2266217417.7399998</v>
      </c>
      <c r="AR19" s="88"/>
      <c r="AS19" s="88"/>
      <c r="AT19" s="88"/>
      <c r="AU19" s="88"/>
      <c r="AV19" s="88"/>
      <c r="AW19" s="88"/>
      <c r="AX19" s="88"/>
      <c r="AY19" s="88"/>
      <c r="AZ19" s="88"/>
      <c r="BA19" s="88">
        <f t="shared" si="21"/>
        <v>2292403940.2722001</v>
      </c>
      <c r="BB19" s="90"/>
      <c r="BC19" s="90"/>
      <c r="BD19" s="90"/>
      <c r="BE19" s="90"/>
      <c r="BF19" s="90"/>
      <c r="BG19" s="90"/>
      <c r="BH19" s="90"/>
      <c r="BI19" s="90"/>
      <c r="BJ19" s="90"/>
      <c r="BK19" s="88">
        <f t="shared" ref="BK19:BL19" si="22">SUM(BK20:BK26)</f>
        <v>2360576058.48</v>
      </c>
      <c r="BL19" s="88">
        <f t="shared" si="22"/>
        <v>9227914537.4921989</v>
      </c>
    </row>
    <row r="20" spans="1:64" ht="62.25" customHeight="1" x14ac:dyDescent="0.2">
      <c r="A20" s="56">
        <v>9</v>
      </c>
      <c r="B20" s="56">
        <v>1</v>
      </c>
      <c r="C20" s="43"/>
      <c r="D20" s="43"/>
      <c r="E20" s="510"/>
      <c r="F20" s="415"/>
      <c r="G20" s="416"/>
      <c r="H20" s="416"/>
      <c r="I20" s="59">
        <v>7</v>
      </c>
      <c r="J20" s="60" t="s">
        <v>76</v>
      </c>
      <c r="K20" s="57" t="s">
        <v>77</v>
      </c>
      <c r="L20" s="61" t="s">
        <v>53</v>
      </c>
      <c r="M20" s="61">
        <v>10</v>
      </c>
      <c r="N20" s="76" t="s">
        <v>54</v>
      </c>
      <c r="O20" s="63">
        <v>0</v>
      </c>
      <c r="P20" s="63">
        <v>1</v>
      </c>
      <c r="Q20" s="77">
        <v>1</v>
      </c>
      <c r="R20" s="63">
        <v>1</v>
      </c>
      <c r="S20" s="63">
        <v>1</v>
      </c>
      <c r="T20" s="63">
        <v>1</v>
      </c>
      <c r="U20" s="66">
        <f t="shared" ref="U20:U26" si="23">AG20/$AG$19</f>
        <v>5.4142622698556235E-3</v>
      </c>
      <c r="V20" s="67">
        <v>6</v>
      </c>
      <c r="W20" s="68" t="s">
        <v>78</v>
      </c>
      <c r="X20" s="69"/>
      <c r="Y20" s="69"/>
      <c r="Z20" s="92">
        <v>12500000</v>
      </c>
      <c r="AA20" s="92"/>
      <c r="AB20" s="92"/>
      <c r="AC20" s="69"/>
      <c r="AD20" s="69"/>
      <c r="AE20" s="69"/>
      <c r="AF20" s="69"/>
      <c r="AG20" s="69">
        <f t="shared" ref="AG20:AG26" si="24">+X20+Y20+Z20+AA20+AB20+AC20+AD20+AE20+AF20</f>
        <v>12500000</v>
      </c>
      <c r="AH20" s="93"/>
      <c r="AI20" s="93"/>
      <c r="AJ20" s="93">
        <v>12200000</v>
      </c>
      <c r="AK20" s="93"/>
      <c r="AL20" s="93"/>
      <c r="AM20" s="93"/>
      <c r="AN20" s="93"/>
      <c r="AO20" s="93"/>
      <c r="AP20" s="93"/>
      <c r="AQ20" s="71">
        <f t="shared" ref="AQ20:AQ26" si="25">AH20+AI20+AJ20+AK20+AL20+AM20+AN20+AO20+AP20</f>
        <v>12200000</v>
      </c>
      <c r="AR20" s="93"/>
      <c r="AS20" s="93"/>
      <c r="AT20" s="93">
        <v>12400000</v>
      </c>
      <c r="AU20" s="93"/>
      <c r="AV20" s="93"/>
      <c r="AW20" s="93"/>
      <c r="AX20" s="93"/>
      <c r="AY20" s="93"/>
      <c r="AZ20" s="93"/>
      <c r="BA20" s="93">
        <f t="shared" ref="BA20:BA26" si="26">SUM(AR20:AZ20)</f>
        <v>12400000</v>
      </c>
      <c r="BB20" s="78"/>
      <c r="BC20" s="78"/>
      <c r="BD20" s="78">
        <v>12700000</v>
      </c>
      <c r="BE20" s="78"/>
      <c r="BF20" s="78"/>
      <c r="BG20" s="78"/>
      <c r="BH20" s="78"/>
      <c r="BI20" s="78"/>
      <c r="BJ20" s="78"/>
      <c r="BK20" s="78">
        <f t="shared" ref="BK20:BK26" si="27">SUM(BB20:BJ20)</f>
        <v>12700000</v>
      </c>
      <c r="BL20" s="603">
        <f t="shared" ref="BL20:BL26" si="28">AG20+AQ20+BA20+BK20</f>
        <v>49800000</v>
      </c>
    </row>
    <row r="21" spans="1:64" ht="90.75" customHeight="1" x14ac:dyDescent="0.2">
      <c r="A21" s="74">
        <v>10</v>
      </c>
      <c r="B21" s="56">
        <v>1</v>
      </c>
      <c r="C21" s="43"/>
      <c r="D21" s="43"/>
      <c r="E21" s="79"/>
      <c r="F21" s="94"/>
      <c r="G21" s="95"/>
      <c r="H21" s="95"/>
      <c r="I21" s="59">
        <v>8</v>
      </c>
      <c r="J21" s="60" t="s">
        <v>79</v>
      </c>
      <c r="K21" s="57" t="s">
        <v>80</v>
      </c>
      <c r="L21" s="61" t="s">
        <v>53</v>
      </c>
      <c r="M21" s="61">
        <v>10</v>
      </c>
      <c r="N21" s="76" t="s">
        <v>69</v>
      </c>
      <c r="O21" s="63">
        <v>1</v>
      </c>
      <c r="P21" s="63">
        <v>6</v>
      </c>
      <c r="Q21" s="77">
        <v>2</v>
      </c>
      <c r="R21" s="63">
        <v>2</v>
      </c>
      <c r="S21" s="63">
        <v>1</v>
      </c>
      <c r="T21" s="63">
        <v>1</v>
      </c>
      <c r="U21" s="66">
        <f t="shared" si="23"/>
        <v>2.0574196625451371E-2</v>
      </c>
      <c r="V21" s="67">
        <v>15</v>
      </c>
      <c r="W21" s="68" t="s">
        <v>55</v>
      </c>
      <c r="X21" s="69"/>
      <c r="Y21" s="69"/>
      <c r="Z21" s="96">
        <v>47500000</v>
      </c>
      <c r="AA21" s="96"/>
      <c r="AB21" s="96"/>
      <c r="AC21" s="69"/>
      <c r="AD21" s="69"/>
      <c r="AE21" s="69"/>
      <c r="AF21" s="69"/>
      <c r="AG21" s="69">
        <f t="shared" si="24"/>
        <v>47500000</v>
      </c>
      <c r="AH21" s="78"/>
      <c r="AI21" s="78"/>
      <c r="AJ21" s="93">
        <v>46600000</v>
      </c>
      <c r="AK21" s="93"/>
      <c r="AL21" s="78"/>
      <c r="AM21" s="78"/>
      <c r="AN21" s="78"/>
      <c r="AO21" s="78"/>
      <c r="AP21" s="78"/>
      <c r="AQ21" s="71">
        <f t="shared" si="25"/>
        <v>46600000</v>
      </c>
      <c r="AR21" s="93"/>
      <c r="AS21" s="93"/>
      <c r="AT21" s="93">
        <v>7600000</v>
      </c>
      <c r="AU21" s="93"/>
      <c r="AV21" s="93"/>
      <c r="AW21" s="93">
        <f>47100000-7600000</f>
        <v>39500000</v>
      </c>
      <c r="AX21" s="93"/>
      <c r="AY21" s="93"/>
      <c r="AZ21" s="93"/>
      <c r="BA21" s="93">
        <f t="shared" si="26"/>
        <v>47100000</v>
      </c>
      <c r="BB21" s="78"/>
      <c r="BC21" s="78"/>
      <c r="BD21" s="78">
        <v>6300000</v>
      </c>
      <c r="BE21" s="78"/>
      <c r="BF21" s="78"/>
      <c r="BG21" s="78">
        <f>48500000-6300000</f>
        <v>42200000</v>
      </c>
      <c r="BH21" s="78"/>
      <c r="BI21" s="78"/>
      <c r="BJ21" s="78"/>
      <c r="BK21" s="78">
        <f t="shared" si="27"/>
        <v>48500000</v>
      </c>
      <c r="BL21" s="603">
        <f t="shared" si="28"/>
        <v>189700000</v>
      </c>
    </row>
    <row r="22" spans="1:64" ht="108.75" customHeight="1" x14ac:dyDescent="0.2">
      <c r="A22" s="56">
        <v>11</v>
      </c>
      <c r="B22" s="56">
        <v>1</v>
      </c>
      <c r="C22" s="43"/>
      <c r="D22" s="43"/>
      <c r="E22" s="79"/>
      <c r="F22" s="97"/>
      <c r="G22" s="95"/>
      <c r="H22" s="95"/>
      <c r="I22" s="59">
        <v>9</v>
      </c>
      <c r="J22" s="60" t="s">
        <v>81</v>
      </c>
      <c r="K22" s="57" t="s">
        <v>82</v>
      </c>
      <c r="L22" s="61" t="s">
        <v>83</v>
      </c>
      <c r="M22" s="61">
        <v>3</v>
      </c>
      <c r="N22" s="98" t="s">
        <v>69</v>
      </c>
      <c r="O22" s="77">
        <v>35</v>
      </c>
      <c r="P22" s="77">
        <v>20</v>
      </c>
      <c r="Q22" s="77">
        <v>5</v>
      </c>
      <c r="R22" s="77">
        <v>5</v>
      </c>
      <c r="S22" s="77">
        <v>5</v>
      </c>
      <c r="T22" s="77">
        <v>5</v>
      </c>
      <c r="U22" s="66">
        <f t="shared" si="23"/>
        <v>0.23636167528555355</v>
      </c>
      <c r="V22" s="67">
        <v>6</v>
      </c>
      <c r="W22" s="68" t="s">
        <v>78</v>
      </c>
      <c r="X22" s="69"/>
      <c r="Y22" s="69"/>
      <c r="Z22" s="69"/>
      <c r="AA22" s="69"/>
      <c r="AB22" s="69"/>
      <c r="AC22" s="496">
        <v>545692246.48000002</v>
      </c>
      <c r="AD22" s="69"/>
      <c r="AE22" s="69"/>
      <c r="AF22" s="69"/>
      <c r="AG22" s="69">
        <f t="shared" si="24"/>
        <v>545692246.48000002</v>
      </c>
      <c r="AH22" s="78"/>
      <c r="AI22" s="78"/>
      <c r="AJ22" s="78">
        <v>200000</v>
      </c>
      <c r="AK22" s="78"/>
      <c r="AL22" s="78"/>
      <c r="AM22" s="93">
        <f>535600000-200000</f>
        <v>535400000</v>
      </c>
      <c r="AN22" s="78"/>
      <c r="AO22" s="78"/>
      <c r="AP22" s="78"/>
      <c r="AQ22" s="71">
        <f t="shared" si="25"/>
        <v>535600000</v>
      </c>
      <c r="AR22" s="93"/>
      <c r="AS22" s="93"/>
      <c r="AT22" s="93"/>
      <c r="AU22" s="93"/>
      <c r="AV22" s="93"/>
      <c r="AW22" s="99">
        <v>540000000</v>
      </c>
      <c r="AX22" s="93"/>
      <c r="AY22" s="93"/>
      <c r="AZ22" s="93"/>
      <c r="BA22" s="93">
        <f t="shared" si="26"/>
        <v>540000000</v>
      </c>
      <c r="BB22" s="78"/>
      <c r="BC22" s="78"/>
      <c r="BD22" s="78"/>
      <c r="BE22" s="78"/>
      <c r="BF22" s="78"/>
      <c r="BG22" s="93">
        <v>649900000</v>
      </c>
      <c r="BH22" s="78"/>
      <c r="BI22" s="78"/>
      <c r="BJ22" s="78"/>
      <c r="BK22" s="78">
        <f t="shared" si="27"/>
        <v>649900000</v>
      </c>
      <c r="BL22" s="603">
        <f t="shared" si="28"/>
        <v>2271192246.48</v>
      </c>
    </row>
    <row r="23" spans="1:64" ht="124.5" customHeight="1" x14ac:dyDescent="0.2">
      <c r="A23" s="74">
        <v>12</v>
      </c>
      <c r="B23" s="56">
        <v>1</v>
      </c>
      <c r="C23" s="43"/>
      <c r="D23" s="43"/>
      <c r="E23" s="100">
        <v>2</v>
      </c>
      <c r="F23" s="517" t="s">
        <v>84</v>
      </c>
      <c r="G23" s="101" t="s">
        <v>72</v>
      </c>
      <c r="H23" s="102" t="s">
        <v>72</v>
      </c>
      <c r="I23" s="64">
        <v>10</v>
      </c>
      <c r="J23" s="60" t="s">
        <v>85</v>
      </c>
      <c r="K23" s="103" t="s">
        <v>86</v>
      </c>
      <c r="L23" s="61" t="s">
        <v>83</v>
      </c>
      <c r="M23" s="61">
        <v>3</v>
      </c>
      <c r="N23" s="104" t="s">
        <v>69</v>
      </c>
      <c r="O23" s="105">
        <v>1</v>
      </c>
      <c r="P23" s="458">
        <v>20</v>
      </c>
      <c r="Q23" s="105">
        <v>5</v>
      </c>
      <c r="R23" s="105">
        <v>5</v>
      </c>
      <c r="S23" s="105">
        <v>5</v>
      </c>
      <c r="T23" s="105">
        <v>5</v>
      </c>
      <c r="U23" s="66">
        <f t="shared" si="23"/>
        <v>2.1781149151013725E-2</v>
      </c>
      <c r="V23" s="67">
        <v>6</v>
      </c>
      <c r="W23" s="68" t="s">
        <v>78</v>
      </c>
      <c r="X23" s="69"/>
      <c r="Y23" s="69"/>
      <c r="Z23" s="69"/>
      <c r="AA23" s="69"/>
      <c r="AB23" s="69"/>
      <c r="AC23" s="106">
        <v>50286511.960000001</v>
      </c>
      <c r="AD23" s="69"/>
      <c r="AE23" s="69"/>
      <c r="AF23" s="69"/>
      <c r="AG23" s="69">
        <f t="shared" si="24"/>
        <v>50286511.960000001</v>
      </c>
      <c r="AH23" s="71"/>
      <c r="AI23" s="71"/>
      <c r="AJ23" s="71"/>
      <c r="AK23" s="71"/>
      <c r="AL23" s="71"/>
      <c r="AM23" s="93">
        <f>49300000+417417.74</f>
        <v>49717417.740000002</v>
      </c>
      <c r="AN23" s="71"/>
      <c r="AO23" s="71"/>
      <c r="AP23" s="71"/>
      <c r="AQ23" s="71">
        <f t="shared" si="25"/>
        <v>49717417.740000002</v>
      </c>
      <c r="AR23" s="93"/>
      <c r="AS23" s="93"/>
      <c r="AT23" s="93"/>
      <c r="AU23" s="93"/>
      <c r="AV23" s="93"/>
      <c r="AW23" s="99">
        <v>50000000</v>
      </c>
      <c r="AX23" s="93"/>
      <c r="AY23" s="93"/>
      <c r="AZ23" s="93"/>
      <c r="BA23" s="93">
        <f t="shared" si="26"/>
        <v>50000000</v>
      </c>
      <c r="BB23" s="78"/>
      <c r="BC23" s="78"/>
      <c r="BD23" s="78"/>
      <c r="BE23" s="78"/>
      <c r="BF23" s="78"/>
      <c r="BG23" s="93">
        <v>51400000</v>
      </c>
      <c r="BH23" s="78"/>
      <c r="BI23" s="78"/>
      <c r="BJ23" s="78"/>
      <c r="BK23" s="78">
        <f t="shared" si="27"/>
        <v>51400000</v>
      </c>
      <c r="BL23" s="603">
        <f t="shared" si="28"/>
        <v>201403929.69999999</v>
      </c>
    </row>
    <row r="24" spans="1:64" ht="87" customHeight="1" x14ac:dyDescent="0.2">
      <c r="A24" s="56">
        <v>13</v>
      </c>
      <c r="B24" s="56">
        <v>1</v>
      </c>
      <c r="C24" s="43"/>
      <c r="D24" s="43"/>
      <c r="E24" s="81">
        <v>3</v>
      </c>
      <c r="F24" s="57" t="s">
        <v>87</v>
      </c>
      <c r="G24" s="102" t="s">
        <v>88</v>
      </c>
      <c r="H24" s="102" t="s">
        <v>89</v>
      </c>
      <c r="I24" s="59">
        <v>11</v>
      </c>
      <c r="J24" s="60" t="s">
        <v>90</v>
      </c>
      <c r="K24" s="57" t="s">
        <v>91</v>
      </c>
      <c r="L24" s="61" t="s">
        <v>83</v>
      </c>
      <c r="M24" s="61">
        <v>3</v>
      </c>
      <c r="N24" s="76" t="s">
        <v>54</v>
      </c>
      <c r="O24" s="63">
        <v>1</v>
      </c>
      <c r="P24" s="63">
        <v>1</v>
      </c>
      <c r="Q24" s="77">
        <v>1</v>
      </c>
      <c r="R24" s="63">
        <v>1</v>
      </c>
      <c r="S24" s="63">
        <v>1</v>
      </c>
      <c r="T24" s="63">
        <v>1</v>
      </c>
      <c r="U24" s="66">
        <f t="shared" si="23"/>
        <v>0.14334499721934535</v>
      </c>
      <c r="V24" s="67">
        <v>6</v>
      </c>
      <c r="W24" s="68" t="s">
        <v>78</v>
      </c>
      <c r="X24" s="69"/>
      <c r="Y24" s="69"/>
      <c r="Z24" s="69"/>
      <c r="AA24" s="69"/>
      <c r="AB24" s="69"/>
      <c r="AC24" s="106">
        <v>330943049.29000002</v>
      </c>
      <c r="AD24" s="69"/>
      <c r="AE24" s="69"/>
      <c r="AF24" s="69"/>
      <c r="AG24" s="69">
        <f t="shared" si="24"/>
        <v>330943049.29000002</v>
      </c>
      <c r="AH24" s="71"/>
      <c r="AI24" s="71"/>
      <c r="AJ24" s="71"/>
      <c r="AK24" s="71"/>
      <c r="AL24" s="71"/>
      <c r="AM24" s="93">
        <v>324800000</v>
      </c>
      <c r="AN24" s="71"/>
      <c r="AO24" s="71"/>
      <c r="AP24" s="71"/>
      <c r="AQ24" s="71">
        <f t="shared" si="25"/>
        <v>324800000</v>
      </c>
      <c r="AR24" s="93"/>
      <c r="AS24" s="93"/>
      <c r="AT24" s="93"/>
      <c r="AU24" s="93"/>
      <c r="AV24" s="93"/>
      <c r="AW24" s="99">
        <v>328000000</v>
      </c>
      <c r="AX24" s="93"/>
      <c r="AY24" s="93"/>
      <c r="AZ24" s="93"/>
      <c r="BA24" s="93">
        <f t="shared" si="26"/>
        <v>328000000</v>
      </c>
      <c r="BB24" s="78"/>
      <c r="BC24" s="78"/>
      <c r="BD24" s="78"/>
      <c r="BE24" s="78"/>
      <c r="BF24" s="78"/>
      <c r="BG24" s="93">
        <v>430300000</v>
      </c>
      <c r="BH24" s="78"/>
      <c r="BI24" s="78"/>
      <c r="BJ24" s="78"/>
      <c r="BK24" s="78">
        <f t="shared" si="27"/>
        <v>430300000</v>
      </c>
      <c r="BL24" s="603">
        <f t="shared" si="28"/>
        <v>1414043049.29</v>
      </c>
    </row>
    <row r="25" spans="1:64" ht="151.5" customHeight="1" x14ac:dyDescent="0.2">
      <c r="A25" s="74">
        <v>14</v>
      </c>
      <c r="B25" s="56">
        <v>1</v>
      </c>
      <c r="C25" s="43"/>
      <c r="D25" s="43"/>
      <c r="E25" s="79"/>
      <c r="F25" s="107"/>
      <c r="G25" s="102"/>
      <c r="H25" s="102"/>
      <c r="I25" s="59">
        <v>12</v>
      </c>
      <c r="J25" s="60" t="s">
        <v>92</v>
      </c>
      <c r="K25" s="57" t="s">
        <v>93</v>
      </c>
      <c r="L25" s="61" t="s">
        <v>83</v>
      </c>
      <c r="M25" s="61">
        <v>3</v>
      </c>
      <c r="N25" s="76" t="s">
        <v>54</v>
      </c>
      <c r="O25" s="63">
        <v>1</v>
      </c>
      <c r="P25" s="63">
        <v>3</v>
      </c>
      <c r="Q25" s="77">
        <v>3</v>
      </c>
      <c r="R25" s="63">
        <v>3</v>
      </c>
      <c r="S25" s="63">
        <v>3</v>
      </c>
      <c r="T25" s="63">
        <v>3</v>
      </c>
      <c r="U25" s="66">
        <f t="shared" si="23"/>
        <v>0.45551836546977292</v>
      </c>
      <c r="V25" s="67">
        <v>6</v>
      </c>
      <c r="W25" s="68" t="s">
        <v>78</v>
      </c>
      <c r="X25" s="69"/>
      <c r="Y25" s="69"/>
      <c r="Z25" s="69"/>
      <c r="AA25" s="69"/>
      <c r="AB25" s="69"/>
      <c r="AC25" s="96">
        <v>1051663049.29</v>
      </c>
      <c r="AD25" s="69"/>
      <c r="AE25" s="69"/>
      <c r="AF25" s="69"/>
      <c r="AG25" s="69">
        <f t="shared" si="24"/>
        <v>1051663049.29</v>
      </c>
      <c r="AH25" s="78"/>
      <c r="AI25" s="78"/>
      <c r="AJ25" s="78"/>
      <c r="AK25" s="78"/>
      <c r="AL25" s="78"/>
      <c r="AM25" s="93">
        <v>1032300000</v>
      </c>
      <c r="AN25" s="78"/>
      <c r="AO25" s="78"/>
      <c r="AP25" s="78"/>
      <c r="AQ25" s="71">
        <f t="shared" si="25"/>
        <v>1032300000</v>
      </c>
      <c r="AR25" s="93"/>
      <c r="AS25" s="93"/>
      <c r="AT25" s="93"/>
      <c r="AU25" s="93"/>
      <c r="AV25" s="93"/>
      <c r="AW25" s="99">
        <v>1044000000</v>
      </c>
      <c r="AX25" s="93"/>
      <c r="AY25" s="93"/>
      <c r="AZ25" s="93"/>
      <c r="BA25" s="93">
        <f t="shared" si="26"/>
        <v>1044000000</v>
      </c>
      <c r="BB25" s="78"/>
      <c r="BC25" s="78"/>
      <c r="BD25" s="78"/>
      <c r="BE25" s="78"/>
      <c r="BF25" s="78"/>
      <c r="BG25" s="93">
        <v>1167776058.48</v>
      </c>
      <c r="BH25" s="78"/>
      <c r="BI25" s="78"/>
      <c r="BJ25" s="78"/>
      <c r="BK25" s="78">
        <f t="shared" si="27"/>
        <v>1167776058.48</v>
      </c>
      <c r="BL25" s="603">
        <f t="shared" si="28"/>
        <v>4295739107.7700005</v>
      </c>
    </row>
    <row r="26" spans="1:64" ht="79.5" customHeight="1" x14ac:dyDescent="0.2">
      <c r="A26" s="56">
        <v>15</v>
      </c>
      <c r="B26" s="56">
        <v>1</v>
      </c>
      <c r="C26" s="43"/>
      <c r="D26" s="43"/>
      <c r="E26" s="506"/>
      <c r="F26" s="97"/>
      <c r="G26" s="492"/>
      <c r="H26" s="492"/>
      <c r="I26" s="59">
        <v>13</v>
      </c>
      <c r="J26" s="60" t="s">
        <v>94</v>
      </c>
      <c r="K26" s="57" t="s">
        <v>95</v>
      </c>
      <c r="L26" s="61" t="s">
        <v>83</v>
      </c>
      <c r="M26" s="61">
        <v>3</v>
      </c>
      <c r="N26" s="61" t="s">
        <v>54</v>
      </c>
      <c r="O26" s="77">
        <v>0</v>
      </c>
      <c r="P26" s="77">
        <v>2</v>
      </c>
      <c r="Q26" s="64">
        <v>2</v>
      </c>
      <c r="R26" s="64">
        <v>2</v>
      </c>
      <c r="S26" s="64">
        <v>2</v>
      </c>
      <c r="T26" s="64">
        <v>0</v>
      </c>
      <c r="U26" s="66">
        <f t="shared" si="23"/>
        <v>0.11700535397900746</v>
      </c>
      <c r="V26" s="67">
        <v>6</v>
      </c>
      <c r="W26" s="68" t="s">
        <v>78</v>
      </c>
      <c r="X26" s="69"/>
      <c r="Y26" s="69"/>
      <c r="Z26" s="69"/>
      <c r="AA26" s="69"/>
      <c r="AB26" s="69"/>
      <c r="AC26" s="96">
        <v>270132263.98000002</v>
      </c>
      <c r="AD26" s="69"/>
      <c r="AE26" s="69"/>
      <c r="AF26" s="69"/>
      <c r="AG26" s="69">
        <f t="shared" si="24"/>
        <v>270132263.98000002</v>
      </c>
      <c r="AH26" s="78"/>
      <c r="AI26" s="78"/>
      <c r="AJ26" s="78"/>
      <c r="AK26" s="78"/>
      <c r="AL26" s="78"/>
      <c r="AM26" s="93">
        <v>265000000</v>
      </c>
      <c r="AN26" s="78"/>
      <c r="AO26" s="78"/>
      <c r="AP26" s="78"/>
      <c r="AQ26" s="71">
        <f t="shared" si="25"/>
        <v>265000000</v>
      </c>
      <c r="AR26" s="93"/>
      <c r="AS26" s="93"/>
      <c r="AT26" s="93"/>
      <c r="AU26" s="93"/>
      <c r="AV26" s="93"/>
      <c r="AW26" s="99">
        <v>270903940.27219999</v>
      </c>
      <c r="AX26" s="93"/>
      <c r="AY26" s="93"/>
      <c r="AZ26" s="93"/>
      <c r="BA26" s="93">
        <f t="shared" si="26"/>
        <v>270903940.27219999</v>
      </c>
      <c r="BB26" s="78"/>
      <c r="BC26" s="78"/>
      <c r="BD26" s="78"/>
      <c r="BE26" s="78"/>
      <c r="BF26" s="78"/>
      <c r="BG26" s="93">
        <v>0</v>
      </c>
      <c r="BH26" s="78"/>
      <c r="BI26" s="78"/>
      <c r="BJ26" s="78"/>
      <c r="BK26" s="78">
        <f t="shared" si="27"/>
        <v>0</v>
      </c>
      <c r="BL26" s="603">
        <f t="shared" si="28"/>
        <v>806036204.25220001</v>
      </c>
    </row>
    <row r="27" spans="1:64" ht="24.75" customHeight="1" x14ac:dyDescent="0.2">
      <c r="A27" s="56"/>
      <c r="B27" s="56"/>
      <c r="C27" s="43"/>
      <c r="D27" s="43"/>
      <c r="E27" s="44">
        <v>3</v>
      </c>
      <c r="F27" s="45" t="s">
        <v>96</v>
      </c>
      <c r="G27" s="108"/>
      <c r="H27" s="84"/>
      <c r="I27" s="47"/>
      <c r="J27" s="84"/>
      <c r="K27" s="84"/>
      <c r="L27" s="47"/>
      <c r="M27" s="47"/>
      <c r="N27" s="85"/>
      <c r="O27" s="84"/>
      <c r="P27" s="84"/>
      <c r="Q27" s="86"/>
      <c r="R27" s="84"/>
      <c r="S27" s="84"/>
      <c r="T27" s="47"/>
      <c r="U27" s="87"/>
      <c r="V27" s="47"/>
      <c r="W27" s="47"/>
      <c r="X27" s="88">
        <f t="shared" ref="X27:AF27" si="29">SUM(X28:X34)</f>
        <v>0</v>
      </c>
      <c r="Y27" s="88">
        <f t="shared" si="29"/>
        <v>0</v>
      </c>
      <c r="Z27" s="88">
        <f t="shared" si="29"/>
        <v>709366350</v>
      </c>
      <c r="AA27" s="88">
        <f t="shared" si="29"/>
        <v>0</v>
      </c>
      <c r="AB27" s="88">
        <f t="shared" si="29"/>
        <v>0</v>
      </c>
      <c r="AC27" s="88">
        <f t="shared" si="29"/>
        <v>0</v>
      </c>
      <c r="AD27" s="88">
        <f t="shared" si="29"/>
        <v>0</v>
      </c>
      <c r="AE27" s="88">
        <f t="shared" si="29"/>
        <v>0</v>
      </c>
      <c r="AF27" s="88">
        <f t="shared" si="29"/>
        <v>0</v>
      </c>
      <c r="AG27" s="89">
        <f>SUM(AG28:AG34)</f>
        <v>709366350</v>
      </c>
      <c r="AH27" s="88">
        <f t="shared" ref="AH27:AQ27" si="30">SUM(AH28:AH34)</f>
        <v>0</v>
      </c>
      <c r="AI27" s="88">
        <f t="shared" si="30"/>
        <v>0</v>
      </c>
      <c r="AJ27" s="88">
        <f t="shared" si="30"/>
        <v>579591884.66919994</v>
      </c>
      <c r="AK27" s="88">
        <f t="shared" si="30"/>
        <v>0</v>
      </c>
      <c r="AL27" s="88">
        <f t="shared" si="30"/>
        <v>0</v>
      </c>
      <c r="AM27" s="88">
        <f t="shared" si="30"/>
        <v>0</v>
      </c>
      <c r="AN27" s="88">
        <f t="shared" si="30"/>
        <v>0</v>
      </c>
      <c r="AO27" s="88">
        <f t="shared" si="30"/>
        <v>0</v>
      </c>
      <c r="AP27" s="88">
        <f t="shared" si="30"/>
        <v>0</v>
      </c>
      <c r="AQ27" s="88">
        <f t="shared" si="30"/>
        <v>579591884.66919994</v>
      </c>
      <c r="AR27" s="90"/>
      <c r="AS27" s="90"/>
      <c r="AT27" s="90"/>
      <c r="AU27" s="90"/>
      <c r="AV27" s="90"/>
      <c r="AW27" s="90"/>
      <c r="AX27" s="90"/>
      <c r="AY27" s="90"/>
      <c r="AZ27" s="90"/>
      <c r="BA27" s="88">
        <f t="shared" ref="BA27" si="31">SUM(BA28:BA34)</f>
        <v>596979641.20930004</v>
      </c>
      <c r="BB27" s="90"/>
      <c r="BC27" s="90"/>
      <c r="BD27" s="90"/>
      <c r="BE27" s="90"/>
      <c r="BF27" s="90"/>
      <c r="BG27" s="90"/>
      <c r="BH27" s="90"/>
      <c r="BI27" s="90"/>
      <c r="BJ27" s="90"/>
      <c r="BK27" s="88">
        <f t="shared" ref="BK27:BL27" si="32">SUM(BK28:BK34)</f>
        <v>614889030</v>
      </c>
      <c r="BL27" s="88">
        <f t="shared" si="32"/>
        <v>2500826905.8785</v>
      </c>
    </row>
    <row r="28" spans="1:64" s="73" customFormat="1" ht="409.5" customHeight="1" x14ac:dyDescent="0.2">
      <c r="A28" s="74">
        <v>16</v>
      </c>
      <c r="B28" s="56">
        <v>1</v>
      </c>
      <c r="C28" s="43"/>
      <c r="D28" s="43"/>
      <c r="E28" s="510">
        <v>4</v>
      </c>
      <c r="F28" s="516" t="s">
        <v>97</v>
      </c>
      <c r="G28" s="408" t="s">
        <v>57</v>
      </c>
      <c r="H28" s="408" t="s">
        <v>58</v>
      </c>
      <c r="I28" s="59">
        <v>14</v>
      </c>
      <c r="J28" s="60" t="s">
        <v>98</v>
      </c>
      <c r="K28" s="57" t="s">
        <v>99</v>
      </c>
      <c r="L28" s="61" t="s">
        <v>53</v>
      </c>
      <c r="M28" s="61">
        <v>10</v>
      </c>
      <c r="N28" s="61" t="s">
        <v>54</v>
      </c>
      <c r="O28" s="77">
        <v>2</v>
      </c>
      <c r="P28" s="77">
        <v>6</v>
      </c>
      <c r="Q28" s="64">
        <v>6</v>
      </c>
      <c r="R28" s="64">
        <v>6</v>
      </c>
      <c r="S28" s="64">
        <v>6</v>
      </c>
      <c r="T28" s="64">
        <v>6</v>
      </c>
      <c r="U28" s="109">
        <f t="shared" ref="U28:U34" si="33">AG28/$AG$27</f>
        <v>0.68157948287228454</v>
      </c>
      <c r="V28" s="65">
        <v>15</v>
      </c>
      <c r="W28" s="68" t="s">
        <v>55</v>
      </c>
      <c r="X28" s="69"/>
      <c r="Y28" s="69"/>
      <c r="Z28" s="96">
        <v>483489550</v>
      </c>
      <c r="AA28" s="96"/>
      <c r="AB28" s="96"/>
      <c r="AC28" s="69"/>
      <c r="AD28" s="69"/>
      <c r="AE28" s="69"/>
      <c r="AF28" s="69"/>
      <c r="AG28" s="69">
        <f t="shared" ref="AG28:AG34" si="34">+X28+Y28+Z28+AA28+AB28+AC28+AD28+AE28+AF28</f>
        <v>483489550</v>
      </c>
      <c r="AH28" s="78"/>
      <c r="AI28" s="78"/>
      <c r="AJ28" s="78">
        <v>380191884.6692</v>
      </c>
      <c r="AK28" s="78"/>
      <c r="AL28" s="78"/>
      <c r="AM28" s="78"/>
      <c r="AN28" s="78"/>
      <c r="AO28" s="78"/>
      <c r="AP28" s="78"/>
      <c r="AQ28" s="71">
        <f t="shared" ref="AQ28:AQ34" si="35">AH28+AI28+AJ28+AK28+AL28+AM28+AN28+AO28+AP28</f>
        <v>380191884.6692</v>
      </c>
      <c r="AR28" s="78"/>
      <c r="AS28" s="78"/>
      <c r="AT28" s="78">
        <v>398979641.20929998</v>
      </c>
      <c r="AU28" s="78"/>
      <c r="AV28" s="78"/>
      <c r="AW28" s="78"/>
      <c r="AX28" s="78"/>
      <c r="AY28" s="78"/>
      <c r="AZ28" s="78"/>
      <c r="BA28" s="78">
        <f t="shared" ref="BA28:BA34" si="36">SUM(AR28:AZ28)</f>
        <v>398979641.20929998</v>
      </c>
      <c r="BB28" s="78"/>
      <c r="BC28" s="78"/>
      <c r="BD28" s="78" t="s">
        <v>61</v>
      </c>
      <c r="BE28" s="78"/>
      <c r="BF28" s="78"/>
      <c r="BG28" s="78"/>
      <c r="BH28" s="78"/>
      <c r="BI28" s="78"/>
      <c r="BJ28" s="78"/>
      <c r="BK28" s="78">
        <f t="shared" ref="BK28:BK34" si="37">SUM(BB28:BJ28)</f>
        <v>0</v>
      </c>
      <c r="BL28" s="603">
        <f t="shared" ref="BL28:BL34" si="38">AG28+AQ28+BA28+BK28</f>
        <v>1262661075.8785</v>
      </c>
    </row>
    <row r="29" spans="1:64" ht="168.75" customHeight="1" x14ac:dyDescent="0.2">
      <c r="A29" s="56">
        <v>17</v>
      </c>
      <c r="B29" s="56">
        <v>1</v>
      </c>
      <c r="C29" s="43"/>
      <c r="D29" s="43"/>
      <c r="E29" s="79"/>
      <c r="F29" s="107"/>
      <c r="G29" s="102"/>
      <c r="H29" s="102"/>
      <c r="I29" s="64">
        <v>15</v>
      </c>
      <c r="J29" s="60" t="s">
        <v>100</v>
      </c>
      <c r="K29" s="57" t="s">
        <v>101</v>
      </c>
      <c r="L29" s="61" t="s">
        <v>53</v>
      </c>
      <c r="M29" s="61">
        <v>10</v>
      </c>
      <c r="N29" s="62" t="s">
        <v>54</v>
      </c>
      <c r="O29" s="63">
        <v>0</v>
      </c>
      <c r="P29" s="63">
        <v>2</v>
      </c>
      <c r="Q29" s="64">
        <v>2</v>
      </c>
      <c r="R29" s="65">
        <v>2</v>
      </c>
      <c r="S29" s="65">
        <v>2</v>
      </c>
      <c r="T29" s="65">
        <v>2</v>
      </c>
      <c r="U29" s="109">
        <f t="shared" si="33"/>
        <v>0.29237360920771049</v>
      </c>
      <c r="V29" s="65">
        <v>15</v>
      </c>
      <c r="W29" s="68" t="s">
        <v>55</v>
      </c>
      <c r="X29" s="69"/>
      <c r="Y29" s="69"/>
      <c r="Z29" s="96">
        <f>197400000+5000000+5000000</f>
        <v>207400000</v>
      </c>
      <c r="AA29" s="96"/>
      <c r="AB29" s="96"/>
      <c r="AC29" s="69"/>
      <c r="AD29" s="69"/>
      <c r="AE29" s="69"/>
      <c r="AF29" s="69"/>
      <c r="AG29" s="69">
        <f t="shared" si="34"/>
        <v>207400000</v>
      </c>
      <c r="AH29" s="78"/>
      <c r="AI29" s="78"/>
      <c r="AJ29" s="78">
        <v>169400000</v>
      </c>
      <c r="AK29" s="78"/>
      <c r="AL29" s="78"/>
      <c r="AM29" s="78"/>
      <c r="AN29" s="78"/>
      <c r="AO29" s="78"/>
      <c r="AP29" s="78"/>
      <c r="AQ29" s="71">
        <f t="shared" si="35"/>
        <v>169400000</v>
      </c>
      <c r="AR29" s="78"/>
      <c r="AS29" s="78"/>
      <c r="AT29" s="78">
        <v>170000000</v>
      </c>
      <c r="AU29" s="78"/>
      <c r="AV29" s="78"/>
      <c r="AW29" s="78"/>
      <c r="AX29" s="78"/>
      <c r="AY29" s="78"/>
      <c r="AZ29" s="78"/>
      <c r="BA29" s="78">
        <f t="shared" si="36"/>
        <v>170000000</v>
      </c>
      <c r="BB29" s="78"/>
      <c r="BC29" s="78"/>
      <c r="BD29" s="78">
        <v>175100000</v>
      </c>
      <c r="BE29" s="78"/>
      <c r="BF29" s="78"/>
      <c r="BG29" s="78"/>
      <c r="BH29" s="78"/>
      <c r="BI29" s="78"/>
      <c r="BJ29" s="78"/>
      <c r="BK29" s="78">
        <f t="shared" si="37"/>
        <v>175100000</v>
      </c>
      <c r="BL29" s="603">
        <f t="shared" si="38"/>
        <v>721900000</v>
      </c>
    </row>
    <row r="30" spans="1:64" ht="75" customHeight="1" x14ac:dyDescent="0.2">
      <c r="A30" s="74">
        <v>18</v>
      </c>
      <c r="B30" s="56">
        <v>1</v>
      </c>
      <c r="C30" s="43"/>
      <c r="D30" s="43"/>
      <c r="E30" s="79"/>
      <c r="F30" s="107"/>
      <c r="G30" s="102"/>
      <c r="H30" s="102"/>
      <c r="I30" s="64">
        <v>16</v>
      </c>
      <c r="J30" s="57" t="s">
        <v>102</v>
      </c>
      <c r="K30" s="57" t="s">
        <v>103</v>
      </c>
      <c r="L30" s="61" t="s">
        <v>53</v>
      </c>
      <c r="M30" s="61">
        <v>10</v>
      </c>
      <c r="N30" s="62" t="s">
        <v>69</v>
      </c>
      <c r="O30" s="63">
        <v>7</v>
      </c>
      <c r="P30" s="63">
        <v>12</v>
      </c>
      <c r="Q30" s="64">
        <v>0</v>
      </c>
      <c r="R30" s="65">
        <v>3</v>
      </c>
      <c r="S30" s="65">
        <v>4</v>
      </c>
      <c r="T30" s="65">
        <v>5</v>
      </c>
      <c r="U30" s="109">
        <f t="shared" si="33"/>
        <v>0</v>
      </c>
      <c r="V30" s="64">
        <v>15</v>
      </c>
      <c r="W30" s="68" t="s">
        <v>55</v>
      </c>
      <c r="X30" s="69"/>
      <c r="Y30" s="69"/>
      <c r="Z30" s="96"/>
      <c r="AA30" s="96"/>
      <c r="AB30" s="96"/>
      <c r="AC30" s="69"/>
      <c r="AD30" s="69"/>
      <c r="AE30" s="69"/>
      <c r="AF30" s="69"/>
      <c r="AG30" s="69">
        <f t="shared" si="34"/>
        <v>0</v>
      </c>
      <c r="AH30" s="78"/>
      <c r="AI30" s="78"/>
      <c r="AJ30" s="78">
        <v>6000000</v>
      </c>
      <c r="AK30" s="78"/>
      <c r="AL30" s="78"/>
      <c r="AM30" s="78"/>
      <c r="AN30" s="78"/>
      <c r="AO30" s="78"/>
      <c r="AP30" s="78"/>
      <c r="AQ30" s="71">
        <f t="shared" si="35"/>
        <v>6000000</v>
      </c>
      <c r="AR30" s="78"/>
      <c r="AS30" s="78"/>
      <c r="AT30" s="78">
        <v>7000000</v>
      </c>
      <c r="AU30" s="78"/>
      <c r="AV30" s="78"/>
      <c r="AW30" s="78"/>
      <c r="AX30" s="78"/>
      <c r="AY30" s="78"/>
      <c r="AZ30" s="78"/>
      <c r="BA30" s="78">
        <f t="shared" si="36"/>
        <v>7000000</v>
      </c>
      <c r="BB30" s="78"/>
      <c r="BC30" s="78"/>
      <c r="BD30" s="78">
        <v>7210000</v>
      </c>
      <c r="BE30" s="78"/>
      <c r="BF30" s="78"/>
      <c r="BG30" s="78"/>
      <c r="BH30" s="78"/>
      <c r="BI30" s="78"/>
      <c r="BJ30" s="78"/>
      <c r="BK30" s="78">
        <f t="shared" si="37"/>
        <v>7210000</v>
      </c>
      <c r="BL30" s="603">
        <f t="shared" si="38"/>
        <v>20210000</v>
      </c>
    </row>
    <row r="31" spans="1:64" ht="127.5" customHeight="1" x14ac:dyDescent="0.2">
      <c r="A31" s="56">
        <v>19</v>
      </c>
      <c r="B31" s="56">
        <v>1</v>
      </c>
      <c r="C31" s="43"/>
      <c r="D31" s="43"/>
      <c r="E31" s="79"/>
      <c r="F31" s="107"/>
      <c r="G31" s="102"/>
      <c r="H31" s="102"/>
      <c r="I31" s="64">
        <v>17</v>
      </c>
      <c r="J31" s="60" t="s">
        <v>104</v>
      </c>
      <c r="K31" s="57" t="s">
        <v>105</v>
      </c>
      <c r="L31" s="61" t="s">
        <v>53</v>
      </c>
      <c r="M31" s="61">
        <v>10</v>
      </c>
      <c r="N31" s="62" t="s">
        <v>69</v>
      </c>
      <c r="O31" s="63">
        <v>0</v>
      </c>
      <c r="P31" s="77">
        <v>270</v>
      </c>
      <c r="Q31" s="64">
        <v>0</v>
      </c>
      <c r="R31" s="537">
        <v>0</v>
      </c>
      <c r="S31" s="65">
        <v>0</v>
      </c>
      <c r="T31" s="64">
        <v>270</v>
      </c>
      <c r="U31" s="109">
        <f t="shared" si="33"/>
        <v>0</v>
      </c>
      <c r="V31" s="64">
        <v>15</v>
      </c>
      <c r="W31" s="68" t="s">
        <v>55</v>
      </c>
      <c r="X31" s="69"/>
      <c r="Y31" s="69"/>
      <c r="Z31" s="96"/>
      <c r="AA31" s="96"/>
      <c r="AB31" s="96"/>
      <c r="AC31" s="69"/>
      <c r="AD31" s="69"/>
      <c r="AE31" s="69"/>
      <c r="AF31" s="69"/>
      <c r="AG31" s="69">
        <f t="shared" si="34"/>
        <v>0</v>
      </c>
      <c r="AH31" s="78"/>
      <c r="AI31" s="78"/>
      <c r="AJ31" s="78">
        <v>0</v>
      </c>
      <c r="AK31" s="78"/>
      <c r="AL31" s="78"/>
      <c r="AM31" s="78"/>
      <c r="AN31" s="78"/>
      <c r="AO31" s="78"/>
      <c r="AP31" s="78"/>
      <c r="AQ31" s="71">
        <f t="shared" si="35"/>
        <v>0</v>
      </c>
      <c r="AR31" s="78"/>
      <c r="AS31" s="78"/>
      <c r="AT31" s="78">
        <v>0</v>
      </c>
      <c r="AU31" s="78"/>
      <c r="AV31" s="78"/>
      <c r="AW31" s="78"/>
      <c r="AX31" s="78"/>
      <c r="AY31" s="78"/>
      <c r="AZ31" s="78"/>
      <c r="BA31" s="78">
        <f t="shared" si="36"/>
        <v>0</v>
      </c>
      <c r="BB31" s="78"/>
      <c r="BC31" s="78"/>
      <c r="BD31" s="78">
        <v>410949030</v>
      </c>
      <c r="BE31" s="78"/>
      <c r="BF31" s="78"/>
      <c r="BG31" s="78"/>
      <c r="BH31" s="78"/>
      <c r="BI31" s="78"/>
      <c r="BJ31" s="78"/>
      <c r="BK31" s="78">
        <f t="shared" si="37"/>
        <v>410949030</v>
      </c>
      <c r="BL31" s="603">
        <f t="shared" si="38"/>
        <v>410949030</v>
      </c>
    </row>
    <row r="32" spans="1:64" ht="75" customHeight="1" x14ac:dyDescent="0.2">
      <c r="A32" s="74">
        <v>20</v>
      </c>
      <c r="B32" s="56">
        <v>1</v>
      </c>
      <c r="C32" s="43"/>
      <c r="D32" s="43"/>
      <c r="E32" s="79"/>
      <c r="F32" s="107"/>
      <c r="G32" s="102"/>
      <c r="H32" s="102"/>
      <c r="I32" s="64">
        <v>18</v>
      </c>
      <c r="J32" s="60" t="s">
        <v>106</v>
      </c>
      <c r="K32" s="57" t="s">
        <v>107</v>
      </c>
      <c r="L32" s="61" t="s">
        <v>53</v>
      </c>
      <c r="M32" s="61">
        <v>10</v>
      </c>
      <c r="N32" s="62" t="s">
        <v>69</v>
      </c>
      <c r="O32" s="63">
        <v>0</v>
      </c>
      <c r="P32" s="63">
        <v>20</v>
      </c>
      <c r="Q32" s="64">
        <v>0</v>
      </c>
      <c r="R32" s="65">
        <v>7</v>
      </c>
      <c r="S32" s="65">
        <v>7</v>
      </c>
      <c r="T32" s="65">
        <v>6</v>
      </c>
      <c r="U32" s="109">
        <f t="shared" si="33"/>
        <v>0</v>
      </c>
      <c r="V32" s="64">
        <v>15</v>
      </c>
      <c r="W32" s="68" t="s">
        <v>55</v>
      </c>
      <c r="X32" s="69"/>
      <c r="Y32" s="69"/>
      <c r="Z32" s="96"/>
      <c r="AA32" s="96"/>
      <c r="AB32" s="96"/>
      <c r="AC32" s="69"/>
      <c r="AD32" s="69"/>
      <c r="AE32" s="69"/>
      <c r="AF32" s="69"/>
      <c r="AG32" s="69">
        <f t="shared" si="34"/>
        <v>0</v>
      </c>
      <c r="AH32" s="78"/>
      <c r="AI32" s="78"/>
      <c r="AJ32" s="78">
        <v>10000000</v>
      </c>
      <c r="AK32" s="78"/>
      <c r="AL32" s="78"/>
      <c r="AM32" s="78"/>
      <c r="AN32" s="78"/>
      <c r="AO32" s="78"/>
      <c r="AP32" s="78"/>
      <c r="AQ32" s="71">
        <f t="shared" si="35"/>
        <v>10000000</v>
      </c>
      <c r="AR32" s="78"/>
      <c r="AS32" s="78"/>
      <c r="AT32" s="78">
        <v>7000000</v>
      </c>
      <c r="AU32" s="78"/>
      <c r="AV32" s="78"/>
      <c r="AW32" s="78"/>
      <c r="AX32" s="78"/>
      <c r="AY32" s="78"/>
      <c r="AZ32" s="78"/>
      <c r="BA32" s="78">
        <f t="shared" si="36"/>
        <v>7000000</v>
      </c>
      <c r="BB32" s="78"/>
      <c r="BC32" s="78"/>
      <c r="BD32" s="78">
        <v>7210000</v>
      </c>
      <c r="BE32" s="78"/>
      <c r="BF32" s="78"/>
      <c r="BG32" s="78"/>
      <c r="BH32" s="78"/>
      <c r="BI32" s="78"/>
      <c r="BJ32" s="78"/>
      <c r="BK32" s="78">
        <f t="shared" si="37"/>
        <v>7210000</v>
      </c>
      <c r="BL32" s="603">
        <f t="shared" si="38"/>
        <v>24210000</v>
      </c>
    </row>
    <row r="33" spans="1:65" ht="213" customHeight="1" x14ac:dyDescent="0.2">
      <c r="A33" s="56">
        <v>21</v>
      </c>
      <c r="B33" s="56">
        <v>1</v>
      </c>
      <c r="C33" s="43"/>
      <c r="D33" s="43"/>
      <c r="E33" s="79"/>
      <c r="F33" s="107"/>
      <c r="G33" s="102"/>
      <c r="H33" s="102"/>
      <c r="I33" s="64">
        <v>19</v>
      </c>
      <c r="J33" s="60" t="s">
        <v>108</v>
      </c>
      <c r="K33" s="57" t="s">
        <v>109</v>
      </c>
      <c r="L33" s="61" t="s">
        <v>53</v>
      </c>
      <c r="M33" s="61">
        <v>10</v>
      </c>
      <c r="N33" s="62" t="s">
        <v>69</v>
      </c>
      <c r="O33" s="63">
        <v>20</v>
      </c>
      <c r="P33" s="63">
        <v>31</v>
      </c>
      <c r="Q33" s="64">
        <v>5</v>
      </c>
      <c r="R33" s="65">
        <v>9</v>
      </c>
      <c r="S33" s="65">
        <v>9</v>
      </c>
      <c r="T33" s="65">
        <v>8</v>
      </c>
      <c r="U33" s="109">
        <f t="shared" si="33"/>
        <v>1.2969321141325636E-2</v>
      </c>
      <c r="V33" s="64">
        <v>4</v>
      </c>
      <c r="W33" s="61" t="s">
        <v>110</v>
      </c>
      <c r="X33" s="69"/>
      <c r="Y33" s="69"/>
      <c r="Z33" s="96">
        <f>9200000</f>
        <v>9200000</v>
      </c>
      <c r="AA33" s="96"/>
      <c r="AB33" s="96"/>
      <c r="AC33" s="69"/>
      <c r="AD33" s="69"/>
      <c r="AE33" s="69"/>
      <c r="AF33" s="69"/>
      <c r="AG33" s="69">
        <f t="shared" si="34"/>
        <v>9200000</v>
      </c>
      <c r="AH33" s="78"/>
      <c r="AI33" s="78"/>
      <c r="AJ33" s="78">
        <v>7000000</v>
      </c>
      <c r="AK33" s="78"/>
      <c r="AL33" s="78"/>
      <c r="AM33" s="78"/>
      <c r="AN33" s="78"/>
      <c r="AO33" s="78"/>
      <c r="AP33" s="78"/>
      <c r="AQ33" s="71">
        <f t="shared" si="35"/>
        <v>7000000</v>
      </c>
      <c r="AR33" s="78"/>
      <c r="AS33" s="78"/>
      <c r="AT33" s="78">
        <v>7000000</v>
      </c>
      <c r="AU33" s="78"/>
      <c r="AV33" s="78"/>
      <c r="AW33" s="78"/>
      <c r="AX33" s="78"/>
      <c r="AY33" s="78"/>
      <c r="AZ33" s="78"/>
      <c r="BA33" s="78">
        <f t="shared" si="36"/>
        <v>7000000</v>
      </c>
      <c r="BB33" s="78"/>
      <c r="BC33" s="78"/>
      <c r="BD33" s="78">
        <v>7210000</v>
      </c>
      <c r="BE33" s="78"/>
      <c r="BF33" s="78"/>
      <c r="BG33" s="78"/>
      <c r="BH33" s="78"/>
      <c r="BI33" s="78"/>
      <c r="BJ33" s="78"/>
      <c r="BK33" s="78">
        <f t="shared" si="37"/>
        <v>7210000</v>
      </c>
      <c r="BL33" s="603">
        <f t="shared" si="38"/>
        <v>30410000</v>
      </c>
    </row>
    <row r="34" spans="1:65" ht="75" customHeight="1" x14ac:dyDescent="0.2">
      <c r="A34" s="74">
        <v>22</v>
      </c>
      <c r="B34" s="56">
        <v>1</v>
      </c>
      <c r="C34" s="111"/>
      <c r="D34" s="111"/>
      <c r="E34" s="506"/>
      <c r="F34" s="517"/>
      <c r="G34" s="80"/>
      <c r="H34" s="80"/>
      <c r="I34" s="64">
        <v>20</v>
      </c>
      <c r="J34" s="60" t="s">
        <v>111</v>
      </c>
      <c r="K34" s="57" t="s">
        <v>112</v>
      </c>
      <c r="L34" s="61" t="s">
        <v>53</v>
      </c>
      <c r="M34" s="61">
        <v>10</v>
      </c>
      <c r="N34" s="62" t="s">
        <v>69</v>
      </c>
      <c r="O34" s="63" t="s">
        <v>49</v>
      </c>
      <c r="P34" s="63">
        <v>250</v>
      </c>
      <c r="Q34" s="64">
        <v>50</v>
      </c>
      <c r="R34" s="112">
        <v>70</v>
      </c>
      <c r="S34" s="64">
        <v>70</v>
      </c>
      <c r="T34" s="64">
        <v>60</v>
      </c>
      <c r="U34" s="109">
        <f t="shared" si="33"/>
        <v>1.3077586778679311E-2</v>
      </c>
      <c r="V34" s="64">
        <v>4</v>
      </c>
      <c r="W34" s="61" t="s">
        <v>110</v>
      </c>
      <c r="X34" s="69"/>
      <c r="Y34" s="69"/>
      <c r="Z34" s="96">
        <v>9276800</v>
      </c>
      <c r="AA34" s="96"/>
      <c r="AB34" s="96"/>
      <c r="AC34" s="69"/>
      <c r="AD34" s="69"/>
      <c r="AE34" s="69"/>
      <c r="AF34" s="69"/>
      <c r="AG34" s="69">
        <f t="shared" si="34"/>
        <v>9276800</v>
      </c>
      <c r="AH34" s="78"/>
      <c r="AI34" s="78"/>
      <c r="AJ34" s="78">
        <v>7000000</v>
      </c>
      <c r="AK34" s="78"/>
      <c r="AL34" s="78"/>
      <c r="AM34" s="78"/>
      <c r="AN34" s="78"/>
      <c r="AO34" s="78"/>
      <c r="AP34" s="78"/>
      <c r="AQ34" s="71">
        <f t="shared" si="35"/>
        <v>7000000</v>
      </c>
      <c r="AR34" s="78"/>
      <c r="AS34" s="78"/>
      <c r="AT34" s="78">
        <v>7000000</v>
      </c>
      <c r="AU34" s="78"/>
      <c r="AV34" s="78"/>
      <c r="AW34" s="78"/>
      <c r="AX34" s="78"/>
      <c r="AY34" s="78"/>
      <c r="AZ34" s="78"/>
      <c r="BA34" s="78">
        <f t="shared" si="36"/>
        <v>7000000</v>
      </c>
      <c r="BB34" s="78"/>
      <c r="BC34" s="78"/>
      <c r="BD34" s="78">
        <v>7210000</v>
      </c>
      <c r="BE34" s="78"/>
      <c r="BF34" s="78"/>
      <c r="BG34" s="78"/>
      <c r="BH34" s="78"/>
      <c r="BI34" s="78"/>
      <c r="BJ34" s="78"/>
      <c r="BK34" s="78">
        <f t="shared" si="37"/>
        <v>7210000</v>
      </c>
      <c r="BL34" s="603">
        <f t="shared" si="38"/>
        <v>30486800</v>
      </c>
      <c r="BM34" s="3"/>
    </row>
    <row r="35" spans="1:65" ht="24.75" customHeight="1" x14ac:dyDescent="0.2">
      <c r="A35" s="74"/>
      <c r="B35" s="56"/>
      <c r="C35" s="113">
        <v>2</v>
      </c>
      <c r="D35" s="114" t="s">
        <v>113</v>
      </c>
      <c r="E35" s="115"/>
      <c r="F35" s="116"/>
      <c r="G35" s="116"/>
      <c r="H35" s="116"/>
      <c r="I35" s="115"/>
      <c r="J35" s="116"/>
      <c r="K35" s="116"/>
      <c r="L35" s="117"/>
      <c r="M35" s="115"/>
      <c r="N35" s="118"/>
      <c r="O35" s="116"/>
      <c r="P35" s="116"/>
      <c r="Q35" s="119"/>
      <c r="R35" s="116"/>
      <c r="S35" s="116"/>
      <c r="T35" s="115"/>
      <c r="U35" s="120"/>
      <c r="V35" s="115"/>
      <c r="W35" s="115"/>
      <c r="X35" s="27">
        <f t="shared" ref="X35:AF35" si="39">X36+X73+X81</f>
        <v>0</v>
      </c>
      <c r="Y35" s="27">
        <f t="shared" si="39"/>
        <v>7917656341</v>
      </c>
      <c r="Z35" s="27">
        <f t="shared" si="39"/>
        <v>1496293889</v>
      </c>
      <c r="AA35" s="27">
        <f t="shared" si="39"/>
        <v>20519904</v>
      </c>
      <c r="AB35" s="27">
        <f t="shared" si="39"/>
        <v>0</v>
      </c>
      <c r="AC35" s="27">
        <f t="shared" si="39"/>
        <v>0</v>
      </c>
      <c r="AD35" s="27">
        <f t="shared" si="39"/>
        <v>0</v>
      </c>
      <c r="AE35" s="27">
        <f t="shared" si="39"/>
        <v>0</v>
      </c>
      <c r="AF35" s="27">
        <f t="shared" si="39"/>
        <v>15650000000</v>
      </c>
      <c r="AG35" s="121">
        <f>AG36+AG73+AG81</f>
        <v>25084470134</v>
      </c>
      <c r="AH35" s="27">
        <f t="shared" ref="AH35:AQ35" si="40">AH36+AH73+AH81</f>
        <v>6000000000</v>
      </c>
      <c r="AI35" s="27">
        <f t="shared" si="40"/>
        <v>8345340727</v>
      </c>
      <c r="AJ35" s="27">
        <f t="shared" si="40"/>
        <v>750000000</v>
      </c>
      <c r="AK35" s="27">
        <f t="shared" si="40"/>
        <v>0</v>
      </c>
      <c r="AL35" s="27">
        <f t="shared" si="40"/>
        <v>0</v>
      </c>
      <c r="AM35" s="27">
        <f t="shared" si="40"/>
        <v>0</v>
      </c>
      <c r="AN35" s="27">
        <f t="shared" si="40"/>
        <v>0</v>
      </c>
      <c r="AO35" s="27">
        <f t="shared" si="40"/>
        <v>0</v>
      </c>
      <c r="AP35" s="27">
        <f t="shared" si="40"/>
        <v>16000000000</v>
      </c>
      <c r="AQ35" s="27">
        <f t="shared" si="40"/>
        <v>31095340727</v>
      </c>
      <c r="AR35" s="29"/>
      <c r="AS35" s="29"/>
      <c r="AT35" s="29"/>
      <c r="AU35" s="29"/>
      <c r="AV35" s="29"/>
      <c r="AW35" s="29"/>
      <c r="AX35" s="29"/>
      <c r="AY35" s="29"/>
      <c r="AZ35" s="29"/>
      <c r="BA35" s="27">
        <f t="shared" ref="BA35" si="41">BA36+BA73+BA81</f>
        <v>32002536920</v>
      </c>
      <c r="BB35" s="29"/>
      <c r="BC35" s="29"/>
      <c r="BD35" s="29"/>
      <c r="BE35" s="29"/>
      <c r="BF35" s="29"/>
      <c r="BG35" s="29"/>
      <c r="BH35" s="29"/>
      <c r="BI35" s="29"/>
      <c r="BJ35" s="29"/>
      <c r="BK35" s="27">
        <f t="shared" ref="BK35" si="42">BK36+BK73+BK81</f>
        <v>33368847027</v>
      </c>
      <c r="BL35" s="27">
        <f t="shared" ref="BL35" si="43">BL36+BL73+BL81</f>
        <v>121551194808</v>
      </c>
    </row>
    <row r="36" spans="1:65" ht="24.75" customHeight="1" x14ac:dyDescent="0.2">
      <c r="A36" s="74"/>
      <c r="B36" s="56"/>
      <c r="C36" s="417"/>
      <c r="D36" s="30">
        <v>2</v>
      </c>
      <c r="E36" s="122" t="s">
        <v>114</v>
      </c>
      <c r="F36" s="32"/>
      <c r="G36" s="33"/>
      <c r="H36" s="33"/>
      <c r="I36" s="34"/>
      <c r="J36" s="35"/>
      <c r="K36" s="35"/>
      <c r="L36" s="36"/>
      <c r="M36" s="34"/>
      <c r="N36" s="37"/>
      <c r="O36" s="35"/>
      <c r="P36" s="35"/>
      <c r="Q36" s="38"/>
      <c r="R36" s="35"/>
      <c r="S36" s="35"/>
      <c r="T36" s="34"/>
      <c r="U36" s="123"/>
      <c r="V36" s="34"/>
      <c r="W36" s="34"/>
      <c r="X36" s="40">
        <f t="shared" ref="X36:AF36" si="44">X37+X42+X49+X54+X58+X64+X69</f>
        <v>0</v>
      </c>
      <c r="Y36" s="40">
        <f t="shared" si="44"/>
        <v>0</v>
      </c>
      <c r="Z36" s="40">
        <f t="shared" si="44"/>
        <v>730000000</v>
      </c>
      <c r="AA36" s="40">
        <f t="shared" si="44"/>
        <v>0</v>
      </c>
      <c r="AB36" s="40">
        <f t="shared" si="44"/>
        <v>0</v>
      </c>
      <c r="AC36" s="40">
        <f t="shared" si="44"/>
        <v>0</v>
      </c>
      <c r="AD36" s="40">
        <f t="shared" si="44"/>
        <v>0</v>
      </c>
      <c r="AE36" s="40">
        <f t="shared" si="44"/>
        <v>0</v>
      </c>
      <c r="AF36" s="40">
        <f t="shared" si="44"/>
        <v>10250000000</v>
      </c>
      <c r="AG36" s="41">
        <f>AG37+AG42+AG49+AG54+AG58+AG64+AG69</f>
        <v>10980000000</v>
      </c>
      <c r="AH36" s="40">
        <f t="shared" ref="AH36:AQ36" si="45">AH37+AH42+AH49+AH54+AH58+AH64+AH69</f>
        <v>3000000000</v>
      </c>
      <c r="AI36" s="40">
        <f t="shared" si="45"/>
        <v>0</v>
      </c>
      <c r="AJ36" s="40">
        <f t="shared" si="45"/>
        <v>510000000</v>
      </c>
      <c r="AK36" s="40">
        <f t="shared" si="45"/>
        <v>0</v>
      </c>
      <c r="AL36" s="40">
        <f t="shared" si="45"/>
        <v>0</v>
      </c>
      <c r="AM36" s="40">
        <f t="shared" si="45"/>
        <v>0</v>
      </c>
      <c r="AN36" s="40">
        <f t="shared" si="45"/>
        <v>0</v>
      </c>
      <c r="AO36" s="40">
        <f t="shared" si="45"/>
        <v>0</v>
      </c>
      <c r="AP36" s="40">
        <f t="shared" si="45"/>
        <v>4000000000</v>
      </c>
      <c r="AQ36" s="40">
        <f t="shared" si="45"/>
        <v>7510000000</v>
      </c>
      <c r="AR36" s="42"/>
      <c r="AS36" s="42"/>
      <c r="AT36" s="42"/>
      <c r="AU36" s="42"/>
      <c r="AV36" s="42"/>
      <c r="AW36" s="42"/>
      <c r="AX36" s="42"/>
      <c r="AY36" s="42"/>
      <c r="AZ36" s="42"/>
      <c r="BA36" s="40">
        <f t="shared" ref="BA36" si="46">BA37+BA42+BA49+BA54+BA58+BA64+BA69</f>
        <v>10150000000</v>
      </c>
      <c r="BB36" s="42"/>
      <c r="BC36" s="42"/>
      <c r="BD36" s="42"/>
      <c r="BE36" s="42"/>
      <c r="BF36" s="42"/>
      <c r="BG36" s="42"/>
      <c r="BH36" s="42"/>
      <c r="BI36" s="42"/>
      <c r="BJ36" s="42"/>
      <c r="BK36" s="40">
        <f t="shared" ref="BK36" si="47">BK37+BK42+BK49+BK54+BK58+BK64+BK69</f>
        <v>8075000000</v>
      </c>
      <c r="BL36" s="40">
        <f t="shared" ref="BL36" si="48">BL37+BL42+BL49+BL54+BL58+BL64+BL69</f>
        <v>36715000000</v>
      </c>
    </row>
    <row r="37" spans="1:65" ht="24.75" customHeight="1" x14ac:dyDescent="0.2">
      <c r="A37" s="74"/>
      <c r="B37" s="56"/>
      <c r="C37" s="124"/>
      <c r="D37" s="417"/>
      <c r="E37" s="44">
        <v>4</v>
      </c>
      <c r="F37" s="45" t="s">
        <v>115</v>
      </c>
      <c r="G37" s="45"/>
      <c r="H37" s="48"/>
      <c r="I37" s="47"/>
      <c r="J37" s="45"/>
      <c r="K37" s="48"/>
      <c r="L37" s="47"/>
      <c r="M37" s="49"/>
      <c r="N37" s="50"/>
      <c r="O37" s="48"/>
      <c r="P37" s="48"/>
      <c r="Q37" s="51"/>
      <c r="R37" s="48"/>
      <c r="S37" s="48"/>
      <c r="T37" s="49"/>
      <c r="U37" s="125"/>
      <c r="V37" s="49"/>
      <c r="W37" s="49"/>
      <c r="X37" s="53">
        <f t="shared" ref="X37:AF37" si="49">SUM(X38:X41)</f>
        <v>0</v>
      </c>
      <c r="Y37" s="53">
        <f t="shared" si="49"/>
        <v>0</v>
      </c>
      <c r="Z37" s="53">
        <f t="shared" si="49"/>
        <v>200000000</v>
      </c>
      <c r="AA37" s="53">
        <f t="shared" si="49"/>
        <v>0</v>
      </c>
      <c r="AB37" s="53">
        <f t="shared" si="49"/>
        <v>0</v>
      </c>
      <c r="AC37" s="53">
        <f t="shared" si="49"/>
        <v>0</v>
      </c>
      <c r="AD37" s="53">
        <f t="shared" si="49"/>
        <v>0</v>
      </c>
      <c r="AE37" s="53">
        <f t="shared" si="49"/>
        <v>0</v>
      </c>
      <c r="AF37" s="53">
        <f t="shared" si="49"/>
        <v>1000000000</v>
      </c>
      <c r="AG37" s="54">
        <f>SUM(AG38:AG41)</f>
        <v>1200000000</v>
      </c>
      <c r="AH37" s="53">
        <f t="shared" ref="AH37:AQ37" si="50">SUM(AH38:AH41)</f>
        <v>0</v>
      </c>
      <c r="AI37" s="53">
        <f t="shared" si="50"/>
        <v>0</v>
      </c>
      <c r="AJ37" s="53">
        <f t="shared" si="50"/>
        <v>0</v>
      </c>
      <c r="AK37" s="53">
        <f t="shared" si="50"/>
        <v>0</v>
      </c>
      <c r="AL37" s="53">
        <f t="shared" si="50"/>
        <v>0</v>
      </c>
      <c r="AM37" s="53">
        <f t="shared" si="50"/>
        <v>0</v>
      </c>
      <c r="AN37" s="53">
        <f t="shared" si="50"/>
        <v>0</v>
      </c>
      <c r="AO37" s="53">
        <f t="shared" si="50"/>
        <v>0</v>
      </c>
      <c r="AP37" s="53">
        <f t="shared" si="50"/>
        <v>1000000000</v>
      </c>
      <c r="AQ37" s="53">
        <f t="shared" si="50"/>
        <v>1000000000</v>
      </c>
      <c r="AR37" s="55"/>
      <c r="AS37" s="55"/>
      <c r="AT37" s="55"/>
      <c r="AU37" s="55"/>
      <c r="AV37" s="55"/>
      <c r="AW37" s="55"/>
      <c r="AX37" s="55"/>
      <c r="AY37" s="55"/>
      <c r="AZ37" s="55"/>
      <c r="BA37" s="53">
        <f t="shared" ref="BA37" si="51">SUM(BA38:BA41)</f>
        <v>1000000000</v>
      </c>
      <c r="BB37" s="55"/>
      <c r="BC37" s="55"/>
      <c r="BD37" s="55"/>
      <c r="BE37" s="55"/>
      <c r="BF37" s="55"/>
      <c r="BG37" s="55"/>
      <c r="BH37" s="55"/>
      <c r="BI37" s="55"/>
      <c r="BJ37" s="55"/>
      <c r="BK37" s="53">
        <f t="shared" ref="BK37" si="52">SUM(BK38:BK41)</f>
        <v>1000000000</v>
      </c>
      <c r="BL37" s="53">
        <f t="shared" ref="BL37" si="53">SUM(BL38:BL41)</f>
        <v>4200000000</v>
      </c>
    </row>
    <row r="38" spans="1:65" ht="72" customHeight="1" x14ac:dyDescent="0.2">
      <c r="A38" s="56">
        <v>23</v>
      </c>
      <c r="B38" s="56">
        <v>2</v>
      </c>
      <c r="C38" s="124"/>
      <c r="D38" s="124"/>
      <c r="E38" s="81">
        <v>5</v>
      </c>
      <c r="F38" s="57" t="s">
        <v>116</v>
      </c>
      <c r="G38" s="75" t="s">
        <v>117</v>
      </c>
      <c r="H38" s="75" t="s">
        <v>118</v>
      </c>
      <c r="I38" s="59">
        <v>21</v>
      </c>
      <c r="J38" s="60" t="s">
        <v>119</v>
      </c>
      <c r="K38" s="57" t="s">
        <v>120</v>
      </c>
      <c r="L38" s="61" t="s">
        <v>121</v>
      </c>
      <c r="M38" s="61">
        <v>13</v>
      </c>
      <c r="N38" s="62" t="s">
        <v>69</v>
      </c>
      <c r="O38" s="63">
        <v>20</v>
      </c>
      <c r="P38" s="63">
        <v>400</v>
      </c>
      <c r="Q38" s="64">
        <v>100</v>
      </c>
      <c r="R38" s="65">
        <v>100</v>
      </c>
      <c r="S38" s="65">
        <v>100</v>
      </c>
      <c r="T38" s="65">
        <v>100</v>
      </c>
      <c r="U38" s="66">
        <f>AG38/AG37</f>
        <v>1</v>
      </c>
      <c r="V38" s="59">
        <v>12</v>
      </c>
      <c r="W38" s="126" t="s">
        <v>70</v>
      </c>
      <c r="X38" s="69"/>
      <c r="Y38" s="69"/>
      <c r="Z38" s="69">
        <v>200000000</v>
      </c>
      <c r="AA38" s="69"/>
      <c r="AB38" s="69"/>
      <c r="AC38" s="69"/>
      <c r="AD38" s="69"/>
      <c r="AE38" s="69"/>
      <c r="AF38" s="69">
        <v>1000000000</v>
      </c>
      <c r="AG38" s="69">
        <f>+X38+Y38+Z38+AA38+AB38+AC38+AD38+AE38+AF38</f>
        <v>1200000000</v>
      </c>
      <c r="AH38" s="78"/>
      <c r="AI38" s="78"/>
      <c r="AJ38" s="78"/>
      <c r="AK38" s="78"/>
      <c r="AL38" s="78"/>
      <c r="AM38" s="78"/>
      <c r="AN38" s="78"/>
      <c r="AO38" s="78"/>
      <c r="AP38" s="78">
        <v>100000000</v>
      </c>
      <c r="AQ38" s="71">
        <f>AH38+AI38+AJ38+AK38+AL38+AM38+AN38+AO38+AP38</f>
        <v>100000000</v>
      </c>
      <c r="AR38" s="78"/>
      <c r="AS38" s="78"/>
      <c r="AT38" s="78"/>
      <c r="AU38" s="78"/>
      <c r="AV38" s="78"/>
      <c r="AW38" s="78"/>
      <c r="AX38" s="78"/>
      <c r="AY38" s="78"/>
      <c r="AZ38" s="78">
        <v>100000000</v>
      </c>
      <c r="BA38" s="78">
        <f>SUM(AR38:AZ38)</f>
        <v>100000000</v>
      </c>
      <c r="BB38" s="78"/>
      <c r="BC38" s="78"/>
      <c r="BD38" s="78"/>
      <c r="BE38" s="78"/>
      <c r="BF38" s="78"/>
      <c r="BG38" s="78"/>
      <c r="BH38" s="78"/>
      <c r="BI38" s="78"/>
      <c r="BJ38" s="78">
        <v>100000000</v>
      </c>
      <c r="BK38" s="78">
        <f>SUM(BB38:BJ38)</f>
        <v>100000000</v>
      </c>
      <c r="BL38" s="603">
        <f>AG38+AQ38+BA38+BK38</f>
        <v>1500000000</v>
      </c>
    </row>
    <row r="39" spans="1:65" ht="72" customHeight="1" x14ac:dyDescent="0.2">
      <c r="A39" s="74">
        <v>24</v>
      </c>
      <c r="B39" s="56">
        <v>2</v>
      </c>
      <c r="C39" s="124"/>
      <c r="D39" s="124"/>
      <c r="E39" s="81">
        <v>6</v>
      </c>
      <c r="F39" s="57" t="s">
        <v>122</v>
      </c>
      <c r="G39" s="75" t="s">
        <v>123</v>
      </c>
      <c r="H39" s="75" t="s">
        <v>124</v>
      </c>
      <c r="I39" s="59">
        <v>22</v>
      </c>
      <c r="J39" s="60" t="s">
        <v>125</v>
      </c>
      <c r="K39" s="57" t="s">
        <v>126</v>
      </c>
      <c r="L39" s="61" t="s">
        <v>121</v>
      </c>
      <c r="M39" s="61">
        <v>13</v>
      </c>
      <c r="N39" s="62" t="s">
        <v>69</v>
      </c>
      <c r="O39" s="63">
        <v>0</v>
      </c>
      <c r="P39" s="63">
        <v>6</v>
      </c>
      <c r="Q39" s="65">
        <v>0</v>
      </c>
      <c r="R39" s="65">
        <v>1</v>
      </c>
      <c r="S39" s="65">
        <v>2</v>
      </c>
      <c r="T39" s="65">
        <v>3</v>
      </c>
      <c r="U39" s="127"/>
      <c r="V39" s="59">
        <v>12</v>
      </c>
      <c r="W39" s="126" t="s">
        <v>70</v>
      </c>
      <c r="X39" s="69"/>
      <c r="Y39" s="69"/>
      <c r="Z39" s="69"/>
      <c r="AA39" s="69"/>
      <c r="AB39" s="69"/>
      <c r="AC39" s="69"/>
      <c r="AD39" s="69"/>
      <c r="AE39" s="69"/>
      <c r="AF39" s="69"/>
      <c r="AG39" s="69">
        <f>+X39+Y39+Z39+AA39+AB39+AC39+AD39+AE39+AF39</f>
        <v>0</v>
      </c>
      <c r="AH39" s="78"/>
      <c r="AI39" s="78"/>
      <c r="AJ39" s="78"/>
      <c r="AK39" s="78"/>
      <c r="AL39" s="78"/>
      <c r="AM39" s="78"/>
      <c r="AN39" s="78"/>
      <c r="AO39" s="78"/>
      <c r="AP39" s="78">
        <v>200000000</v>
      </c>
      <c r="AQ39" s="71">
        <f>AH39+AI39+AJ39+AK39+AL39+AM39+AN39+AO39+AP39</f>
        <v>200000000</v>
      </c>
      <c r="AR39" s="78"/>
      <c r="AS39" s="78"/>
      <c r="AT39" s="78"/>
      <c r="AU39" s="78"/>
      <c r="AV39" s="78"/>
      <c r="AW39" s="78"/>
      <c r="AX39" s="78"/>
      <c r="AY39" s="78"/>
      <c r="AZ39" s="78">
        <v>200000000</v>
      </c>
      <c r="BA39" s="78">
        <f>SUM(AR39:AZ39)</f>
        <v>200000000</v>
      </c>
      <c r="BB39" s="78"/>
      <c r="BC39" s="78"/>
      <c r="BD39" s="78"/>
      <c r="BE39" s="78"/>
      <c r="BF39" s="78"/>
      <c r="BG39" s="78"/>
      <c r="BH39" s="78"/>
      <c r="BI39" s="78"/>
      <c r="BJ39" s="78">
        <v>200000000</v>
      </c>
      <c r="BK39" s="78">
        <f>SUM(BB39:BJ39)</f>
        <v>200000000</v>
      </c>
      <c r="BL39" s="603">
        <f>AG39+AQ39+BA39+BK39</f>
        <v>600000000</v>
      </c>
    </row>
    <row r="40" spans="1:65" ht="72" customHeight="1" x14ac:dyDescent="0.2">
      <c r="A40" s="56">
        <v>25</v>
      </c>
      <c r="B40" s="56">
        <v>2</v>
      </c>
      <c r="C40" s="124"/>
      <c r="D40" s="124"/>
      <c r="E40" s="510">
        <v>7</v>
      </c>
      <c r="F40" s="516" t="s">
        <v>127</v>
      </c>
      <c r="G40" s="408" t="s">
        <v>128</v>
      </c>
      <c r="H40" s="418">
        <v>0.27</v>
      </c>
      <c r="I40" s="59">
        <v>23</v>
      </c>
      <c r="J40" s="60" t="s">
        <v>129</v>
      </c>
      <c r="K40" s="60" t="s">
        <v>130</v>
      </c>
      <c r="L40" s="61" t="s">
        <v>121</v>
      </c>
      <c r="M40" s="61">
        <v>13</v>
      </c>
      <c r="N40" s="61" t="s">
        <v>54</v>
      </c>
      <c r="O40" s="77">
        <v>0</v>
      </c>
      <c r="P40" s="77">
        <v>1</v>
      </c>
      <c r="Q40" s="64">
        <v>0</v>
      </c>
      <c r="R40" s="64">
        <v>1</v>
      </c>
      <c r="S40" s="64">
        <v>1</v>
      </c>
      <c r="T40" s="64">
        <v>1</v>
      </c>
      <c r="U40" s="127"/>
      <c r="V40" s="59">
        <v>8</v>
      </c>
      <c r="W40" s="126" t="s">
        <v>131</v>
      </c>
      <c r="X40" s="69"/>
      <c r="Y40" s="69"/>
      <c r="Z40" s="69"/>
      <c r="AA40" s="69"/>
      <c r="AB40" s="69"/>
      <c r="AC40" s="69"/>
      <c r="AD40" s="69"/>
      <c r="AE40" s="69"/>
      <c r="AF40" s="69"/>
      <c r="AG40" s="69">
        <f>+X40+Y40+Z40+AA40+AB40+AC40+AD40+AE40+AF40</f>
        <v>0</v>
      </c>
      <c r="AH40" s="78"/>
      <c r="AI40" s="78"/>
      <c r="AJ40" s="78"/>
      <c r="AK40" s="78"/>
      <c r="AL40" s="78"/>
      <c r="AM40" s="78"/>
      <c r="AN40" s="78"/>
      <c r="AO40" s="78"/>
      <c r="AP40" s="78">
        <v>100000000</v>
      </c>
      <c r="AQ40" s="71">
        <f>AH40+AI40+AJ40+AK40+AL40+AM40+AN40+AO40+AP40</f>
        <v>100000000</v>
      </c>
      <c r="AR40" s="78"/>
      <c r="AS40" s="78"/>
      <c r="AT40" s="78"/>
      <c r="AU40" s="78"/>
      <c r="AV40" s="78"/>
      <c r="AW40" s="78"/>
      <c r="AX40" s="78"/>
      <c r="AY40" s="78"/>
      <c r="AZ40" s="78">
        <v>100000000</v>
      </c>
      <c r="BA40" s="78">
        <f>SUM(AR40:AZ40)</f>
        <v>100000000</v>
      </c>
      <c r="BB40" s="78"/>
      <c r="BC40" s="78"/>
      <c r="BD40" s="78"/>
      <c r="BE40" s="78"/>
      <c r="BF40" s="78"/>
      <c r="BG40" s="78"/>
      <c r="BH40" s="78"/>
      <c r="BI40" s="78"/>
      <c r="BJ40" s="78">
        <v>100000000</v>
      </c>
      <c r="BK40" s="78">
        <f>SUM(BB40:BJ40)</f>
        <v>100000000</v>
      </c>
      <c r="BL40" s="603">
        <f>AG40+AQ40+BA40+BK40</f>
        <v>300000000</v>
      </c>
    </row>
    <row r="41" spans="1:65" ht="72" customHeight="1" x14ac:dyDescent="0.2">
      <c r="A41" s="74">
        <v>26</v>
      </c>
      <c r="B41" s="56">
        <v>2</v>
      </c>
      <c r="C41" s="124"/>
      <c r="D41" s="128"/>
      <c r="E41" s="531"/>
      <c r="F41" s="129"/>
      <c r="G41" s="130"/>
      <c r="H41" s="490"/>
      <c r="I41" s="64">
        <v>24</v>
      </c>
      <c r="J41" s="60" t="s">
        <v>132</v>
      </c>
      <c r="K41" s="57" t="s">
        <v>133</v>
      </c>
      <c r="L41" s="61" t="s">
        <v>121</v>
      </c>
      <c r="M41" s="61">
        <v>13</v>
      </c>
      <c r="N41" s="61" t="s">
        <v>69</v>
      </c>
      <c r="O41" s="77">
        <v>0</v>
      </c>
      <c r="P41" s="77">
        <v>1</v>
      </c>
      <c r="Q41" s="64">
        <v>0</v>
      </c>
      <c r="R41" s="64">
        <v>1</v>
      </c>
      <c r="S41" s="64">
        <v>0</v>
      </c>
      <c r="T41" s="64">
        <v>0</v>
      </c>
      <c r="U41" s="127"/>
      <c r="V41" s="59">
        <v>8</v>
      </c>
      <c r="W41" s="126" t="s">
        <v>131</v>
      </c>
      <c r="X41" s="69"/>
      <c r="Y41" s="69"/>
      <c r="Z41" s="69"/>
      <c r="AA41" s="69"/>
      <c r="AB41" s="69"/>
      <c r="AC41" s="69"/>
      <c r="AD41" s="69"/>
      <c r="AE41" s="69"/>
      <c r="AF41" s="69"/>
      <c r="AG41" s="69">
        <f>+X41+Y41+Z41+AA41+AB41+AC41+AD41+AE41+AF41</f>
        <v>0</v>
      </c>
      <c r="AH41" s="78"/>
      <c r="AI41" s="78"/>
      <c r="AJ41" s="78"/>
      <c r="AK41" s="78"/>
      <c r="AL41" s="78"/>
      <c r="AM41" s="78"/>
      <c r="AN41" s="78"/>
      <c r="AO41" s="78"/>
      <c r="AP41" s="78">
        <v>600000000</v>
      </c>
      <c r="AQ41" s="71">
        <f>AH41+AI41+AJ41+AK41+AL41+AM41+AN41+AO41+AP41</f>
        <v>600000000</v>
      </c>
      <c r="AR41" s="78"/>
      <c r="AS41" s="78"/>
      <c r="AT41" s="78"/>
      <c r="AU41" s="78"/>
      <c r="AV41" s="78"/>
      <c r="AW41" s="78"/>
      <c r="AX41" s="78"/>
      <c r="AY41" s="78"/>
      <c r="AZ41" s="78">
        <v>600000000</v>
      </c>
      <c r="BA41" s="78">
        <f>SUM(AR41:AZ41)</f>
        <v>600000000</v>
      </c>
      <c r="BB41" s="78"/>
      <c r="BC41" s="78"/>
      <c r="BD41" s="78"/>
      <c r="BE41" s="78"/>
      <c r="BF41" s="78"/>
      <c r="BG41" s="78"/>
      <c r="BH41" s="78"/>
      <c r="BI41" s="78"/>
      <c r="BJ41" s="78">
        <v>600000000</v>
      </c>
      <c r="BK41" s="78">
        <f>SUM(BB41:BJ41)</f>
        <v>600000000</v>
      </c>
      <c r="BL41" s="603">
        <f>AG41+AQ41+BA41+BK41</f>
        <v>1800000000</v>
      </c>
    </row>
    <row r="42" spans="1:65" ht="24.75" customHeight="1" x14ac:dyDescent="0.2">
      <c r="A42" s="74"/>
      <c r="B42" s="56"/>
      <c r="C42" s="124"/>
      <c r="D42" s="124"/>
      <c r="E42" s="131">
        <v>5</v>
      </c>
      <c r="F42" s="132" t="s">
        <v>134</v>
      </c>
      <c r="G42" s="132"/>
      <c r="H42" s="133"/>
      <c r="I42" s="49"/>
      <c r="J42" s="134"/>
      <c r="K42" s="48"/>
      <c r="L42" s="47"/>
      <c r="M42" s="49"/>
      <c r="N42" s="50"/>
      <c r="O42" s="48"/>
      <c r="P42" s="48"/>
      <c r="Q42" s="51"/>
      <c r="R42" s="48"/>
      <c r="S42" s="48"/>
      <c r="T42" s="49"/>
      <c r="U42" s="125"/>
      <c r="V42" s="49"/>
      <c r="W42" s="49"/>
      <c r="X42" s="53">
        <f t="shared" ref="X42:AF42" si="54">SUM(X43:X48)</f>
        <v>0</v>
      </c>
      <c r="Y42" s="53">
        <f t="shared" si="54"/>
        <v>0</v>
      </c>
      <c r="Z42" s="53">
        <f t="shared" si="54"/>
        <v>0</v>
      </c>
      <c r="AA42" s="53">
        <f t="shared" si="54"/>
        <v>0</v>
      </c>
      <c r="AB42" s="53">
        <f t="shared" si="54"/>
        <v>0</v>
      </c>
      <c r="AC42" s="53">
        <f t="shared" si="54"/>
        <v>0</v>
      </c>
      <c r="AD42" s="53">
        <f t="shared" si="54"/>
        <v>0</v>
      </c>
      <c r="AE42" s="53">
        <f t="shared" si="54"/>
        <v>0</v>
      </c>
      <c r="AF42" s="53">
        <f t="shared" si="54"/>
        <v>6000000000</v>
      </c>
      <c r="AG42" s="135">
        <f>SUM(AG43:AG48)</f>
        <v>6000000000</v>
      </c>
      <c r="AH42" s="53">
        <f t="shared" ref="AH42:AQ42" si="55">SUM(AH43:AH48)</f>
        <v>3000000000</v>
      </c>
      <c r="AI42" s="53">
        <f t="shared" si="55"/>
        <v>0</v>
      </c>
      <c r="AJ42" s="53">
        <f t="shared" si="55"/>
        <v>0</v>
      </c>
      <c r="AK42" s="53">
        <f t="shared" si="55"/>
        <v>0</v>
      </c>
      <c r="AL42" s="53">
        <f t="shared" si="55"/>
        <v>0</v>
      </c>
      <c r="AM42" s="53">
        <f t="shared" si="55"/>
        <v>0</v>
      </c>
      <c r="AN42" s="53">
        <f t="shared" si="55"/>
        <v>0</v>
      </c>
      <c r="AO42" s="53">
        <f t="shared" si="55"/>
        <v>0</v>
      </c>
      <c r="AP42" s="53">
        <f t="shared" si="55"/>
        <v>3000000000</v>
      </c>
      <c r="AQ42" s="53">
        <f t="shared" si="55"/>
        <v>6000000000</v>
      </c>
      <c r="AR42" s="136"/>
      <c r="AS42" s="136"/>
      <c r="AT42" s="136"/>
      <c r="AU42" s="136"/>
      <c r="AV42" s="136"/>
      <c r="AW42" s="136"/>
      <c r="AX42" s="136"/>
      <c r="AY42" s="136"/>
      <c r="AZ42" s="136"/>
      <c r="BA42" s="53">
        <f t="shared" ref="BA42" si="56">SUM(BA43:BA48)</f>
        <v>9000000000</v>
      </c>
      <c r="BB42" s="136"/>
      <c r="BC42" s="136"/>
      <c r="BD42" s="136"/>
      <c r="BE42" s="136"/>
      <c r="BF42" s="136"/>
      <c r="BG42" s="136"/>
      <c r="BH42" s="136"/>
      <c r="BI42" s="136"/>
      <c r="BJ42" s="136"/>
      <c r="BK42" s="53">
        <f t="shared" ref="BK42:BL42" si="57">SUM(BK43:BK48)</f>
        <v>7000000000</v>
      </c>
      <c r="BL42" s="53">
        <f t="shared" si="57"/>
        <v>28000000000</v>
      </c>
    </row>
    <row r="43" spans="1:65" ht="101.25" customHeight="1" x14ac:dyDescent="0.2">
      <c r="A43" s="56">
        <v>27</v>
      </c>
      <c r="B43" s="56">
        <v>2</v>
      </c>
      <c r="C43" s="124"/>
      <c r="D43" s="124"/>
      <c r="E43" s="510"/>
      <c r="G43" s="491"/>
      <c r="H43" s="419"/>
      <c r="I43" s="64">
        <v>25</v>
      </c>
      <c r="J43" s="60" t="s">
        <v>135</v>
      </c>
      <c r="K43" s="57" t="s">
        <v>136</v>
      </c>
      <c r="L43" s="61" t="s">
        <v>121</v>
      </c>
      <c r="M43" s="61">
        <v>13</v>
      </c>
      <c r="N43" s="62" t="s">
        <v>69</v>
      </c>
      <c r="O43" s="63" t="s">
        <v>49</v>
      </c>
      <c r="P43" s="63">
        <v>6</v>
      </c>
      <c r="Q43" s="65">
        <v>0</v>
      </c>
      <c r="R43" s="65">
        <v>2</v>
      </c>
      <c r="S43" s="65">
        <v>2</v>
      </c>
      <c r="T43" s="65">
        <v>2</v>
      </c>
      <c r="U43" s="137"/>
      <c r="V43" s="64">
        <v>2</v>
      </c>
      <c r="W43" s="61" t="s">
        <v>137</v>
      </c>
      <c r="X43" s="69"/>
      <c r="Y43" s="69"/>
      <c r="Z43" s="69"/>
      <c r="AA43" s="69"/>
      <c r="AB43" s="69"/>
      <c r="AC43" s="69"/>
      <c r="AD43" s="69"/>
      <c r="AE43" s="69"/>
      <c r="AF43" s="69"/>
      <c r="AG43" s="69">
        <f t="shared" ref="AG43:AG48" si="58">+X43+Y43+Z43+AA43+AB43+AC43+AD43+AE43+AF43</f>
        <v>0</v>
      </c>
      <c r="AH43" s="78">
        <v>1000000000</v>
      </c>
      <c r="AI43" s="78"/>
      <c r="AJ43" s="78"/>
      <c r="AK43" s="78"/>
      <c r="AL43" s="78"/>
      <c r="AM43" s="78"/>
      <c r="AN43" s="78"/>
      <c r="AO43" s="78"/>
      <c r="AP43" s="78"/>
      <c r="AQ43" s="71">
        <f t="shared" ref="AQ43:AQ48" si="59">AH43+AI43+AJ43+AK43+AL43+AM43+AN43+AO43+AP43</f>
        <v>1000000000</v>
      </c>
      <c r="AR43" s="138"/>
      <c r="AS43" s="511"/>
      <c r="AT43" s="511"/>
      <c r="AU43" s="511"/>
      <c r="AV43" s="511"/>
      <c r="AW43" s="511"/>
      <c r="AX43" s="511"/>
      <c r="AY43" s="511"/>
      <c r="AZ43" s="511">
        <v>1000000000</v>
      </c>
      <c r="BA43" s="511">
        <f t="shared" ref="BA43:BA48" si="60">SUM(AR43:AZ43)</f>
        <v>1000000000</v>
      </c>
      <c r="BB43" s="78"/>
      <c r="BC43" s="78"/>
      <c r="BD43" s="78"/>
      <c r="BE43" s="78"/>
      <c r="BF43" s="78"/>
      <c r="BG43" s="78"/>
      <c r="BH43" s="78"/>
      <c r="BI43" s="78"/>
      <c r="BJ43" s="78"/>
      <c r="BK43" s="78">
        <f t="shared" ref="BK43:BK48" si="61">SUM(BB43:BJ43)</f>
        <v>0</v>
      </c>
      <c r="BL43" s="603">
        <f t="shared" ref="BL43:BL48" si="62">AG43+AQ43+BA43+BK43</f>
        <v>2000000000</v>
      </c>
    </row>
    <row r="44" spans="1:65" ht="93" customHeight="1" x14ac:dyDescent="0.2">
      <c r="A44" s="74">
        <v>28</v>
      </c>
      <c r="B44" s="56">
        <v>2</v>
      </c>
      <c r="C44" s="124"/>
      <c r="D44" s="124"/>
      <c r="E44" s="79">
        <v>5</v>
      </c>
      <c r="F44" s="107" t="s">
        <v>138</v>
      </c>
      <c r="G44" s="139" t="s">
        <v>117</v>
      </c>
      <c r="H44" s="139" t="s">
        <v>118</v>
      </c>
      <c r="I44" s="64">
        <v>26</v>
      </c>
      <c r="J44" s="60" t="s">
        <v>139</v>
      </c>
      <c r="K44" s="57" t="s">
        <v>140</v>
      </c>
      <c r="L44" s="61" t="s">
        <v>121</v>
      </c>
      <c r="M44" s="61">
        <v>13</v>
      </c>
      <c r="N44" s="62" t="s">
        <v>69</v>
      </c>
      <c r="O44" s="63" t="s">
        <v>49</v>
      </c>
      <c r="P44" s="63">
        <v>5</v>
      </c>
      <c r="Q44" s="65">
        <v>0</v>
      </c>
      <c r="R44" s="65">
        <v>1</v>
      </c>
      <c r="S44" s="65">
        <v>2</v>
      </c>
      <c r="T44" s="65">
        <v>2</v>
      </c>
      <c r="U44" s="137"/>
      <c r="V44" s="64">
        <v>2</v>
      </c>
      <c r="W44" s="61" t="s">
        <v>137</v>
      </c>
      <c r="X44" s="69"/>
      <c r="Y44" s="69"/>
      <c r="Z44" s="69"/>
      <c r="AA44" s="69"/>
      <c r="AB44" s="69"/>
      <c r="AC44" s="69"/>
      <c r="AD44" s="69"/>
      <c r="AE44" s="69"/>
      <c r="AF44" s="69"/>
      <c r="AG44" s="69">
        <f t="shared" si="58"/>
        <v>0</v>
      </c>
      <c r="AH44" s="78">
        <v>1000000000</v>
      </c>
      <c r="AI44" s="78"/>
      <c r="AJ44" s="78"/>
      <c r="AK44" s="78"/>
      <c r="AL44" s="78"/>
      <c r="AM44" s="78"/>
      <c r="AN44" s="78"/>
      <c r="AO44" s="78"/>
      <c r="AP44" s="78"/>
      <c r="AQ44" s="71">
        <f t="shared" si="59"/>
        <v>1000000000</v>
      </c>
      <c r="AR44" s="511"/>
      <c r="AS44" s="511"/>
      <c r="AT44" s="511"/>
      <c r="AU44" s="511"/>
      <c r="AV44" s="511"/>
      <c r="AW44" s="511"/>
      <c r="AX44" s="511"/>
      <c r="AY44" s="511"/>
      <c r="AZ44" s="511">
        <v>1000000000</v>
      </c>
      <c r="BA44" s="511">
        <f t="shared" si="60"/>
        <v>1000000000</v>
      </c>
      <c r="BB44" s="78"/>
      <c r="BC44" s="78"/>
      <c r="BD44" s="78"/>
      <c r="BE44" s="78"/>
      <c r="BF44" s="78"/>
      <c r="BG44" s="78"/>
      <c r="BH44" s="78"/>
      <c r="BI44" s="78"/>
      <c r="BJ44" s="78">
        <v>7000000000</v>
      </c>
      <c r="BK44" s="78">
        <f t="shared" si="61"/>
        <v>7000000000</v>
      </c>
      <c r="BL44" s="603">
        <f t="shared" si="62"/>
        <v>9000000000</v>
      </c>
    </row>
    <row r="45" spans="1:65" s="147" customFormat="1" ht="59.25" customHeight="1" x14ac:dyDescent="0.2">
      <c r="A45" s="140">
        <v>29</v>
      </c>
      <c r="B45" s="140">
        <v>2</v>
      </c>
      <c r="C45" s="141"/>
      <c r="D45" s="142"/>
      <c r="E45" s="143"/>
      <c r="F45" s="144"/>
      <c r="G45" s="145"/>
      <c r="H45" s="145"/>
      <c r="I45" s="64">
        <v>27</v>
      </c>
      <c r="J45" s="60" t="s">
        <v>141</v>
      </c>
      <c r="K45" s="60" t="s">
        <v>142</v>
      </c>
      <c r="L45" s="61" t="s">
        <v>121</v>
      </c>
      <c r="M45" s="61">
        <v>13</v>
      </c>
      <c r="N45" s="61" t="s">
        <v>69</v>
      </c>
      <c r="O45" s="77">
        <v>0</v>
      </c>
      <c r="P45" s="77">
        <v>6</v>
      </c>
      <c r="Q45" s="64">
        <v>0</v>
      </c>
      <c r="R45" s="64">
        <v>2</v>
      </c>
      <c r="S45" s="64">
        <v>2</v>
      </c>
      <c r="T45" s="64">
        <v>2</v>
      </c>
      <c r="U45" s="137"/>
      <c r="V45" s="64">
        <v>2</v>
      </c>
      <c r="W45" s="61" t="s">
        <v>137</v>
      </c>
      <c r="X45" s="69"/>
      <c r="Y45" s="69"/>
      <c r="Z45" s="69"/>
      <c r="AA45" s="69"/>
      <c r="AB45" s="69"/>
      <c r="AC45" s="69"/>
      <c r="AD45" s="69"/>
      <c r="AE45" s="69"/>
      <c r="AF45" s="69">
        <v>6000000000</v>
      </c>
      <c r="AG45" s="69">
        <f t="shared" si="58"/>
        <v>6000000000</v>
      </c>
      <c r="AH45" s="146">
        <v>1000000000</v>
      </c>
      <c r="AI45" s="146"/>
      <c r="AJ45" s="146"/>
      <c r="AK45" s="146"/>
      <c r="AL45" s="146"/>
      <c r="AM45" s="146"/>
      <c r="AN45" s="146"/>
      <c r="AO45" s="146"/>
      <c r="AP45" s="146"/>
      <c r="AQ45" s="72">
        <f t="shared" si="59"/>
        <v>1000000000</v>
      </c>
      <c r="AR45" s="138"/>
      <c r="AS45" s="138"/>
      <c r="AT45" s="138"/>
      <c r="AU45" s="138"/>
      <c r="AV45" s="138"/>
      <c r="AW45" s="138"/>
      <c r="AX45" s="138"/>
      <c r="AY45" s="138"/>
      <c r="AZ45" s="138">
        <v>4000000000</v>
      </c>
      <c r="BA45" s="138">
        <f t="shared" si="60"/>
        <v>4000000000</v>
      </c>
      <c r="BB45" s="146"/>
      <c r="BC45" s="146"/>
      <c r="BD45" s="146"/>
      <c r="BE45" s="146"/>
      <c r="BF45" s="146"/>
      <c r="BG45" s="146"/>
      <c r="BH45" s="146"/>
      <c r="BI45" s="146"/>
      <c r="BJ45" s="146"/>
      <c r="BK45" s="146">
        <f t="shared" si="61"/>
        <v>0</v>
      </c>
      <c r="BL45" s="603">
        <f t="shared" si="62"/>
        <v>11000000000</v>
      </c>
      <c r="BM45" s="148"/>
    </row>
    <row r="46" spans="1:65" ht="59.25" customHeight="1" x14ac:dyDescent="0.2">
      <c r="A46" s="74">
        <v>30</v>
      </c>
      <c r="B46" s="56">
        <v>2</v>
      </c>
      <c r="C46" s="124"/>
      <c r="D46" s="124"/>
      <c r="E46" s="506">
        <v>6</v>
      </c>
      <c r="F46" s="517" t="s">
        <v>143</v>
      </c>
      <c r="G46" s="149" t="s">
        <v>123</v>
      </c>
      <c r="H46" s="149" t="s">
        <v>124</v>
      </c>
      <c r="I46" s="64">
        <v>28</v>
      </c>
      <c r="J46" s="60" t="s">
        <v>144</v>
      </c>
      <c r="K46" s="57" t="s">
        <v>145</v>
      </c>
      <c r="L46" s="61" t="s">
        <v>121</v>
      </c>
      <c r="M46" s="61">
        <v>13</v>
      </c>
      <c r="N46" s="62" t="s">
        <v>69</v>
      </c>
      <c r="O46" s="63" t="s">
        <v>49</v>
      </c>
      <c r="P46" s="63">
        <v>6</v>
      </c>
      <c r="Q46" s="65">
        <v>0</v>
      </c>
      <c r="R46" s="65">
        <v>2</v>
      </c>
      <c r="S46" s="65">
        <v>2</v>
      </c>
      <c r="T46" s="65">
        <v>2</v>
      </c>
      <c r="U46" s="137"/>
      <c r="V46" s="64">
        <v>2</v>
      </c>
      <c r="W46" s="61" t="s">
        <v>137</v>
      </c>
      <c r="X46" s="69"/>
      <c r="Y46" s="69"/>
      <c r="Z46" s="69"/>
      <c r="AA46" s="69"/>
      <c r="AB46" s="69"/>
      <c r="AC46" s="69"/>
      <c r="AD46" s="69"/>
      <c r="AE46" s="69"/>
      <c r="AF46" s="69"/>
      <c r="AG46" s="69">
        <f t="shared" si="58"/>
        <v>0</v>
      </c>
      <c r="AH46" s="78"/>
      <c r="AI46" s="78"/>
      <c r="AJ46" s="78"/>
      <c r="AK46" s="78"/>
      <c r="AL46" s="78"/>
      <c r="AM46" s="78"/>
      <c r="AN46" s="78"/>
      <c r="AO46" s="78"/>
      <c r="AP46" s="511">
        <v>1000000000</v>
      </c>
      <c r="AQ46" s="71">
        <f t="shared" si="59"/>
        <v>1000000000</v>
      </c>
      <c r="AR46" s="511">
        <v>1000000000</v>
      </c>
      <c r="AS46" s="511"/>
      <c r="AT46" s="511"/>
      <c r="AU46" s="511"/>
      <c r="AV46" s="511"/>
      <c r="AW46" s="511"/>
      <c r="AX46" s="511"/>
      <c r="AY46" s="511"/>
      <c r="AZ46" s="511" t="s">
        <v>61</v>
      </c>
      <c r="BA46" s="511">
        <f t="shared" si="60"/>
        <v>1000000000</v>
      </c>
      <c r="BB46" s="78"/>
      <c r="BC46" s="78"/>
      <c r="BD46" s="78"/>
      <c r="BE46" s="78"/>
      <c r="BF46" s="78"/>
      <c r="BG46" s="78"/>
      <c r="BH46" s="78"/>
      <c r="BI46" s="78"/>
      <c r="BJ46" s="78"/>
      <c r="BK46" s="78">
        <f t="shared" si="61"/>
        <v>0</v>
      </c>
      <c r="BL46" s="603">
        <f t="shared" si="62"/>
        <v>2000000000</v>
      </c>
      <c r="BM46" s="148"/>
    </row>
    <row r="47" spans="1:65" ht="87.75" customHeight="1" x14ac:dyDescent="0.2">
      <c r="A47" s="56">
        <v>31</v>
      </c>
      <c r="B47" s="56">
        <v>2</v>
      </c>
      <c r="C47" s="124"/>
      <c r="D47" s="124"/>
      <c r="E47" s="79">
        <v>7</v>
      </c>
      <c r="F47" s="107" t="s">
        <v>146</v>
      </c>
      <c r="G47" s="102" t="s">
        <v>128</v>
      </c>
      <c r="H47" s="150">
        <v>0.27</v>
      </c>
      <c r="I47" s="64">
        <v>29</v>
      </c>
      <c r="J47" s="60" t="s">
        <v>147</v>
      </c>
      <c r="K47" s="57" t="s">
        <v>148</v>
      </c>
      <c r="L47" s="61" t="s">
        <v>121</v>
      </c>
      <c r="M47" s="61">
        <v>13</v>
      </c>
      <c r="N47" s="62" t="s">
        <v>54</v>
      </c>
      <c r="O47" s="63">
        <v>0</v>
      </c>
      <c r="P47" s="63">
        <v>1</v>
      </c>
      <c r="Q47" s="65">
        <v>0</v>
      </c>
      <c r="R47" s="65">
        <v>1</v>
      </c>
      <c r="S47" s="65">
        <v>1</v>
      </c>
      <c r="T47" s="65">
        <v>1</v>
      </c>
      <c r="U47" s="137"/>
      <c r="V47" s="64">
        <v>2</v>
      </c>
      <c r="W47" s="61" t="s">
        <v>137</v>
      </c>
      <c r="X47" s="69"/>
      <c r="Y47" s="69"/>
      <c r="Z47" s="69"/>
      <c r="AA47" s="69"/>
      <c r="AB47" s="69"/>
      <c r="AC47" s="69"/>
      <c r="AD47" s="69"/>
      <c r="AE47" s="69"/>
      <c r="AF47" s="69"/>
      <c r="AG47" s="69">
        <f t="shared" si="58"/>
        <v>0</v>
      </c>
      <c r="AH47" s="78"/>
      <c r="AI47" s="78"/>
      <c r="AJ47" s="78"/>
      <c r="AK47" s="78"/>
      <c r="AL47" s="78"/>
      <c r="AM47" s="78"/>
      <c r="AN47" s="78"/>
      <c r="AO47" s="78"/>
      <c r="AP47" s="511">
        <v>1000000000</v>
      </c>
      <c r="AQ47" s="71">
        <f t="shared" si="59"/>
        <v>1000000000</v>
      </c>
      <c r="AR47" s="511">
        <v>1000000000</v>
      </c>
      <c r="AS47" s="511"/>
      <c r="AT47" s="511"/>
      <c r="AU47" s="511"/>
      <c r="AV47" s="511"/>
      <c r="AW47" s="511"/>
      <c r="AX47" s="511"/>
      <c r="AY47" s="511"/>
      <c r="AZ47" s="511"/>
      <c r="BA47" s="511">
        <f t="shared" si="60"/>
        <v>1000000000</v>
      </c>
      <c r="BB47" s="78"/>
      <c r="BC47" s="78"/>
      <c r="BD47" s="78"/>
      <c r="BE47" s="78"/>
      <c r="BF47" s="78"/>
      <c r="BG47" s="78"/>
      <c r="BH47" s="78"/>
      <c r="BI47" s="78"/>
      <c r="BJ47" s="78"/>
      <c r="BK47" s="78">
        <f t="shared" si="61"/>
        <v>0</v>
      </c>
      <c r="BL47" s="603">
        <f t="shared" si="62"/>
        <v>2000000000</v>
      </c>
    </row>
    <row r="48" spans="1:65" s="147" customFormat="1" ht="74.25" customHeight="1" x14ac:dyDescent="0.2">
      <c r="A48" s="151">
        <v>32</v>
      </c>
      <c r="B48" s="140">
        <v>2</v>
      </c>
      <c r="C48" s="141"/>
      <c r="D48" s="141"/>
      <c r="E48" s="519"/>
      <c r="F48" s="152"/>
      <c r="G48" s="513"/>
      <c r="H48" s="153"/>
      <c r="I48" s="64">
        <v>30</v>
      </c>
      <c r="J48" s="60" t="s">
        <v>149</v>
      </c>
      <c r="K48" s="60" t="s">
        <v>150</v>
      </c>
      <c r="L48" s="61" t="s">
        <v>121</v>
      </c>
      <c r="M48" s="61">
        <v>13</v>
      </c>
      <c r="N48" s="61" t="s">
        <v>54</v>
      </c>
      <c r="O48" s="77">
        <v>1</v>
      </c>
      <c r="P48" s="77">
        <v>1</v>
      </c>
      <c r="Q48" s="64">
        <v>1</v>
      </c>
      <c r="R48" s="64">
        <v>1</v>
      </c>
      <c r="S48" s="64">
        <v>1</v>
      </c>
      <c r="T48" s="64">
        <v>1</v>
      </c>
      <c r="U48" s="137"/>
      <c r="V48" s="64">
        <v>13</v>
      </c>
      <c r="W48" s="61" t="s">
        <v>151</v>
      </c>
      <c r="X48" s="69"/>
      <c r="Y48" s="69"/>
      <c r="Z48" s="69"/>
      <c r="AA48" s="69"/>
      <c r="AB48" s="69"/>
      <c r="AC48" s="69"/>
      <c r="AD48" s="69"/>
      <c r="AE48" s="69"/>
      <c r="AF48" s="69"/>
      <c r="AG48" s="69">
        <f t="shared" si="58"/>
        <v>0</v>
      </c>
      <c r="AH48" s="146"/>
      <c r="AI48" s="146"/>
      <c r="AJ48" s="146"/>
      <c r="AK48" s="146"/>
      <c r="AL48" s="146"/>
      <c r="AM48" s="146"/>
      <c r="AN48" s="146"/>
      <c r="AO48" s="146"/>
      <c r="AP48" s="138">
        <v>1000000000</v>
      </c>
      <c r="AQ48" s="71">
        <f t="shared" si="59"/>
        <v>1000000000</v>
      </c>
      <c r="AR48" s="138">
        <v>1000000000</v>
      </c>
      <c r="AS48" s="138"/>
      <c r="AT48" s="138"/>
      <c r="AU48" s="138"/>
      <c r="AV48" s="138"/>
      <c r="AW48" s="138"/>
      <c r="AX48" s="138"/>
      <c r="AY48" s="138"/>
      <c r="AZ48" s="138"/>
      <c r="BA48" s="511">
        <f t="shared" si="60"/>
        <v>1000000000</v>
      </c>
      <c r="BB48" s="78"/>
      <c r="BC48" s="78"/>
      <c r="BD48" s="78"/>
      <c r="BE48" s="78"/>
      <c r="BF48" s="78"/>
      <c r="BG48" s="78"/>
      <c r="BH48" s="78"/>
      <c r="BI48" s="78"/>
      <c r="BJ48" s="78"/>
      <c r="BK48" s="78">
        <f t="shared" si="61"/>
        <v>0</v>
      </c>
      <c r="BL48" s="603">
        <f t="shared" si="62"/>
        <v>2000000000</v>
      </c>
    </row>
    <row r="49" spans="1:64" ht="24.75" customHeight="1" thickBot="1" x14ac:dyDescent="0.25">
      <c r="A49" s="74"/>
      <c r="B49" s="56"/>
      <c r="C49" s="124"/>
      <c r="D49" s="124"/>
      <c r="E49" s="44">
        <v>6</v>
      </c>
      <c r="F49" s="45" t="s">
        <v>152</v>
      </c>
      <c r="G49" s="154"/>
      <c r="H49" s="83"/>
      <c r="I49" s="47"/>
      <c r="J49" s="48"/>
      <c r="K49" s="48"/>
      <c r="L49" s="47"/>
      <c r="M49" s="49"/>
      <c r="N49" s="50"/>
      <c r="O49" s="48"/>
      <c r="P49" s="48"/>
      <c r="Q49" s="155"/>
      <c r="R49" s="156"/>
      <c r="S49" s="48"/>
      <c r="T49" s="49"/>
      <c r="U49" s="125"/>
      <c r="V49" s="49"/>
      <c r="W49" s="49"/>
      <c r="X49" s="53">
        <f t="shared" ref="X49:AF49" si="63">SUM(X50:X53)</f>
        <v>0</v>
      </c>
      <c r="Y49" s="53">
        <f t="shared" si="63"/>
        <v>0</v>
      </c>
      <c r="Z49" s="53">
        <f t="shared" si="63"/>
        <v>230000000</v>
      </c>
      <c r="AA49" s="53">
        <f t="shared" si="63"/>
        <v>0</v>
      </c>
      <c r="AB49" s="53">
        <f t="shared" si="63"/>
        <v>0</v>
      </c>
      <c r="AC49" s="53">
        <f t="shared" si="63"/>
        <v>0</v>
      </c>
      <c r="AD49" s="53">
        <f t="shared" si="63"/>
        <v>0</v>
      </c>
      <c r="AE49" s="53">
        <f t="shared" si="63"/>
        <v>0</v>
      </c>
      <c r="AF49" s="53">
        <f t="shared" si="63"/>
        <v>0</v>
      </c>
      <c r="AG49" s="54">
        <f>SUM(AG50:AG53)</f>
        <v>230000000</v>
      </c>
      <c r="AH49" s="53">
        <f t="shared" ref="AH49:AQ49" si="64">SUM(AH50:AH53)</f>
        <v>0</v>
      </c>
      <c r="AI49" s="53">
        <f t="shared" si="64"/>
        <v>0</v>
      </c>
      <c r="AJ49" s="53">
        <f t="shared" si="64"/>
        <v>200000000</v>
      </c>
      <c r="AK49" s="53">
        <f t="shared" si="64"/>
        <v>0</v>
      </c>
      <c r="AL49" s="53">
        <f t="shared" si="64"/>
        <v>0</v>
      </c>
      <c r="AM49" s="53">
        <f t="shared" si="64"/>
        <v>0</v>
      </c>
      <c r="AN49" s="53">
        <f t="shared" si="64"/>
        <v>0</v>
      </c>
      <c r="AO49" s="53">
        <f t="shared" si="64"/>
        <v>0</v>
      </c>
      <c r="AP49" s="53">
        <f t="shared" si="64"/>
        <v>0</v>
      </c>
      <c r="AQ49" s="53">
        <f t="shared" si="64"/>
        <v>200000000</v>
      </c>
      <c r="AR49" s="136"/>
      <c r="AS49" s="136"/>
      <c r="AT49" s="136"/>
      <c r="AU49" s="136"/>
      <c r="AV49" s="136"/>
      <c r="AW49" s="136"/>
      <c r="AX49" s="136"/>
      <c r="AY49" s="136"/>
      <c r="AZ49" s="136"/>
      <c r="BA49" s="53">
        <f t="shared" ref="BA49" si="65">SUM(BA50:BA53)</f>
        <v>50000000</v>
      </c>
      <c r="BB49" s="136"/>
      <c r="BC49" s="136"/>
      <c r="BD49" s="136"/>
      <c r="BE49" s="136"/>
      <c r="BF49" s="136"/>
      <c r="BG49" s="136"/>
      <c r="BH49" s="136"/>
      <c r="BI49" s="136"/>
      <c r="BJ49" s="136"/>
      <c r="BK49" s="53">
        <f t="shared" ref="BK49:BL49" si="66">SUM(BK50:BK53)</f>
        <v>20000000</v>
      </c>
      <c r="BL49" s="53">
        <f t="shared" si="66"/>
        <v>500000000</v>
      </c>
    </row>
    <row r="50" spans="1:64" ht="98.25" customHeight="1" x14ac:dyDescent="0.2">
      <c r="A50" s="56">
        <v>33</v>
      </c>
      <c r="B50" s="56">
        <v>2</v>
      </c>
      <c r="C50" s="124"/>
      <c r="D50" s="124"/>
      <c r="E50" s="510"/>
      <c r="F50" s="415"/>
      <c r="G50" s="491"/>
      <c r="H50" s="491"/>
      <c r="I50" s="59">
        <v>31</v>
      </c>
      <c r="J50" s="60" t="s">
        <v>153</v>
      </c>
      <c r="K50" s="57" t="s">
        <v>154</v>
      </c>
      <c r="L50" s="61" t="s">
        <v>121</v>
      </c>
      <c r="M50" s="61">
        <v>13</v>
      </c>
      <c r="N50" s="157" t="s">
        <v>54</v>
      </c>
      <c r="O50" s="63" t="s">
        <v>49</v>
      </c>
      <c r="P50" s="63">
        <v>4</v>
      </c>
      <c r="Q50" s="64">
        <v>4</v>
      </c>
      <c r="R50" s="65">
        <v>4</v>
      </c>
      <c r="S50" s="158">
        <v>4</v>
      </c>
      <c r="T50" s="158">
        <v>4</v>
      </c>
      <c r="U50" s="66">
        <f>AG50/$AG$49</f>
        <v>0.47826086956521741</v>
      </c>
      <c r="V50" s="67">
        <v>8</v>
      </c>
      <c r="W50" s="159" t="s">
        <v>131</v>
      </c>
      <c r="X50" s="160"/>
      <c r="Y50" s="160"/>
      <c r="Z50" s="96">
        <f>100000000+10000000</f>
        <v>110000000</v>
      </c>
      <c r="AA50" s="161"/>
      <c r="AB50" s="161"/>
      <c r="AC50" s="160"/>
      <c r="AD50" s="160"/>
      <c r="AE50" s="160"/>
      <c r="AF50" s="160"/>
      <c r="AG50" s="69">
        <f>+X50+Y50+Z50+AA50+AB50+AC50+AD50+AE50+AF50</f>
        <v>110000000</v>
      </c>
      <c r="AH50" s="78"/>
      <c r="AI50" s="78"/>
      <c r="AJ50" s="511">
        <v>95900000</v>
      </c>
      <c r="AK50" s="78"/>
      <c r="AL50" s="78"/>
      <c r="AM50" s="78"/>
      <c r="AN50" s="78"/>
      <c r="AO50" s="78"/>
      <c r="AP50" s="78"/>
      <c r="AQ50" s="71">
        <f>AH50+AI50+AJ50+AK50+AL50+AM50+AN50+AO50+AP50</f>
        <v>95900000</v>
      </c>
      <c r="AR50" s="511"/>
      <c r="AS50" s="511"/>
      <c r="AT50" s="511">
        <v>23900000</v>
      </c>
      <c r="AU50" s="511"/>
      <c r="AV50" s="511"/>
      <c r="AW50" s="511"/>
      <c r="AX50" s="511"/>
      <c r="AY50" s="511"/>
      <c r="AZ50" s="511"/>
      <c r="BA50" s="511">
        <f>SUM(AR50:AZ50)</f>
        <v>23900000</v>
      </c>
      <c r="BB50" s="78"/>
      <c r="BC50" s="78"/>
      <c r="BD50" s="78">
        <v>9700000</v>
      </c>
      <c r="BE50" s="78"/>
      <c r="BF50" s="78"/>
      <c r="BG50" s="78"/>
      <c r="BH50" s="78"/>
      <c r="BI50" s="78"/>
      <c r="BJ50" s="78"/>
      <c r="BK50" s="78">
        <f>SUM(BB50:BJ50)</f>
        <v>9700000</v>
      </c>
      <c r="BL50" s="603">
        <f>AG50+AQ50+BA50+BK50</f>
        <v>239500000</v>
      </c>
    </row>
    <row r="51" spans="1:64" ht="278.25" customHeight="1" x14ac:dyDescent="0.2">
      <c r="A51" s="74">
        <v>34</v>
      </c>
      <c r="B51" s="56">
        <v>2</v>
      </c>
      <c r="C51" s="124"/>
      <c r="D51" s="124"/>
      <c r="E51" s="506">
        <v>5</v>
      </c>
      <c r="F51" s="517" t="s">
        <v>155</v>
      </c>
      <c r="G51" s="162" t="s">
        <v>117</v>
      </c>
      <c r="H51" s="162" t="s">
        <v>118</v>
      </c>
      <c r="I51" s="59">
        <v>32</v>
      </c>
      <c r="J51" s="60" t="s">
        <v>156</v>
      </c>
      <c r="K51" s="57" t="s">
        <v>157</v>
      </c>
      <c r="L51" s="61" t="s">
        <v>121</v>
      </c>
      <c r="M51" s="61">
        <v>13</v>
      </c>
      <c r="N51" s="157" t="s">
        <v>69</v>
      </c>
      <c r="O51" s="63" t="s">
        <v>49</v>
      </c>
      <c r="P51" s="63">
        <v>100</v>
      </c>
      <c r="Q51" s="64">
        <v>15</v>
      </c>
      <c r="R51" s="65">
        <v>30</v>
      </c>
      <c r="S51" s="65">
        <v>30</v>
      </c>
      <c r="T51" s="65">
        <v>25</v>
      </c>
      <c r="U51" s="66">
        <f>AG51/$AG$49</f>
        <v>0.43478260869565216</v>
      </c>
      <c r="V51" s="67">
        <v>8</v>
      </c>
      <c r="W51" s="159" t="s">
        <v>131</v>
      </c>
      <c r="X51" s="160"/>
      <c r="Y51" s="160"/>
      <c r="Z51" s="96">
        <v>100000000</v>
      </c>
      <c r="AA51" s="161"/>
      <c r="AB51" s="161"/>
      <c r="AC51" s="160"/>
      <c r="AD51" s="160"/>
      <c r="AE51" s="160"/>
      <c r="AF51" s="160"/>
      <c r="AG51" s="69">
        <f>+X51+Y51+Z51+AA51+AB51+AC51+AD51+AE51+AF51</f>
        <v>100000000</v>
      </c>
      <c r="AH51" s="78"/>
      <c r="AI51" s="78"/>
      <c r="AJ51" s="511">
        <v>86900000</v>
      </c>
      <c r="AK51" s="78"/>
      <c r="AL51" s="78"/>
      <c r="AM51" s="78"/>
      <c r="AN51" s="78"/>
      <c r="AO51" s="78"/>
      <c r="AP51" s="78"/>
      <c r="AQ51" s="71">
        <f>AH51+AI51+AJ51+AK51+AL51+AM51+AN51+AO51+AP51</f>
        <v>86900000</v>
      </c>
      <c r="AR51" s="511"/>
      <c r="AS51" s="511"/>
      <c r="AT51" s="511">
        <v>21700000</v>
      </c>
      <c r="AU51" s="511"/>
      <c r="AV51" s="511"/>
      <c r="AW51" s="511"/>
      <c r="AX51" s="511"/>
      <c r="AY51" s="511"/>
      <c r="AZ51" s="511"/>
      <c r="BA51" s="511">
        <f>SUM(AR51:AZ51)</f>
        <v>21700000</v>
      </c>
      <c r="BB51" s="78"/>
      <c r="BC51" s="78"/>
      <c r="BD51" s="78">
        <v>4800000</v>
      </c>
      <c r="BE51" s="78"/>
      <c r="BF51" s="78"/>
      <c r="BG51" s="78"/>
      <c r="BH51" s="78"/>
      <c r="BI51" s="78"/>
      <c r="BJ51" s="78"/>
      <c r="BK51" s="78">
        <f>SUM(BB51:BJ51)</f>
        <v>4800000</v>
      </c>
      <c r="BL51" s="603">
        <f>AG51+AQ51+BA51+BK51</f>
        <v>213400000</v>
      </c>
    </row>
    <row r="52" spans="1:64" ht="107.25" customHeight="1" x14ac:dyDescent="0.2">
      <c r="A52" s="56">
        <v>35</v>
      </c>
      <c r="B52" s="56">
        <v>2</v>
      </c>
      <c r="C52" s="124"/>
      <c r="D52" s="124"/>
      <c r="E52" s="81">
        <v>6</v>
      </c>
      <c r="F52" s="57" t="s">
        <v>158</v>
      </c>
      <c r="G52" s="75" t="s">
        <v>123</v>
      </c>
      <c r="H52" s="75" t="s">
        <v>124</v>
      </c>
      <c r="I52" s="59">
        <v>33</v>
      </c>
      <c r="J52" s="60" t="s">
        <v>159</v>
      </c>
      <c r="K52" s="57" t="s">
        <v>160</v>
      </c>
      <c r="L52" s="61" t="s">
        <v>121</v>
      </c>
      <c r="M52" s="61">
        <v>13</v>
      </c>
      <c r="N52" s="157" t="s">
        <v>69</v>
      </c>
      <c r="O52" s="63" t="s">
        <v>49</v>
      </c>
      <c r="P52" s="163">
        <v>1200</v>
      </c>
      <c r="Q52" s="64">
        <v>200</v>
      </c>
      <c r="R52" s="65">
        <v>400</v>
      </c>
      <c r="S52" s="65">
        <v>400</v>
      </c>
      <c r="T52" s="65">
        <v>200</v>
      </c>
      <c r="U52" s="66">
        <f>AG52/$AG$49</f>
        <v>4.3478260869565216E-2</v>
      </c>
      <c r="V52" s="67">
        <v>8</v>
      </c>
      <c r="W52" s="159" t="s">
        <v>131</v>
      </c>
      <c r="X52" s="160"/>
      <c r="Y52" s="160"/>
      <c r="Z52" s="96">
        <v>10000000</v>
      </c>
      <c r="AA52" s="161"/>
      <c r="AB52" s="161"/>
      <c r="AC52" s="160"/>
      <c r="AD52" s="160"/>
      <c r="AE52" s="160"/>
      <c r="AF52" s="160"/>
      <c r="AG52" s="69">
        <f>+X52+Y52+Z52+AA52+AB52+AC52+AD52+AE52+AF52</f>
        <v>10000000</v>
      </c>
      <c r="AH52" s="78"/>
      <c r="AI52" s="78"/>
      <c r="AJ52" s="511">
        <v>8600000</v>
      </c>
      <c r="AK52" s="78"/>
      <c r="AL52" s="78"/>
      <c r="AM52" s="78"/>
      <c r="AN52" s="78"/>
      <c r="AO52" s="78"/>
      <c r="AP52" s="78"/>
      <c r="AQ52" s="71">
        <f>AH52+AI52+AJ52+AK52+AL52+AM52+AN52+AO52+AP52</f>
        <v>8600000</v>
      </c>
      <c r="AR52" s="511"/>
      <c r="AS52" s="511"/>
      <c r="AT52" s="511">
        <v>2100000</v>
      </c>
      <c r="AU52" s="511"/>
      <c r="AV52" s="511"/>
      <c r="AW52" s="511"/>
      <c r="AX52" s="511"/>
      <c r="AY52" s="511"/>
      <c r="AZ52" s="511"/>
      <c r="BA52" s="511">
        <f>SUM(AR52:AZ52)</f>
        <v>2100000</v>
      </c>
      <c r="BB52" s="78"/>
      <c r="BC52" s="78"/>
      <c r="BD52" s="78">
        <v>2500000</v>
      </c>
      <c r="BE52" s="78"/>
      <c r="BF52" s="78"/>
      <c r="BG52" s="78"/>
      <c r="BH52" s="78"/>
      <c r="BI52" s="78"/>
      <c r="BJ52" s="78"/>
      <c r="BK52" s="78">
        <f>SUM(BB52:BJ52)</f>
        <v>2500000</v>
      </c>
      <c r="BL52" s="603">
        <f>AG52+AQ52+BA52+BK52</f>
        <v>23200000</v>
      </c>
    </row>
    <row r="53" spans="1:64" ht="107.25" customHeight="1" x14ac:dyDescent="0.2">
      <c r="A53" s="74">
        <v>36</v>
      </c>
      <c r="B53" s="56">
        <v>2</v>
      </c>
      <c r="C53" s="124"/>
      <c r="D53" s="124"/>
      <c r="E53" s="506">
        <v>7</v>
      </c>
      <c r="F53" s="107" t="s">
        <v>146</v>
      </c>
      <c r="G53" s="102" t="s">
        <v>128</v>
      </c>
      <c r="H53" s="164">
        <v>0.27</v>
      </c>
      <c r="I53" s="59">
        <v>34</v>
      </c>
      <c r="J53" s="60" t="s">
        <v>161</v>
      </c>
      <c r="K53" s="57" t="s">
        <v>162</v>
      </c>
      <c r="L53" s="61" t="s">
        <v>121</v>
      </c>
      <c r="M53" s="61">
        <v>13</v>
      </c>
      <c r="N53" s="130" t="s">
        <v>69</v>
      </c>
      <c r="O53" s="63" t="s">
        <v>49</v>
      </c>
      <c r="P53" s="163">
        <v>2400</v>
      </c>
      <c r="Q53" s="64">
        <v>400</v>
      </c>
      <c r="R53" s="65">
        <v>800</v>
      </c>
      <c r="S53" s="65">
        <v>600</v>
      </c>
      <c r="T53" s="65">
        <v>600</v>
      </c>
      <c r="U53" s="66">
        <f>AG53/$AG$49</f>
        <v>4.3478260869565216E-2</v>
      </c>
      <c r="V53" s="67">
        <v>8</v>
      </c>
      <c r="W53" s="159" t="s">
        <v>131</v>
      </c>
      <c r="X53" s="160"/>
      <c r="Y53" s="160"/>
      <c r="Z53" s="96">
        <v>10000000</v>
      </c>
      <c r="AA53" s="161"/>
      <c r="AB53" s="161"/>
      <c r="AC53" s="160"/>
      <c r="AD53" s="160"/>
      <c r="AE53" s="160"/>
      <c r="AF53" s="160"/>
      <c r="AG53" s="69">
        <f>+X53+Y53+Z53+AA53+AB53+AC53+AD53+AE53+AF53</f>
        <v>10000000</v>
      </c>
      <c r="AH53" s="78"/>
      <c r="AI53" s="78"/>
      <c r="AJ53" s="511">
        <v>8600000</v>
      </c>
      <c r="AK53" s="78"/>
      <c r="AL53" s="78"/>
      <c r="AM53" s="78"/>
      <c r="AN53" s="78"/>
      <c r="AO53" s="78"/>
      <c r="AP53" s="78"/>
      <c r="AQ53" s="71">
        <f>AH53+AI53+AJ53+AK53+AL53+AM53+AN53+AO53+AP53</f>
        <v>8600000</v>
      </c>
      <c r="AR53" s="511"/>
      <c r="AS53" s="511"/>
      <c r="AT53" s="511">
        <v>2300000</v>
      </c>
      <c r="AU53" s="511"/>
      <c r="AV53" s="511"/>
      <c r="AW53" s="511"/>
      <c r="AX53" s="511"/>
      <c r="AY53" s="511"/>
      <c r="AZ53" s="511"/>
      <c r="BA53" s="511">
        <f>SUM(AR53:AZ53)</f>
        <v>2300000</v>
      </c>
      <c r="BB53" s="78"/>
      <c r="BC53" s="78"/>
      <c r="BD53" s="78">
        <v>3000000</v>
      </c>
      <c r="BE53" s="78"/>
      <c r="BF53" s="78"/>
      <c r="BG53" s="78"/>
      <c r="BH53" s="78"/>
      <c r="BI53" s="78"/>
      <c r="BJ53" s="78"/>
      <c r="BK53" s="78">
        <f>SUM(BB53:BJ53)</f>
        <v>3000000</v>
      </c>
      <c r="BL53" s="603">
        <f>AG53+AQ53+BA53+BK53</f>
        <v>23900000</v>
      </c>
    </row>
    <row r="54" spans="1:64" ht="24.75" customHeight="1" x14ac:dyDescent="0.2">
      <c r="A54" s="74"/>
      <c r="B54" s="56"/>
      <c r="C54" s="124"/>
      <c r="D54" s="124"/>
      <c r="E54" s="44">
        <v>7</v>
      </c>
      <c r="F54" s="45" t="s">
        <v>163</v>
      </c>
      <c r="G54" s="47"/>
      <c r="H54" s="84"/>
      <c r="I54" s="47"/>
      <c r="J54" s="84"/>
      <c r="K54" s="84"/>
      <c r="L54" s="47"/>
      <c r="M54" s="47"/>
      <c r="N54" s="85"/>
      <c r="O54" s="84"/>
      <c r="P54" s="84"/>
      <c r="Q54" s="165"/>
      <c r="R54" s="16"/>
      <c r="S54" s="16"/>
      <c r="T54" s="166"/>
      <c r="U54" s="87"/>
      <c r="V54" s="47"/>
      <c r="W54" s="47"/>
      <c r="X54" s="88">
        <f t="shared" ref="X54:AF54" si="67">SUM(X55:X57)</f>
        <v>0</v>
      </c>
      <c r="Y54" s="88">
        <f t="shared" si="67"/>
        <v>0</v>
      </c>
      <c r="Z54" s="88">
        <f t="shared" si="67"/>
        <v>90000000</v>
      </c>
      <c r="AA54" s="88">
        <f t="shared" si="67"/>
        <v>0</v>
      </c>
      <c r="AB54" s="88">
        <f t="shared" si="67"/>
        <v>0</v>
      </c>
      <c r="AC54" s="88">
        <f t="shared" si="67"/>
        <v>0</v>
      </c>
      <c r="AD54" s="88">
        <f t="shared" si="67"/>
        <v>0</v>
      </c>
      <c r="AE54" s="88">
        <f t="shared" si="67"/>
        <v>0</v>
      </c>
      <c r="AF54" s="88">
        <f t="shared" si="67"/>
        <v>0</v>
      </c>
      <c r="AG54" s="89">
        <f>SUM(AG55:AG57)</f>
        <v>90000000</v>
      </c>
      <c r="AH54" s="88">
        <f t="shared" ref="AH54:AQ54" si="68">SUM(AH55:AH57)</f>
        <v>0</v>
      </c>
      <c r="AI54" s="88">
        <f t="shared" si="68"/>
        <v>0</v>
      </c>
      <c r="AJ54" s="88">
        <f t="shared" si="68"/>
        <v>100000000</v>
      </c>
      <c r="AK54" s="88">
        <f t="shared" si="68"/>
        <v>0</v>
      </c>
      <c r="AL54" s="88">
        <f t="shared" si="68"/>
        <v>0</v>
      </c>
      <c r="AM54" s="88">
        <f t="shared" si="68"/>
        <v>0</v>
      </c>
      <c r="AN54" s="88">
        <f t="shared" si="68"/>
        <v>0</v>
      </c>
      <c r="AO54" s="88">
        <f t="shared" si="68"/>
        <v>0</v>
      </c>
      <c r="AP54" s="88">
        <f t="shared" si="68"/>
        <v>0</v>
      </c>
      <c r="AQ54" s="88">
        <f t="shared" si="68"/>
        <v>100000000</v>
      </c>
      <c r="AR54" s="90"/>
      <c r="AS54" s="90"/>
      <c r="AT54" s="90"/>
      <c r="AU54" s="90"/>
      <c r="AV54" s="90"/>
      <c r="AW54" s="90"/>
      <c r="AX54" s="90"/>
      <c r="AY54" s="90"/>
      <c r="AZ54" s="90"/>
      <c r="BA54" s="88">
        <f t="shared" ref="BA54" si="69">SUM(BA55:BA57)</f>
        <v>30000000</v>
      </c>
      <c r="BB54" s="90"/>
      <c r="BC54" s="90"/>
      <c r="BD54" s="90"/>
      <c r="BE54" s="90"/>
      <c r="BF54" s="90"/>
      <c r="BG54" s="90"/>
      <c r="BH54" s="90"/>
      <c r="BI54" s="90"/>
      <c r="BJ54" s="90"/>
      <c r="BK54" s="88">
        <f t="shared" ref="BK54:BL54" si="70">SUM(BK55:BK57)</f>
        <v>20000000</v>
      </c>
      <c r="BL54" s="88">
        <f t="shared" si="70"/>
        <v>240000000</v>
      </c>
    </row>
    <row r="55" spans="1:64" ht="114.75" customHeight="1" x14ac:dyDescent="0.2">
      <c r="A55" s="56">
        <v>37</v>
      </c>
      <c r="B55" s="56">
        <v>2</v>
      </c>
      <c r="C55" s="124"/>
      <c r="D55" s="124"/>
      <c r="E55" s="81">
        <v>5</v>
      </c>
      <c r="F55" s="57" t="s">
        <v>116</v>
      </c>
      <c r="G55" s="167" t="s">
        <v>117</v>
      </c>
      <c r="H55" s="167" t="s">
        <v>118</v>
      </c>
      <c r="I55" s="59">
        <v>35</v>
      </c>
      <c r="J55" s="60" t="s">
        <v>164</v>
      </c>
      <c r="K55" s="57" t="s">
        <v>140</v>
      </c>
      <c r="L55" s="61" t="s">
        <v>121</v>
      </c>
      <c r="M55" s="61">
        <v>13</v>
      </c>
      <c r="N55" s="153" t="s">
        <v>54</v>
      </c>
      <c r="O55" s="77">
        <v>0</v>
      </c>
      <c r="P55" s="77">
        <v>5</v>
      </c>
      <c r="Q55" s="513">
        <v>5</v>
      </c>
      <c r="R55" s="513">
        <v>5</v>
      </c>
      <c r="S55" s="513">
        <v>5</v>
      </c>
      <c r="T55" s="513">
        <v>5</v>
      </c>
      <c r="U55" s="168">
        <f>AG55/$AG$54</f>
        <v>0.96666666666666667</v>
      </c>
      <c r="V55" s="64">
        <v>8</v>
      </c>
      <c r="W55" s="153" t="s">
        <v>131</v>
      </c>
      <c r="X55" s="160"/>
      <c r="Y55" s="160"/>
      <c r="Z55" s="96">
        <v>87000000</v>
      </c>
      <c r="AA55" s="161"/>
      <c r="AB55" s="161"/>
      <c r="AC55" s="160"/>
      <c r="AD55" s="160"/>
      <c r="AE55" s="160"/>
      <c r="AF55" s="160"/>
      <c r="AG55" s="69">
        <f>+X55+Y55+Z55+AA55+AB55+AC55+AD55+AE55+AF55</f>
        <v>87000000</v>
      </c>
      <c r="AH55" s="78"/>
      <c r="AI55" s="78"/>
      <c r="AJ55" s="511">
        <v>90000000</v>
      </c>
      <c r="AK55" s="78"/>
      <c r="AL55" s="78"/>
      <c r="AM55" s="78"/>
      <c r="AN55" s="78"/>
      <c r="AO55" s="78"/>
      <c r="AP55" s="78"/>
      <c r="AQ55" s="71">
        <f>AH55+AI55+AJ55+AK55+AL55+AM55+AN55+AO55+AP55</f>
        <v>90000000</v>
      </c>
      <c r="AR55" s="511"/>
      <c r="AS55" s="511"/>
      <c r="AT55" s="511">
        <v>23000000</v>
      </c>
      <c r="AU55" s="511"/>
      <c r="AV55" s="511"/>
      <c r="AW55" s="511"/>
      <c r="AX55" s="511"/>
      <c r="AY55" s="511"/>
      <c r="AZ55" s="511"/>
      <c r="BA55" s="511">
        <f>SUM(AR55:AZ55)</f>
        <v>23000000</v>
      </c>
      <c r="BB55" s="78"/>
      <c r="BC55" s="78"/>
      <c r="BD55" s="78">
        <v>17000000</v>
      </c>
      <c r="BE55" s="78"/>
      <c r="BF55" s="78"/>
      <c r="BG55" s="78"/>
      <c r="BH55" s="78"/>
      <c r="BI55" s="78"/>
      <c r="BJ55" s="78"/>
      <c r="BK55" s="146">
        <f>SUM(BB55:BJ55)</f>
        <v>17000000</v>
      </c>
      <c r="BL55" s="603">
        <f>AG55+AQ55+BA55+BK55</f>
        <v>217000000</v>
      </c>
    </row>
    <row r="56" spans="1:64" ht="93.75" customHeight="1" x14ac:dyDescent="0.2">
      <c r="A56" s="74">
        <v>38</v>
      </c>
      <c r="B56" s="56">
        <v>2</v>
      </c>
      <c r="C56" s="124"/>
      <c r="D56" s="124"/>
      <c r="E56" s="81">
        <v>6</v>
      </c>
      <c r="F56" s="57" t="s">
        <v>158</v>
      </c>
      <c r="G56" s="75" t="s">
        <v>123</v>
      </c>
      <c r="H56" s="75" t="s">
        <v>124</v>
      </c>
      <c r="I56" s="64">
        <v>36</v>
      </c>
      <c r="J56" s="60" t="s">
        <v>165</v>
      </c>
      <c r="K56" s="60" t="s">
        <v>166</v>
      </c>
      <c r="L56" s="61" t="s">
        <v>121</v>
      </c>
      <c r="M56" s="61">
        <v>13</v>
      </c>
      <c r="N56" s="153" t="s">
        <v>69</v>
      </c>
      <c r="O56" s="77">
        <v>0</v>
      </c>
      <c r="P56" s="77">
        <v>3</v>
      </c>
      <c r="Q56" s="64">
        <v>1</v>
      </c>
      <c r="R56" s="65">
        <v>1</v>
      </c>
      <c r="S56" s="65">
        <v>1</v>
      </c>
      <c r="T56" s="65">
        <v>0</v>
      </c>
      <c r="U56" s="168">
        <f>AG56/$AG$54</f>
        <v>3.3333333333333333E-2</v>
      </c>
      <c r="V56" s="64">
        <v>12</v>
      </c>
      <c r="W56" s="153" t="s">
        <v>70</v>
      </c>
      <c r="X56" s="160"/>
      <c r="Y56" s="160"/>
      <c r="Z56" s="96">
        <v>3000000</v>
      </c>
      <c r="AA56" s="161"/>
      <c r="AB56" s="161"/>
      <c r="AC56" s="160"/>
      <c r="AD56" s="160"/>
      <c r="AE56" s="160"/>
      <c r="AF56" s="160"/>
      <c r="AG56" s="69">
        <f>+X56+Y56+Z56+AA56+AB56+AC56+AD56+AE56+AF56</f>
        <v>3000000</v>
      </c>
      <c r="AH56" s="78"/>
      <c r="AI56" s="78"/>
      <c r="AJ56" s="511">
        <v>3500000</v>
      </c>
      <c r="AK56" s="78"/>
      <c r="AL56" s="78"/>
      <c r="AM56" s="78"/>
      <c r="AN56" s="78"/>
      <c r="AO56" s="78"/>
      <c r="AP56" s="78"/>
      <c r="AQ56" s="71">
        <f>AH56+AI56+AJ56+AK56+AL56+AM56+AN56+AO56+AP56</f>
        <v>3500000</v>
      </c>
      <c r="AR56" s="511"/>
      <c r="AS56" s="511"/>
      <c r="AT56" s="511">
        <v>3000000</v>
      </c>
      <c r="AU56" s="511"/>
      <c r="AV56" s="511"/>
      <c r="AW56" s="511"/>
      <c r="AX56" s="511"/>
      <c r="AY56" s="511"/>
      <c r="AZ56" s="511"/>
      <c r="BA56" s="511">
        <f>SUM(AR56:AZ56)</f>
        <v>3000000</v>
      </c>
      <c r="BB56" s="78"/>
      <c r="BC56" s="78"/>
      <c r="BD56" s="78" t="s">
        <v>61</v>
      </c>
      <c r="BE56" s="78"/>
      <c r="BF56" s="78"/>
      <c r="BG56" s="78"/>
      <c r="BH56" s="78"/>
      <c r="BI56" s="78"/>
      <c r="BJ56" s="78"/>
      <c r="BK56" s="146">
        <f>SUM(BB56:BJ56)</f>
        <v>0</v>
      </c>
      <c r="BL56" s="603">
        <f>AG56+AQ56+BA56+BK56</f>
        <v>9500000</v>
      </c>
    </row>
    <row r="57" spans="1:64" ht="93.75" customHeight="1" x14ac:dyDescent="0.2">
      <c r="A57" s="56">
        <v>39</v>
      </c>
      <c r="B57" s="56">
        <v>2</v>
      </c>
      <c r="C57" s="124"/>
      <c r="D57" s="124"/>
      <c r="E57" s="506">
        <v>7</v>
      </c>
      <c r="F57" s="107" t="s">
        <v>146</v>
      </c>
      <c r="G57" s="102" t="s">
        <v>128</v>
      </c>
      <c r="H57" s="164">
        <v>0.27</v>
      </c>
      <c r="I57" s="64">
        <v>37</v>
      </c>
      <c r="J57" s="60" t="s">
        <v>167</v>
      </c>
      <c r="K57" s="57" t="s">
        <v>168</v>
      </c>
      <c r="L57" s="61" t="s">
        <v>121</v>
      </c>
      <c r="M57" s="61">
        <v>13</v>
      </c>
      <c r="N57" s="157" t="s">
        <v>54</v>
      </c>
      <c r="O57" s="63">
        <v>0</v>
      </c>
      <c r="P57" s="63">
        <v>1</v>
      </c>
      <c r="Q57" s="64">
        <v>0</v>
      </c>
      <c r="R57" s="65">
        <v>1</v>
      </c>
      <c r="S57" s="65">
        <v>1</v>
      </c>
      <c r="T57" s="65">
        <v>1</v>
      </c>
      <c r="U57" s="168">
        <f>AG57/$AG$54</f>
        <v>0</v>
      </c>
      <c r="V57" s="64">
        <v>2</v>
      </c>
      <c r="W57" s="153" t="s">
        <v>137</v>
      </c>
      <c r="X57" s="160"/>
      <c r="Y57" s="160"/>
      <c r="Z57" s="160"/>
      <c r="AA57" s="160"/>
      <c r="AB57" s="160"/>
      <c r="AC57" s="160"/>
      <c r="AD57" s="160"/>
      <c r="AE57" s="160"/>
      <c r="AF57" s="160"/>
      <c r="AG57" s="69">
        <f>+X57+Y57+Z57+AA57+AB57+AC57+AD57+AE57+AF57</f>
        <v>0</v>
      </c>
      <c r="AH57" s="78"/>
      <c r="AI57" s="78"/>
      <c r="AJ57" s="511">
        <v>6500000</v>
      </c>
      <c r="AK57" s="78"/>
      <c r="AL57" s="78"/>
      <c r="AM57" s="78"/>
      <c r="AN57" s="78"/>
      <c r="AO57" s="78"/>
      <c r="AP57" s="78"/>
      <c r="AQ57" s="71">
        <f>AH57+AI57+AJ57+AK57+AL57+AM57+AN57+AO57+AP57</f>
        <v>6500000</v>
      </c>
      <c r="AR57" s="511"/>
      <c r="AS57" s="511"/>
      <c r="AT57" s="511">
        <v>4000000</v>
      </c>
      <c r="AU57" s="511"/>
      <c r="AV57" s="511"/>
      <c r="AW57" s="511"/>
      <c r="AX57" s="511"/>
      <c r="AY57" s="511"/>
      <c r="AZ57" s="511"/>
      <c r="BA57" s="511">
        <f>SUM(AR57:AZ57)</f>
        <v>4000000</v>
      </c>
      <c r="BB57" s="78"/>
      <c r="BC57" s="78"/>
      <c r="BD57" s="78">
        <v>3000000</v>
      </c>
      <c r="BE57" s="78"/>
      <c r="BF57" s="78"/>
      <c r="BG57" s="78"/>
      <c r="BH57" s="78"/>
      <c r="BI57" s="78"/>
      <c r="BJ57" s="78"/>
      <c r="BK57" s="146">
        <f>SUM(BB57:BJ57)</f>
        <v>3000000</v>
      </c>
      <c r="BL57" s="603">
        <f>AG57+AQ57+BA57+BK57</f>
        <v>13500000</v>
      </c>
    </row>
    <row r="58" spans="1:64" ht="24.75" customHeight="1" x14ac:dyDescent="0.2">
      <c r="A58" s="56"/>
      <c r="B58" s="56"/>
      <c r="C58" s="124"/>
      <c r="D58" s="124"/>
      <c r="E58" s="44">
        <v>8</v>
      </c>
      <c r="F58" s="45" t="s">
        <v>169</v>
      </c>
      <c r="G58" s="47"/>
      <c r="H58" s="84"/>
      <c r="I58" s="47"/>
      <c r="J58" s="84"/>
      <c r="K58" s="84"/>
      <c r="L58" s="47"/>
      <c r="M58" s="47"/>
      <c r="N58" s="85"/>
      <c r="O58" s="84"/>
      <c r="P58" s="84"/>
      <c r="Q58" s="86"/>
      <c r="R58" s="84"/>
      <c r="S58" s="84"/>
      <c r="T58" s="47"/>
      <c r="U58" s="87"/>
      <c r="V58" s="47"/>
      <c r="W58" s="47"/>
      <c r="X58" s="88">
        <f t="shared" ref="X58:AF58" si="71">SUM(X59:X63)</f>
        <v>0</v>
      </c>
      <c r="Y58" s="88">
        <f t="shared" si="71"/>
        <v>0</v>
      </c>
      <c r="Z58" s="88">
        <f t="shared" si="71"/>
        <v>50000000</v>
      </c>
      <c r="AA58" s="88">
        <f t="shared" si="71"/>
        <v>0</v>
      </c>
      <c r="AB58" s="88">
        <f t="shared" si="71"/>
        <v>0</v>
      </c>
      <c r="AC58" s="88">
        <f t="shared" si="71"/>
        <v>0</v>
      </c>
      <c r="AD58" s="88">
        <f t="shared" si="71"/>
        <v>0</v>
      </c>
      <c r="AE58" s="88">
        <f t="shared" si="71"/>
        <v>0</v>
      </c>
      <c r="AF58" s="88">
        <f t="shared" si="71"/>
        <v>1250000000</v>
      </c>
      <c r="AG58" s="89">
        <f>SUM(AG59:AG63)</f>
        <v>1300000000</v>
      </c>
      <c r="AH58" s="88">
        <f t="shared" ref="AH58:AQ58" si="72">SUM(AH59:AH63)</f>
        <v>0</v>
      </c>
      <c r="AI58" s="88">
        <f t="shared" si="72"/>
        <v>0</v>
      </c>
      <c r="AJ58" s="88">
        <f t="shared" si="72"/>
        <v>50000000</v>
      </c>
      <c r="AK58" s="88">
        <f t="shared" si="72"/>
        <v>0</v>
      </c>
      <c r="AL58" s="88">
        <f t="shared" si="72"/>
        <v>0</v>
      </c>
      <c r="AM58" s="88">
        <f t="shared" si="72"/>
        <v>0</v>
      </c>
      <c r="AN58" s="88">
        <f t="shared" si="72"/>
        <v>0</v>
      </c>
      <c r="AO58" s="88">
        <f t="shared" si="72"/>
        <v>0</v>
      </c>
      <c r="AP58" s="88">
        <f t="shared" si="72"/>
        <v>0</v>
      </c>
      <c r="AQ58" s="88">
        <f t="shared" si="72"/>
        <v>50000000</v>
      </c>
      <c r="AR58" s="90"/>
      <c r="AS58" s="90"/>
      <c r="AT58" s="90"/>
      <c r="AU58" s="90"/>
      <c r="AV58" s="90"/>
      <c r="AW58" s="90"/>
      <c r="AX58" s="90"/>
      <c r="AY58" s="90"/>
      <c r="AZ58" s="90"/>
      <c r="BA58" s="88">
        <f t="shared" ref="BA58" si="73">SUM(BA59:BA63)</f>
        <v>20000000</v>
      </c>
      <c r="BB58" s="90"/>
      <c r="BC58" s="90"/>
      <c r="BD58" s="90"/>
      <c r="BE58" s="90"/>
      <c r="BF58" s="90"/>
      <c r="BG58" s="90"/>
      <c r="BH58" s="90"/>
      <c r="BI58" s="90"/>
      <c r="BJ58" s="90"/>
      <c r="BK58" s="88">
        <f t="shared" ref="BK58:BL58" si="74">SUM(BK59:BK63)</f>
        <v>10000000</v>
      </c>
      <c r="BL58" s="88">
        <f t="shared" si="74"/>
        <v>1380000000</v>
      </c>
    </row>
    <row r="59" spans="1:64" ht="89.25" customHeight="1" x14ac:dyDescent="0.2">
      <c r="A59" s="74">
        <v>40</v>
      </c>
      <c r="B59" s="56">
        <v>2</v>
      </c>
      <c r="C59" s="124"/>
      <c r="D59" s="124"/>
      <c r="E59" s="510"/>
      <c r="F59" s="415"/>
      <c r="G59" s="491"/>
      <c r="H59" s="491"/>
      <c r="I59" s="59">
        <v>38</v>
      </c>
      <c r="J59" s="60" t="s">
        <v>170</v>
      </c>
      <c r="K59" s="57" t="s">
        <v>171</v>
      </c>
      <c r="L59" s="61" t="s">
        <v>121</v>
      </c>
      <c r="M59" s="61">
        <v>13</v>
      </c>
      <c r="N59" s="76" t="s">
        <v>54</v>
      </c>
      <c r="O59" s="63">
        <v>3</v>
      </c>
      <c r="P59" s="63">
        <v>4</v>
      </c>
      <c r="Q59" s="77">
        <v>4</v>
      </c>
      <c r="R59" s="63">
        <v>4</v>
      </c>
      <c r="S59" s="63">
        <v>4</v>
      </c>
      <c r="T59" s="63">
        <v>4</v>
      </c>
      <c r="U59" s="109">
        <f>AG59/$AG$58</f>
        <v>5.7692307692307696E-3</v>
      </c>
      <c r="V59" s="65">
        <v>12</v>
      </c>
      <c r="W59" s="62" t="s">
        <v>70</v>
      </c>
      <c r="X59" s="69"/>
      <c r="Y59" s="69"/>
      <c r="Z59" s="96">
        <v>7500000</v>
      </c>
      <c r="AA59" s="96"/>
      <c r="AB59" s="96"/>
      <c r="AC59" s="69"/>
      <c r="AD59" s="69"/>
      <c r="AE59" s="69"/>
      <c r="AF59" s="69"/>
      <c r="AG59" s="69">
        <f>+X59+Y59+Z59+AA59+AB59+AC59+AD59+AE59+AF59</f>
        <v>7500000</v>
      </c>
      <c r="AH59" s="78"/>
      <c r="AI59" s="78"/>
      <c r="AJ59" s="78">
        <v>7500000</v>
      </c>
      <c r="AK59" s="78"/>
      <c r="AL59" s="78"/>
      <c r="AM59" s="78"/>
      <c r="AN59" s="78"/>
      <c r="AO59" s="78"/>
      <c r="AP59" s="78"/>
      <c r="AQ59" s="71">
        <f>AH59+AI59+AJ59+AK59+AL59+AM59+AN59+AO59+AP59</f>
        <v>7500000</v>
      </c>
      <c r="AR59" s="511"/>
      <c r="AS59" s="511"/>
      <c r="AT59" s="511">
        <v>3000000</v>
      </c>
      <c r="AU59" s="511"/>
      <c r="AV59" s="511"/>
      <c r="AW59" s="511"/>
      <c r="AX59" s="511"/>
      <c r="AY59" s="511"/>
      <c r="AZ59" s="511"/>
      <c r="BA59" s="511">
        <f>SUM(AR59:AZ59)</f>
        <v>3000000</v>
      </c>
      <c r="BB59" s="78"/>
      <c r="BC59" s="78"/>
      <c r="BD59" s="78">
        <v>57692.307692307695</v>
      </c>
      <c r="BE59" s="78"/>
      <c r="BF59" s="78"/>
      <c r="BG59" s="78"/>
      <c r="BH59" s="78"/>
      <c r="BI59" s="78"/>
      <c r="BJ59" s="78"/>
      <c r="BK59" s="78">
        <f>SUM(BB59:BJ59)</f>
        <v>57692.307692307695</v>
      </c>
      <c r="BL59" s="603">
        <f>AG59+AQ59+BA59+BK59</f>
        <v>18057692.307692308</v>
      </c>
    </row>
    <row r="60" spans="1:64" ht="67.5" customHeight="1" x14ac:dyDescent="0.2">
      <c r="A60" s="56">
        <v>41</v>
      </c>
      <c r="B60" s="56">
        <v>2</v>
      </c>
      <c r="C60" s="124"/>
      <c r="D60" s="124"/>
      <c r="E60" s="506">
        <v>5</v>
      </c>
      <c r="F60" s="169" t="s">
        <v>116</v>
      </c>
      <c r="G60" s="162" t="s">
        <v>117</v>
      </c>
      <c r="H60" s="162" t="s">
        <v>118</v>
      </c>
      <c r="I60" s="59">
        <v>39</v>
      </c>
      <c r="J60" s="60" t="s">
        <v>172</v>
      </c>
      <c r="K60" s="57" t="s">
        <v>173</v>
      </c>
      <c r="L60" s="61" t="s">
        <v>121</v>
      </c>
      <c r="M60" s="61">
        <v>13</v>
      </c>
      <c r="N60" s="76" t="s">
        <v>54</v>
      </c>
      <c r="O60" s="63">
        <v>0</v>
      </c>
      <c r="P60" s="63">
        <v>3</v>
      </c>
      <c r="Q60" s="77">
        <v>3</v>
      </c>
      <c r="R60" s="63">
        <v>3</v>
      </c>
      <c r="S60" s="63">
        <v>3</v>
      </c>
      <c r="T60" s="63">
        <v>3</v>
      </c>
      <c r="U60" s="109">
        <f>AG60/$AG$58</f>
        <v>5.7692307692307696E-3</v>
      </c>
      <c r="V60" s="65">
        <v>12</v>
      </c>
      <c r="W60" s="62" t="s">
        <v>70</v>
      </c>
      <c r="X60" s="69"/>
      <c r="Y60" s="69"/>
      <c r="Z60" s="96">
        <v>7500000</v>
      </c>
      <c r="AA60" s="96"/>
      <c r="AB60" s="96"/>
      <c r="AC60" s="69"/>
      <c r="AD60" s="69"/>
      <c r="AE60" s="69"/>
      <c r="AF60" s="69"/>
      <c r="AG60" s="69">
        <f>+X60+Y60+Z60+AA60+AB60+AC60+AD60+AE60+AF60</f>
        <v>7500000</v>
      </c>
      <c r="AH60" s="78"/>
      <c r="AI60" s="78"/>
      <c r="AJ60" s="78">
        <v>7500000</v>
      </c>
      <c r="AK60" s="78"/>
      <c r="AL60" s="78"/>
      <c r="AM60" s="78"/>
      <c r="AN60" s="78"/>
      <c r="AO60" s="78"/>
      <c r="AP60" s="78"/>
      <c r="AQ60" s="71">
        <f>AH60+AI60+AJ60+AK60+AL60+AM60+AN60+AO60+AP60</f>
        <v>7500000</v>
      </c>
      <c r="AR60" s="511"/>
      <c r="AS60" s="511"/>
      <c r="AT60" s="511">
        <v>3000000</v>
      </c>
      <c r="AU60" s="511"/>
      <c r="AV60" s="511"/>
      <c r="AW60" s="511"/>
      <c r="AX60" s="511"/>
      <c r="AY60" s="511"/>
      <c r="AZ60" s="511"/>
      <c r="BA60" s="511">
        <f>SUM(AR60:AZ60)</f>
        <v>3000000</v>
      </c>
      <c r="BB60" s="78"/>
      <c r="BC60" s="78"/>
      <c r="BD60" s="78">
        <v>57692.307692307695</v>
      </c>
      <c r="BE60" s="78"/>
      <c r="BF60" s="78"/>
      <c r="BG60" s="78"/>
      <c r="BH60" s="78"/>
      <c r="BI60" s="78"/>
      <c r="BJ60" s="78"/>
      <c r="BK60" s="78">
        <f>SUM(BB60:BJ60)</f>
        <v>57692.307692307695</v>
      </c>
      <c r="BL60" s="603">
        <f>AG60+AQ60+BA60+BK60</f>
        <v>18057692.307692308</v>
      </c>
    </row>
    <row r="61" spans="1:64" ht="96" customHeight="1" x14ac:dyDescent="0.2">
      <c r="A61" s="74">
        <v>42</v>
      </c>
      <c r="B61" s="56">
        <v>2</v>
      </c>
      <c r="C61" s="124"/>
      <c r="D61" s="124"/>
      <c r="E61" s="81">
        <v>6</v>
      </c>
      <c r="F61" s="57" t="s">
        <v>158</v>
      </c>
      <c r="G61" s="75" t="s">
        <v>123</v>
      </c>
      <c r="H61" s="75" t="s">
        <v>124</v>
      </c>
      <c r="I61" s="59">
        <v>40</v>
      </c>
      <c r="J61" s="60" t="s">
        <v>174</v>
      </c>
      <c r="K61" s="57" t="s">
        <v>175</v>
      </c>
      <c r="L61" s="61" t="s">
        <v>121</v>
      </c>
      <c r="M61" s="61">
        <v>13</v>
      </c>
      <c r="N61" s="98" t="s">
        <v>69</v>
      </c>
      <c r="O61" s="63">
        <v>0</v>
      </c>
      <c r="P61" s="485">
        <v>1</v>
      </c>
      <c r="Q61" s="77">
        <v>0.05</v>
      </c>
      <c r="R61" s="63">
        <v>0.35</v>
      </c>
      <c r="S61" s="63">
        <v>0.4</v>
      </c>
      <c r="T61" s="63">
        <v>0.2</v>
      </c>
      <c r="U61" s="109">
        <f>AG61/$AG$58</f>
        <v>1.5384615384615385E-2</v>
      </c>
      <c r="V61" s="65">
        <v>9</v>
      </c>
      <c r="W61" s="65" t="s">
        <v>176</v>
      </c>
      <c r="X61" s="498"/>
      <c r="Y61" s="69"/>
      <c r="Z61" s="96">
        <v>20000000</v>
      </c>
      <c r="AA61" s="96"/>
      <c r="AB61" s="96"/>
      <c r="AC61" s="69"/>
      <c r="AD61" s="69"/>
      <c r="AE61" s="69"/>
      <c r="AF61" s="69"/>
      <c r="AG61" s="69">
        <f>+X61+Y61+Z61+AA61+AB61+AC61+AD61+AE61+AF61</f>
        <v>20000000</v>
      </c>
      <c r="AH61" s="78"/>
      <c r="AI61" s="78"/>
      <c r="AJ61" s="78">
        <v>20000000</v>
      </c>
      <c r="AK61" s="78"/>
      <c r="AL61" s="78"/>
      <c r="AM61" s="78"/>
      <c r="AN61" s="78"/>
      <c r="AO61" s="78"/>
      <c r="AP61" s="78"/>
      <c r="AQ61" s="71">
        <f>AH61+AI61+AJ61+AK61+AL61+AM61+AN61+AO61+AP61</f>
        <v>20000000</v>
      </c>
      <c r="AR61" s="511"/>
      <c r="AS61" s="511"/>
      <c r="AT61" s="511">
        <v>8000000</v>
      </c>
      <c r="AU61" s="511"/>
      <c r="AV61" s="511"/>
      <c r="AW61" s="511"/>
      <c r="AX61" s="511"/>
      <c r="AY61" s="511"/>
      <c r="AZ61" s="511"/>
      <c r="BA61" s="511">
        <f>SUM(AR61:AZ61)</f>
        <v>8000000</v>
      </c>
      <c r="BB61" s="78"/>
      <c r="BC61" s="78"/>
      <c r="BD61" s="78">
        <v>153846.15384615384</v>
      </c>
      <c r="BE61" s="78"/>
      <c r="BF61" s="78"/>
      <c r="BG61" s="78"/>
      <c r="BH61" s="78"/>
      <c r="BI61" s="78"/>
      <c r="BJ61" s="78"/>
      <c r="BK61" s="78">
        <f>SUM(BB61:BJ61)</f>
        <v>153846.15384615384</v>
      </c>
      <c r="BL61" s="603">
        <f>AG61+AQ61+BA61+BK61</f>
        <v>48153846.153846152</v>
      </c>
    </row>
    <row r="62" spans="1:64" ht="67.5" customHeight="1" x14ac:dyDescent="0.2">
      <c r="A62" s="56">
        <v>43</v>
      </c>
      <c r="B62" s="56">
        <v>2</v>
      </c>
      <c r="C62" s="124"/>
      <c r="D62" s="124"/>
      <c r="E62" s="79">
        <v>7</v>
      </c>
      <c r="F62" s="94" t="s">
        <v>146</v>
      </c>
      <c r="G62" s="170">
        <v>0.317</v>
      </c>
      <c r="H62" s="164">
        <v>0.27</v>
      </c>
      <c r="I62" s="59">
        <v>41</v>
      </c>
      <c r="J62" s="60" t="s">
        <v>177</v>
      </c>
      <c r="K62" s="57" t="s">
        <v>178</v>
      </c>
      <c r="L62" s="61" t="s">
        <v>121</v>
      </c>
      <c r="M62" s="61">
        <v>13</v>
      </c>
      <c r="N62" s="76" t="s">
        <v>54</v>
      </c>
      <c r="O62" s="63">
        <v>0</v>
      </c>
      <c r="P62" s="63">
        <v>1</v>
      </c>
      <c r="Q62" s="77">
        <v>1</v>
      </c>
      <c r="R62" s="63">
        <v>1</v>
      </c>
      <c r="S62" s="63">
        <v>1</v>
      </c>
      <c r="T62" s="63">
        <v>1</v>
      </c>
      <c r="U62" s="109">
        <f>AG62/$AG$58</f>
        <v>5.7692307692307696E-3</v>
      </c>
      <c r="V62" s="65">
        <v>9</v>
      </c>
      <c r="W62" s="68" t="s">
        <v>176</v>
      </c>
      <c r="X62" s="498"/>
      <c r="Y62" s="69"/>
      <c r="Z62" s="96">
        <v>7500000</v>
      </c>
      <c r="AA62" s="96"/>
      <c r="AB62" s="96"/>
      <c r="AC62" s="69"/>
      <c r="AD62" s="69"/>
      <c r="AE62" s="69"/>
      <c r="AF62" s="69"/>
      <c r="AG62" s="69">
        <f>+X62+Y62+Z62+AA62+AB62+AC62+AD62+AE62+AF62</f>
        <v>7500000</v>
      </c>
      <c r="AH62" s="78"/>
      <c r="AI62" s="78"/>
      <c r="AJ62" s="78">
        <v>7500000</v>
      </c>
      <c r="AK62" s="78"/>
      <c r="AL62" s="78"/>
      <c r="AM62" s="78"/>
      <c r="AN62" s="78"/>
      <c r="AO62" s="78"/>
      <c r="AP62" s="78"/>
      <c r="AQ62" s="71">
        <f>AH62+AI62+AJ62+AK62+AL62+AM62+AN62+AO62+AP62</f>
        <v>7500000</v>
      </c>
      <c r="AR62" s="511"/>
      <c r="AS62" s="511"/>
      <c r="AT62" s="511">
        <v>3000000</v>
      </c>
      <c r="AU62" s="511"/>
      <c r="AV62" s="511"/>
      <c r="AW62" s="511"/>
      <c r="AX62" s="511"/>
      <c r="AY62" s="511"/>
      <c r="AZ62" s="511"/>
      <c r="BA62" s="511">
        <f>SUM(AR62:AZ62)</f>
        <v>3000000</v>
      </c>
      <c r="BB62" s="78"/>
      <c r="BC62" s="78"/>
      <c r="BD62" s="78">
        <v>57692.307692307695</v>
      </c>
      <c r="BE62" s="78"/>
      <c r="BF62" s="78"/>
      <c r="BG62" s="78"/>
      <c r="BH62" s="78"/>
      <c r="BI62" s="78"/>
      <c r="BJ62" s="78"/>
      <c r="BK62" s="78">
        <f>SUM(BB62:BJ62)</f>
        <v>57692.307692307695</v>
      </c>
      <c r="BL62" s="603">
        <f>AG62+AQ62+BA62+BK62</f>
        <v>18057692.307692308</v>
      </c>
    </row>
    <row r="63" spans="1:64" ht="48.75" customHeight="1" x14ac:dyDescent="0.2">
      <c r="A63" s="74">
        <v>44</v>
      </c>
      <c r="B63" s="56">
        <v>2</v>
      </c>
      <c r="C63" s="124"/>
      <c r="D63" s="124"/>
      <c r="E63" s="506"/>
      <c r="F63" s="97"/>
      <c r="G63" s="171"/>
      <c r="H63" s="172"/>
      <c r="I63" s="59">
        <v>42</v>
      </c>
      <c r="J63" s="60" t="s">
        <v>179</v>
      </c>
      <c r="K63" s="57" t="s">
        <v>180</v>
      </c>
      <c r="L63" s="61" t="s">
        <v>121</v>
      </c>
      <c r="M63" s="61">
        <v>13</v>
      </c>
      <c r="N63" s="76" t="s">
        <v>54</v>
      </c>
      <c r="O63" s="63">
        <v>1</v>
      </c>
      <c r="P63" s="63">
        <v>1</v>
      </c>
      <c r="Q63" s="77">
        <v>1</v>
      </c>
      <c r="R63" s="63">
        <v>1</v>
      </c>
      <c r="S63" s="63">
        <v>1</v>
      </c>
      <c r="T63" s="63">
        <v>1</v>
      </c>
      <c r="U63" s="109">
        <f>AG63/$AG$58</f>
        <v>0.96730769230769231</v>
      </c>
      <c r="V63" s="65">
        <v>9</v>
      </c>
      <c r="W63" s="68" t="s">
        <v>176</v>
      </c>
      <c r="X63" s="498"/>
      <c r="Y63" s="69"/>
      <c r="Z63" s="69">
        <v>7500000</v>
      </c>
      <c r="AA63" s="69"/>
      <c r="AB63" s="69"/>
      <c r="AC63" s="69"/>
      <c r="AD63" s="69"/>
      <c r="AE63" s="69"/>
      <c r="AF63" s="69">
        <v>1250000000</v>
      </c>
      <c r="AG63" s="69">
        <f>+X63+Y63+Z63+AA63+AB63+AC63+AD63+AE63+AF63</f>
        <v>1257500000</v>
      </c>
      <c r="AH63" s="78"/>
      <c r="AI63" s="78"/>
      <c r="AJ63" s="78">
        <v>7500000</v>
      </c>
      <c r="AK63" s="78"/>
      <c r="AL63" s="78"/>
      <c r="AM63" s="78"/>
      <c r="AN63" s="78"/>
      <c r="AO63" s="78"/>
      <c r="AP63" s="78"/>
      <c r="AQ63" s="71">
        <f>AH63+AI63+AJ63+AK63+AL63+AM63+AN63+AO63+AP63</f>
        <v>7500000</v>
      </c>
      <c r="AR63" s="511"/>
      <c r="AS63" s="511"/>
      <c r="AT63" s="511">
        <v>3000000</v>
      </c>
      <c r="AU63" s="511"/>
      <c r="AV63" s="511"/>
      <c r="AW63" s="511"/>
      <c r="AX63" s="511"/>
      <c r="AY63" s="511"/>
      <c r="AZ63" s="511"/>
      <c r="BA63" s="511">
        <f>SUM(AR63:AZ63)</f>
        <v>3000000</v>
      </c>
      <c r="BB63" s="78"/>
      <c r="BC63" s="78"/>
      <c r="BD63" s="78">
        <v>9673076.9230769239</v>
      </c>
      <c r="BE63" s="78"/>
      <c r="BF63" s="78"/>
      <c r="BG63" s="78"/>
      <c r="BH63" s="78"/>
      <c r="BI63" s="78"/>
      <c r="BJ63" s="78"/>
      <c r="BK63" s="78">
        <f>SUM(BB63:BJ63)</f>
        <v>9673076.9230769239</v>
      </c>
      <c r="BL63" s="603">
        <f>AG63+AQ63+BA63+BK63</f>
        <v>1277673076.9230769</v>
      </c>
    </row>
    <row r="64" spans="1:64" ht="24.75" customHeight="1" x14ac:dyDescent="0.2">
      <c r="A64" s="74"/>
      <c r="B64" s="56"/>
      <c r="C64" s="124"/>
      <c r="D64" s="124"/>
      <c r="E64" s="44">
        <v>9</v>
      </c>
      <c r="F64" s="45" t="s">
        <v>181</v>
      </c>
      <c r="G64" s="173"/>
      <c r="H64" s="173"/>
      <c r="I64" s="174"/>
      <c r="J64" s="175"/>
      <c r="K64" s="84"/>
      <c r="L64" s="47"/>
      <c r="M64" s="47"/>
      <c r="N64" s="85"/>
      <c r="O64" s="84"/>
      <c r="P64" s="84"/>
      <c r="Q64" s="86"/>
      <c r="R64" s="84"/>
      <c r="S64" s="84"/>
      <c r="T64" s="47"/>
      <c r="U64" s="87"/>
      <c r="V64" s="44"/>
      <c r="W64" s="47"/>
      <c r="X64" s="88">
        <f t="shared" ref="X64:Z64" si="75">SUM(X65:X68)</f>
        <v>0</v>
      </c>
      <c r="Y64" s="88">
        <f t="shared" si="75"/>
        <v>0</v>
      </c>
      <c r="Z64" s="88">
        <f t="shared" si="75"/>
        <v>80000000</v>
      </c>
      <c r="AA64" s="88">
        <f t="shared" ref="AA64:AF64" si="76">SUM(AA65:AA68)</f>
        <v>0</v>
      </c>
      <c r="AB64" s="88">
        <f t="shared" si="76"/>
        <v>0</v>
      </c>
      <c r="AC64" s="88">
        <f t="shared" si="76"/>
        <v>0</v>
      </c>
      <c r="AD64" s="88">
        <f t="shared" si="76"/>
        <v>0</v>
      </c>
      <c r="AE64" s="88">
        <f t="shared" si="76"/>
        <v>0</v>
      </c>
      <c r="AF64" s="88">
        <f t="shared" si="76"/>
        <v>0</v>
      </c>
      <c r="AG64" s="89">
        <f>SUM(AG65:AG68)</f>
        <v>80000000</v>
      </c>
      <c r="AH64" s="88">
        <f t="shared" ref="AH64:AQ64" si="77">SUM(AH65:AH68)</f>
        <v>0</v>
      </c>
      <c r="AI64" s="88">
        <f t="shared" si="77"/>
        <v>0</v>
      </c>
      <c r="AJ64" s="88">
        <f t="shared" si="77"/>
        <v>70000000</v>
      </c>
      <c r="AK64" s="88">
        <f t="shared" si="77"/>
        <v>0</v>
      </c>
      <c r="AL64" s="88">
        <f t="shared" si="77"/>
        <v>0</v>
      </c>
      <c r="AM64" s="88">
        <f t="shared" si="77"/>
        <v>0</v>
      </c>
      <c r="AN64" s="88">
        <f t="shared" si="77"/>
        <v>0</v>
      </c>
      <c r="AO64" s="88">
        <f t="shared" si="77"/>
        <v>0</v>
      </c>
      <c r="AP64" s="88">
        <f t="shared" si="77"/>
        <v>0</v>
      </c>
      <c r="AQ64" s="88">
        <f t="shared" si="77"/>
        <v>70000000</v>
      </c>
      <c r="AR64" s="90"/>
      <c r="AS64" s="90"/>
      <c r="AT64" s="90"/>
      <c r="AU64" s="90"/>
      <c r="AV64" s="90"/>
      <c r="AW64" s="90"/>
      <c r="AX64" s="90"/>
      <c r="AY64" s="90"/>
      <c r="AZ64" s="90"/>
      <c r="BA64" s="88">
        <f t="shared" ref="BA64" si="78">SUM(BA65:BA68)</f>
        <v>20000000</v>
      </c>
      <c r="BB64" s="90"/>
      <c r="BC64" s="90"/>
      <c r="BD64" s="90"/>
      <c r="BE64" s="90"/>
      <c r="BF64" s="90"/>
      <c r="BG64" s="90"/>
      <c r="BH64" s="90"/>
      <c r="BI64" s="90"/>
      <c r="BJ64" s="90"/>
      <c r="BK64" s="88">
        <f t="shared" ref="BK64:BL64" si="79">SUM(BK65:BK68)</f>
        <v>10000000</v>
      </c>
      <c r="BL64" s="88">
        <f t="shared" si="79"/>
        <v>180000000</v>
      </c>
    </row>
    <row r="65" spans="1:65" ht="44.25" customHeight="1" x14ac:dyDescent="0.2">
      <c r="A65" s="56">
        <v>45</v>
      </c>
      <c r="B65" s="56">
        <v>2</v>
      </c>
      <c r="C65" s="124"/>
      <c r="D65" s="124"/>
      <c r="E65" s="510"/>
      <c r="F65" s="415"/>
      <c r="G65" s="491"/>
      <c r="H65" s="491"/>
      <c r="I65" s="59">
        <v>43</v>
      </c>
      <c r="J65" s="60" t="s">
        <v>182</v>
      </c>
      <c r="K65" s="57" t="s">
        <v>183</v>
      </c>
      <c r="L65" s="61" t="s">
        <v>121</v>
      </c>
      <c r="M65" s="61">
        <v>13</v>
      </c>
      <c r="N65" s="76" t="s">
        <v>69</v>
      </c>
      <c r="O65" s="63" t="s">
        <v>49</v>
      </c>
      <c r="P65" s="63">
        <v>12</v>
      </c>
      <c r="Q65" s="77">
        <v>3</v>
      </c>
      <c r="R65" s="77">
        <v>3</v>
      </c>
      <c r="S65" s="77">
        <v>3</v>
      </c>
      <c r="T65" s="77">
        <v>3</v>
      </c>
      <c r="U65" s="109">
        <f>AG65/$AG$64</f>
        <v>0.125</v>
      </c>
      <c r="V65" s="65">
        <v>8</v>
      </c>
      <c r="W65" s="68" t="s">
        <v>131</v>
      </c>
      <c r="X65" s="498"/>
      <c r="Y65" s="69"/>
      <c r="Z65" s="69">
        <v>10000000</v>
      </c>
      <c r="AA65" s="69"/>
      <c r="AB65" s="69"/>
      <c r="AC65" s="69"/>
      <c r="AD65" s="69"/>
      <c r="AE65" s="69"/>
      <c r="AF65" s="69"/>
      <c r="AG65" s="69">
        <f>+X65+Y65+Z65+AA65+AB65+AC65+AD65+AE65+AF65</f>
        <v>10000000</v>
      </c>
      <c r="AH65" s="78"/>
      <c r="AI65" s="78"/>
      <c r="AJ65" s="511">
        <v>15000000</v>
      </c>
      <c r="AK65" s="78"/>
      <c r="AL65" s="78"/>
      <c r="AM65" s="78"/>
      <c r="AN65" s="78"/>
      <c r="AO65" s="78"/>
      <c r="AP65" s="78"/>
      <c r="AQ65" s="71">
        <f>AH65+AI65+AJ65+AK65+AL65+AM65+AN65+AO65+AP65</f>
        <v>15000000</v>
      </c>
      <c r="AR65" s="511"/>
      <c r="AS65" s="511"/>
      <c r="AT65" s="511">
        <v>5000000</v>
      </c>
      <c r="AU65" s="511"/>
      <c r="AV65" s="511"/>
      <c r="AW65" s="511"/>
      <c r="AX65" s="511"/>
      <c r="AY65" s="511"/>
      <c r="AZ65" s="511"/>
      <c r="BA65" s="511">
        <f>SUM(AR65:AZ65)</f>
        <v>5000000</v>
      </c>
      <c r="BB65" s="78"/>
      <c r="BC65" s="78"/>
      <c r="BD65" s="78">
        <v>2000000</v>
      </c>
      <c r="BE65" s="78"/>
      <c r="BF65" s="78"/>
      <c r="BG65" s="78"/>
      <c r="BH65" s="78"/>
      <c r="BI65" s="78"/>
      <c r="BJ65" s="78"/>
      <c r="BK65" s="78">
        <f>SUM(BB65:BJ65)</f>
        <v>2000000</v>
      </c>
      <c r="BL65" s="603">
        <f>AG65+AQ65+BA65+BK65</f>
        <v>32000000</v>
      </c>
    </row>
    <row r="66" spans="1:65" ht="120.75" customHeight="1" x14ac:dyDescent="0.2">
      <c r="A66" s="74">
        <v>46</v>
      </c>
      <c r="B66" s="56">
        <v>2</v>
      </c>
      <c r="C66" s="124"/>
      <c r="D66" s="124"/>
      <c r="E66" s="506">
        <v>5</v>
      </c>
      <c r="F66" s="169" t="s">
        <v>116</v>
      </c>
      <c r="G66" s="162" t="s">
        <v>117</v>
      </c>
      <c r="H66" s="162" t="s">
        <v>118</v>
      </c>
      <c r="I66" s="59">
        <v>44</v>
      </c>
      <c r="J66" s="60" t="s">
        <v>184</v>
      </c>
      <c r="K66" s="57" t="s">
        <v>185</v>
      </c>
      <c r="L66" s="61" t="s">
        <v>121</v>
      </c>
      <c r="M66" s="61">
        <v>13</v>
      </c>
      <c r="N66" s="76" t="s">
        <v>54</v>
      </c>
      <c r="O66" s="63">
        <v>0</v>
      </c>
      <c r="P66" s="63">
        <v>1</v>
      </c>
      <c r="Q66" s="77">
        <v>1</v>
      </c>
      <c r="R66" s="77">
        <v>1</v>
      </c>
      <c r="S66" s="77">
        <v>1</v>
      </c>
      <c r="T66" s="77">
        <v>1</v>
      </c>
      <c r="U66" s="109">
        <f>AG66/$AG$64</f>
        <v>0.125</v>
      </c>
      <c r="V66" s="65">
        <v>8</v>
      </c>
      <c r="W66" s="68" t="s">
        <v>131</v>
      </c>
      <c r="X66" s="498"/>
      <c r="Y66" s="69"/>
      <c r="Z66" s="414">
        <v>10000000</v>
      </c>
      <c r="AA66" s="176"/>
      <c r="AB66" s="96"/>
      <c r="AC66" s="69"/>
      <c r="AD66" s="69"/>
      <c r="AE66" s="69"/>
      <c r="AF66" s="69"/>
      <c r="AG66" s="69">
        <f>+X66+Y66+Z66+AA66+AB66+AC66+AD66+AE66+AF66</f>
        <v>10000000</v>
      </c>
      <c r="AH66" s="78"/>
      <c r="AI66" s="78"/>
      <c r="AJ66" s="511">
        <v>15000000</v>
      </c>
      <c r="AK66" s="78"/>
      <c r="AL66" s="78"/>
      <c r="AM66" s="78"/>
      <c r="AN66" s="78"/>
      <c r="AO66" s="78"/>
      <c r="AP66" s="78"/>
      <c r="AQ66" s="71">
        <f>AH66+AI66+AJ66+AK66+AL66+AM66+AN66+AO66+AP66</f>
        <v>15000000</v>
      </c>
      <c r="AR66" s="511"/>
      <c r="AS66" s="511"/>
      <c r="AT66" s="511">
        <v>5000000</v>
      </c>
      <c r="AU66" s="511"/>
      <c r="AV66" s="511"/>
      <c r="AW66" s="511"/>
      <c r="AX66" s="511"/>
      <c r="AY66" s="511"/>
      <c r="AZ66" s="511"/>
      <c r="BA66" s="511">
        <f>SUM(AR66:AZ66)</f>
        <v>5000000</v>
      </c>
      <c r="BB66" s="78"/>
      <c r="BC66" s="78"/>
      <c r="BD66" s="78">
        <v>2000000</v>
      </c>
      <c r="BE66" s="78"/>
      <c r="BF66" s="78"/>
      <c r="BG66" s="78"/>
      <c r="BH66" s="78"/>
      <c r="BI66" s="78"/>
      <c r="BJ66" s="78"/>
      <c r="BK66" s="78">
        <f>SUM(BB66:BJ66)</f>
        <v>2000000</v>
      </c>
      <c r="BL66" s="603">
        <f>AG66+AQ66+BA66+BK66</f>
        <v>32000000</v>
      </c>
    </row>
    <row r="67" spans="1:65" ht="105.75" customHeight="1" x14ac:dyDescent="0.2">
      <c r="A67" s="56">
        <v>47</v>
      </c>
      <c r="B67" s="56">
        <v>2</v>
      </c>
      <c r="C67" s="124"/>
      <c r="D67" s="124"/>
      <c r="E67" s="81">
        <v>6</v>
      </c>
      <c r="F67" s="57" t="s">
        <v>158</v>
      </c>
      <c r="G67" s="75" t="s">
        <v>123</v>
      </c>
      <c r="H67" s="75" t="s">
        <v>124</v>
      </c>
      <c r="I67" s="59">
        <v>45</v>
      </c>
      <c r="J67" s="60" t="s">
        <v>186</v>
      </c>
      <c r="K67" s="57" t="s">
        <v>183</v>
      </c>
      <c r="L67" s="61" t="s">
        <v>121</v>
      </c>
      <c r="M67" s="61">
        <v>13</v>
      </c>
      <c r="N67" s="76" t="s">
        <v>69</v>
      </c>
      <c r="O67" s="63" t="s">
        <v>49</v>
      </c>
      <c r="P67" s="63">
        <v>12</v>
      </c>
      <c r="Q67" s="77">
        <v>2</v>
      </c>
      <c r="R67" s="77">
        <v>3</v>
      </c>
      <c r="S67" s="77">
        <v>3</v>
      </c>
      <c r="T67" s="77">
        <v>4</v>
      </c>
      <c r="U67" s="109">
        <f>AG67/$AG$64</f>
        <v>0.25</v>
      </c>
      <c r="V67" s="65">
        <v>8</v>
      </c>
      <c r="W67" s="68" t="s">
        <v>131</v>
      </c>
      <c r="X67" s="498"/>
      <c r="Y67" s="69"/>
      <c r="Z67" s="176">
        <v>20000000</v>
      </c>
      <c r="AA67" s="176"/>
      <c r="AB67" s="96"/>
      <c r="AC67" s="69"/>
      <c r="AD67" s="69"/>
      <c r="AE67" s="69"/>
      <c r="AF67" s="69"/>
      <c r="AG67" s="69">
        <f>+X67+Y67+Z67+AA67+AB67+AC67+AD67+AE67+AF67</f>
        <v>20000000</v>
      </c>
      <c r="AH67" s="78"/>
      <c r="AI67" s="78"/>
      <c r="AJ67" s="511">
        <v>15000000</v>
      </c>
      <c r="AK67" s="78"/>
      <c r="AL67" s="78"/>
      <c r="AM67" s="78"/>
      <c r="AN67" s="78"/>
      <c r="AO67" s="78"/>
      <c r="AP67" s="78"/>
      <c r="AQ67" s="71">
        <f>AH67+AI67+AJ67+AK67+AL67+AM67+AN67+AO67+AP67</f>
        <v>15000000</v>
      </c>
      <c r="AR67" s="511"/>
      <c r="AS67" s="511"/>
      <c r="AT67" s="511">
        <v>5000000</v>
      </c>
      <c r="AU67" s="511"/>
      <c r="AV67" s="511"/>
      <c r="AW67" s="511"/>
      <c r="AX67" s="511"/>
      <c r="AY67" s="511"/>
      <c r="AZ67" s="511"/>
      <c r="BA67" s="511">
        <f>SUM(AR67:AZ67)</f>
        <v>5000000</v>
      </c>
      <c r="BB67" s="78"/>
      <c r="BC67" s="78"/>
      <c r="BD67" s="78">
        <v>2000000</v>
      </c>
      <c r="BE67" s="78"/>
      <c r="BF67" s="78"/>
      <c r="BG67" s="78"/>
      <c r="BH67" s="78"/>
      <c r="BI67" s="78"/>
      <c r="BJ67" s="78"/>
      <c r="BK67" s="78">
        <f>SUM(BB67:BJ67)</f>
        <v>2000000</v>
      </c>
      <c r="BL67" s="603">
        <f>AG67+AQ67+BA67+BK67</f>
        <v>42000000</v>
      </c>
    </row>
    <row r="68" spans="1:65" ht="68.25" customHeight="1" x14ac:dyDescent="0.2">
      <c r="A68" s="74">
        <v>48</v>
      </c>
      <c r="B68" s="56">
        <v>2</v>
      </c>
      <c r="C68" s="124"/>
      <c r="D68" s="124"/>
      <c r="E68" s="506">
        <v>7</v>
      </c>
      <c r="F68" s="107" t="s">
        <v>146</v>
      </c>
      <c r="G68" s="102" t="s">
        <v>128</v>
      </c>
      <c r="H68" s="164">
        <v>0.27</v>
      </c>
      <c r="I68" s="59">
        <v>46</v>
      </c>
      <c r="J68" s="60" t="s">
        <v>187</v>
      </c>
      <c r="K68" s="57" t="s">
        <v>188</v>
      </c>
      <c r="L68" s="61" t="s">
        <v>121</v>
      </c>
      <c r="M68" s="61">
        <v>13</v>
      </c>
      <c r="N68" s="76" t="s">
        <v>54</v>
      </c>
      <c r="O68" s="63">
        <v>0</v>
      </c>
      <c r="P68" s="77">
        <v>1</v>
      </c>
      <c r="Q68" s="77">
        <v>1</v>
      </c>
      <c r="R68" s="77">
        <v>1</v>
      </c>
      <c r="S68" s="77">
        <v>1</v>
      </c>
      <c r="T68" s="77">
        <v>1</v>
      </c>
      <c r="U68" s="109">
        <f>AG68/$AG$64</f>
        <v>0.5</v>
      </c>
      <c r="V68" s="65">
        <v>1</v>
      </c>
      <c r="W68" s="65" t="s">
        <v>189</v>
      </c>
      <c r="X68" s="498"/>
      <c r="Y68" s="69"/>
      <c r="Z68" s="176">
        <v>40000000</v>
      </c>
      <c r="AA68" s="176"/>
      <c r="AB68" s="96"/>
      <c r="AC68" s="69"/>
      <c r="AD68" s="69"/>
      <c r="AE68" s="69"/>
      <c r="AF68" s="69"/>
      <c r="AG68" s="69">
        <f>+X68+Y68+Z68+AA68+AB68+AC68+AD68+AE68+AF68</f>
        <v>40000000</v>
      </c>
      <c r="AH68" s="78"/>
      <c r="AI68" s="78"/>
      <c r="AJ68" s="511">
        <v>25000000</v>
      </c>
      <c r="AK68" s="78"/>
      <c r="AL68" s="78"/>
      <c r="AM68" s="78"/>
      <c r="AN68" s="78"/>
      <c r="AO68" s="78"/>
      <c r="AP68" s="78"/>
      <c r="AQ68" s="71">
        <f>AH68+AI68+AJ68+AK68+AL68+AM68+AN68+AO68+AP68</f>
        <v>25000000</v>
      </c>
      <c r="AR68" s="511"/>
      <c r="AS68" s="511"/>
      <c r="AT68" s="511">
        <v>5000000</v>
      </c>
      <c r="AU68" s="511"/>
      <c r="AV68" s="511"/>
      <c r="AW68" s="511"/>
      <c r="AX68" s="511"/>
      <c r="AY68" s="511"/>
      <c r="AZ68" s="511"/>
      <c r="BA68" s="511">
        <f>SUM(AR68:AZ68)</f>
        <v>5000000</v>
      </c>
      <c r="BB68" s="78"/>
      <c r="BC68" s="78"/>
      <c r="BD68" s="78">
        <v>4000000</v>
      </c>
      <c r="BE68" s="78"/>
      <c r="BF68" s="78"/>
      <c r="BG68" s="78"/>
      <c r="BH68" s="78"/>
      <c r="BI68" s="78"/>
      <c r="BJ68" s="78"/>
      <c r="BK68" s="78">
        <f>SUM(BB68:BJ68)</f>
        <v>4000000</v>
      </c>
      <c r="BL68" s="603">
        <f>AG68+AQ68+BA68+BK68</f>
        <v>74000000</v>
      </c>
    </row>
    <row r="69" spans="1:65" ht="24.75" customHeight="1" x14ac:dyDescent="0.2">
      <c r="A69" s="74"/>
      <c r="B69" s="56"/>
      <c r="C69" s="124"/>
      <c r="D69" s="124"/>
      <c r="E69" s="44">
        <v>10</v>
      </c>
      <c r="F69" s="177" t="s">
        <v>190</v>
      </c>
      <c r="G69" s="47"/>
      <c r="H69" s="91"/>
      <c r="I69" s="47"/>
      <c r="J69" s="91"/>
      <c r="K69" s="91"/>
      <c r="L69" s="47"/>
      <c r="M69" s="47"/>
      <c r="N69" s="178"/>
      <c r="O69" s="179"/>
      <c r="P69" s="179"/>
      <c r="Q69" s="178"/>
      <c r="R69" s="179"/>
      <c r="S69" s="179"/>
      <c r="T69" s="179"/>
      <c r="U69" s="87"/>
      <c r="V69" s="179"/>
      <c r="W69" s="179"/>
      <c r="X69" s="88">
        <f t="shared" ref="X69:AF69" si="80">SUM(X70:X72)</f>
        <v>0</v>
      </c>
      <c r="Y69" s="88">
        <f t="shared" si="80"/>
        <v>0</v>
      </c>
      <c r="Z69" s="88">
        <f t="shared" si="80"/>
        <v>80000000</v>
      </c>
      <c r="AA69" s="88">
        <f t="shared" si="80"/>
        <v>0</v>
      </c>
      <c r="AB69" s="88">
        <f t="shared" si="80"/>
        <v>0</v>
      </c>
      <c r="AC69" s="88">
        <f t="shared" si="80"/>
        <v>0</v>
      </c>
      <c r="AD69" s="88">
        <f t="shared" si="80"/>
        <v>0</v>
      </c>
      <c r="AE69" s="88">
        <f t="shared" si="80"/>
        <v>0</v>
      </c>
      <c r="AF69" s="88">
        <f t="shared" si="80"/>
        <v>2000000000</v>
      </c>
      <c r="AG69" s="89">
        <f>SUM(AG70:AG72)</f>
        <v>2080000000</v>
      </c>
      <c r="AH69" s="88">
        <f t="shared" ref="AH69:BA69" si="81">SUM(AH70:AH72)</f>
        <v>0</v>
      </c>
      <c r="AI69" s="88">
        <f t="shared" si="81"/>
        <v>0</v>
      </c>
      <c r="AJ69" s="88">
        <f t="shared" si="81"/>
        <v>90000000</v>
      </c>
      <c r="AK69" s="88">
        <f t="shared" si="81"/>
        <v>0</v>
      </c>
      <c r="AL69" s="88">
        <f t="shared" si="81"/>
        <v>0</v>
      </c>
      <c r="AM69" s="88">
        <f t="shared" si="81"/>
        <v>0</v>
      </c>
      <c r="AN69" s="88">
        <f t="shared" si="81"/>
        <v>0</v>
      </c>
      <c r="AO69" s="88">
        <f t="shared" si="81"/>
        <v>0</v>
      </c>
      <c r="AP69" s="88">
        <f t="shared" si="81"/>
        <v>0</v>
      </c>
      <c r="AQ69" s="88">
        <f t="shared" si="81"/>
        <v>90000000</v>
      </c>
      <c r="AR69" s="88"/>
      <c r="AS69" s="88"/>
      <c r="AT69" s="88"/>
      <c r="AU69" s="88"/>
      <c r="AV69" s="88"/>
      <c r="AW69" s="88"/>
      <c r="AX69" s="88"/>
      <c r="AY69" s="88"/>
      <c r="AZ69" s="88"/>
      <c r="BA69" s="88">
        <f t="shared" si="81"/>
        <v>30000000</v>
      </c>
      <c r="BB69" s="90"/>
      <c r="BC69" s="90"/>
      <c r="BD69" s="90"/>
      <c r="BE69" s="90"/>
      <c r="BF69" s="90"/>
      <c r="BG69" s="90"/>
      <c r="BH69" s="90"/>
      <c r="BI69" s="90"/>
      <c r="BJ69" s="90"/>
      <c r="BK69" s="88">
        <f t="shared" ref="BK69:BL69" si="82">SUM(BK70:BK72)</f>
        <v>15000000</v>
      </c>
      <c r="BL69" s="88">
        <f t="shared" si="82"/>
        <v>2215000000</v>
      </c>
    </row>
    <row r="70" spans="1:65" ht="177.75" customHeight="1" x14ac:dyDescent="0.2">
      <c r="A70" s="56">
        <v>49</v>
      </c>
      <c r="B70" s="56">
        <v>2</v>
      </c>
      <c r="C70" s="124"/>
      <c r="D70" s="124"/>
      <c r="E70" s="81">
        <v>5</v>
      </c>
      <c r="F70" s="180" t="s">
        <v>116</v>
      </c>
      <c r="G70" s="181" t="s">
        <v>117</v>
      </c>
      <c r="H70" s="181" t="s">
        <v>118</v>
      </c>
      <c r="I70" s="65">
        <v>47</v>
      </c>
      <c r="J70" s="57" t="s">
        <v>191</v>
      </c>
      <c r="K70" s="57" t="s">
        <v>192</v>
      </c>
      <c r="L70" s="62" t="s">
        <v>121</v>
      </c>
      <c r="M70" s="62">
        <v>13</v>
      </c>
      <c r="N70" s="534" t="s">
        <v>69</v>
      </c>
      <c r="O70" s="485">
        <v>0</v>
      </c>
      <c r="P70" s="485">
        <v>48</v>
      </c>
      <c r="Q70" s="63">
        <v>12</v>
      </c>
      <c r="R70" s="63">
        <v>24</v>
      </c>
      <c r="S70" s="63">
        <v>36</v>
      </c>
      <c r="T70" s="63">
        <v>48</v>
      </c>
      <c r="U70" s="182">
        <f>AG70/$AG$69</f>
        <v>0.99519230769230771</v>
      </c>
      <c r="V70" s="65">
        <v>12</v>
      </c>
      <c r="W70" s="62" t="s">
        <v>70</v>
      </c>
      <c r="X70" s="106"/>
      <c r="Y70" s="106"/>
      <c r="Z70" s="106">
        <v>70000000</v>
      </c>
      <c r="AA70" s="106"/>
      <c r="AB70" s="106"/>
      <c r="AC70" s="106"/>
      <c r="AD70" s="106"/>
      <c r="AE70" s="106"/>
      <c r="AF70" s="106">
        <v>2000000000</v>
      </c>
      <c r="AG70" s="106">
        <f>+X70+Y70+Z70+AA70+AB70+AC70+AD70+AE70+AF70</f>
        <v>2070000000</v>
      </c>
      <c r="AH70" s="78"/>
      <c r="AI70" s="78"/>
      <c r="AJ70" s="511">
        <v>78750000</v>
      </c>
      <c r="AK70" s="78"/>
      <c r="AL70" s="78"/>
      <c r="AM70" s="78"/>
      <c r="AN70" s="78"/>
      <c r="AO70" s="78"/>
      <c r="AP70" s="78"/>
      <c r="AQ70" s="71">
        <f>AH70+AI70+AJ70+AK70+AL70+AM70+AN70+AO70+AP70</f>
        <v>78750000</v>
      </c>
      <c r="AR70" s="511"/>
      <c r="AS70" s="511"/>
      <c r="AT70" s="511">
        <v>25000000</v>
      </c>
      <c r="AU70" s="511"/>
      <c r="AV70" s="511"/>
      <c r="AW70" s="511"/>
      <c r="AX70" s="511"/>
      <c r="AY70" s="511"/>
      <c r="AZ70" s="511"/>
      <c r="BA70" s="511">
        <f>SUM(AR70:AZ70)</f>
        <v>25000000</v>
      </c>
      <c r="BB70" s="78"/>
      <c r="BC70" s="78"/>
      <c r="BD70" s="78">
        <v>13000000</v>
      </c>
      <c r="BE70" s="78"/>
      <c r="BF70" s="78"/>
      <c r="BG70" s="78"/>
      <c r="BH70" s="78"/>
      <c r="BI70" s="78"/>
      <c r="BJ70" s="78"/>
      <c r="BK70" s="78">
        <f>SUM(BB70:BJ70)</f>
        <v>13000000</v>
      </c>
      <c r="BL70" s="603">
        <f>AG70+AQ70+BA70+BK70</f>
        <v>2186750000</v>
      </c>
      <c r="BM70" s="3"/>
    </row>
    <row r="71" spans="1:65" ht="146.25" customHeight="1" x14ac:dyDescent="0.2">
      <c r="A71" s="74">
        <v>50</v>
      </c>
      <c r="B71" s="56">
        <v>2</v>
      </c>
      <c r="C71" s="124"/>
      <c r="D71" s="124"/>
      <c r="E71" s="81">
        <v>6</v>
      </c>
      <c r="F71" s="57" t="s">
        <v>158</v>
      </c>
      <c r="G71" s="75" t="s">
        <v>123</v>
      </c>
      <c r="H71" s="75" t="s">
        <v>124</v>
      </c>
      <c r="I71" s="64">
        <v>48</v>
      </c>
      <c r="J71" s="60" t="s">
        <v>193</v>
      </c>
      <c r="K71" s="57" t="s">
        <v>194</v>
      </c>
      <c r="L71" s="61" t="s">
        <v>121</v>
      </c>
      <c r="M71" s="61">
        <v>13</v>
      </c>
      <c r="N71" s="76" t="s">
        <v>54</v>
      </c>
      <c r="O71" s="63">
        <v>0</v>
      </c>
      <c r="P71" s="63">
        <v>1</v>
      </c>
      <c r="Q71" s="77">
        <v>1</v>
      </c>
      <c r="R71" s="63">
        <v>1</v>
      </c>
      <c r="S71" s="63">
        <v>1</v>
      </c>
      <c r="T71" s="63">
        <v>1</v>
      </c>
      <c r="U71" s="109">
        <f>AG71/$AG$69</f>
        <v>2.403846153846154E-3</v>
      </c>
      <c r="V71" s="65">
        <v>8</v>
      </c>
      <c r="W71" s="62" t="s">
        <v>131</v>
      </c>
      <c r="X71" s="69"/>
      <c r="Y71" s="69"/>
      <c r="Z71" s="69">
        <v>5000000</v>
      </c>
      <c r="AA71" s="69"/>
      <c r="AB71" s="69"/>
      <c r="AC71" s="69"/>
      <c r="AD71" s="69"/>
      <c r="AE71" s="69"/>
      <c r="AF71" s="69"/>
      <c r="AG71" s="69">
        <f>+X71+Y71+Z71+AA71+AB71+AC71+AD71+AE71+AF71</f>
        <v>5000000</v>
      </c>
      <c r="AH71" s="78"/>
      <c r="AI71" s="78"/>
      <c r="AJ71" s="511">
        <v>5625000</v>
      </c>
      <c r="AK71" s="78"/>
      <c r="AL71" s="78"/>
      <c r="AM71" s="78"/>
      <c r="AN71" s="78"/>
      <c r="AO71" s="78"/>
      <c r="AP71" s="78"/>
      <c r="AQ71" s="71">
        <f>AH71+AI71+AJ71+AK71+AL71+AM71+AN71+AO71+AP71</f>
        <v>5625000</v>
      </c>
      <c r="AR71" s="511"/>
      <c r="AS71" s="511"/>
      <c r="AT71" s="511">
        <v>2500000</v>
      </c>
      <c r="AU71" s="511"/>
      <c r="AV71" s="511"/>
      <c r="AW71" s="511"/>
      <c r="AX71" s="511"/>
      <c r="AY71" s="511"/>
      <c r="AZ71" s="511"/>
      <c r="BA71" s="511">
        <f>SUM(AR71:AZ71)</f>
        <v>2500000</v>
      </c>
      <c r="BB71" s="78"/>
      <c r="BC71" s="78"/>
      <c r="BD71" s="78">
        <v>1000000</v>
      </c>
      <c r="BE71" s="78"/>
      <c r="BF71" s="78"/>
      <c r="BG71" s="78"/>
      <c r="BH71" s="78"/>
      <c r="BI71" s="78"/>
      <c r="BJ71" s="78"/>
      <c r="BK71" s="78">
        <f>SUM(BB71:BJ71)</f>
        <v>1000000</v>
      </c>
      <c r="BL71" s="603">
        <f>AG71+AQ71+BA71+BK71</f>
        <v>14125000</v>
      </c>
    </row>
    <row r="72" spans="1:65" ht="92.25" customHeight="1" x14ac:dyDescent="0.2">
      <c r="A72" s="56">
        <v>51</v>
      </c>
      <c r="B72" s="56">
        <v>2</v>
      </c>
      <c r="C72" s="124"/>
      <c r="D72" s="183"/>
      <c r="E72" s="506">
        <v>7</v>
      </c>
      <c r="F72" s="107" t="s">
        <v>146</v>
      </c>
      <c r="G72" s="102" t="s">
        <v>128</v>
      </c>
      <c r="H72" s="164">
        <v>0.27</v>
      </c>
      <c r="I72" s="64">
        <v>49</v>
      </c>
      <c r="J72" s="60" t="s">
        <v>195</v>
      </c>
      <c r="K72" s="57" t="s">
        <v>196</v>
      </c>
      <c r="L72" s="61" t="s">
        <v>121</v>
      </c>
      <c r="M72" s="61">
        <v>13</v>
      </c>
      <c r="N72" s="76" t="s">
        <v>54</v>
      </c>
      <c r="O72" s="63">
        <v>0</v>
      </c>
      <c r="P72" s="63">
        <v>1</v>
      </c>
      <c r="Q72" s="77">
        <v>1</v>
      </c>
      <c r="R72" s="63">
        <v>1</v>
      </c>
      <c r="S72" s="63">
        <v>1</v>
      </c>
      <c r="T72" s="63">
        <v>1</v>
      </c>
      <c r="U72" s="109">
        <f>AG72/$AG$69</f>
        <v>2.403846153846154E-3</v>
      </c>
      <c r="V72" s="65">
        <v>9</v>
      </c>
      <c r="W72" s="62" t="s">
        <v>176</v>
      </c>
      <c r="X72" s="69"/>
      <c r="Y72" s="69"/>
      <c r="Z72" s="69">
        <v>5000000</v>
      </c>
      <c r="AA72" s="69"/>
      <c r="AB72" s="69"/>
      <c r="AC72" s="69"/>
      <c r="AD72" s="69"/>
      <c r="AE72" s="69"/>
      <c r="AF72" s="69"/>
      <c r="AG72" s="69">
        <f>+X72+Y72+Z72+AA72+AB72+AC72+AD72+AE72+AF72</f>
        <v>5000000</v>
      </c>
      <c r="AH72" s="78"/>
      <c r="AI72" s="78"/>
      <c r="AJ72" s="511">
        <v>5625000</v>
      </c>
      <c r="AK72" s="78"/>
      <c r="AL72" s="78"/>
      <c r="AM72" s="78"/>
      <c r="AN72" s="78"/>
      <c r="AO72" s="78"/>
      <c r="AP72" s="78"/>
      <c r="AQ72" s="71">
        <f>AH72+AI72+AJ72+AK72+AL72+AM72+AN72+AO72+AP72</f>
        <v>5625000</v>
      </c>
      <c r="AR72" s="511"/>
      <c r="AS72" s="511"/>
      <c r="AT72" s="511">
        <v>2500000</v>
      </c>
      <c r="AU72" s="511"/>
      <c r="AV72" s="511"/>
      <c r="AW72" s="511"/>
      <c r="AX72" s="511"/>
      <c r="AY72" s="511"/>
      <c r="AZ72" s="511"/>
      <c r="BA72" s="511">
        <f>SUM(AR72:AZ72)</f>
        <v>2500000</v>
      </c>
      <c r="BB72" s="78"/>
      <c r="BC72" s="78"/>
      <c r="BD72" s="78">
        <v>1000000</v>
      </c>
      <c r="BE72" s="78"/>
      <c r="BF72" s="78"/>
      <c r="BG72" s="78"/>
      <c r="BH72" s="78"/>
      <c r="BI72" s="78"/>
      <c r="BJ72" s="78"/>
      <c r="BK72" s="78">
        <f>SUM(BB72:BJ72)</f>
        <v>1000000</v>
      </c>
      <c r="BL72" s="603">
        <f>AG72+AQ72+BA72+BK72</f>
        <v>14125000</v>
      </c>
    </row>
    <row r="73" spans="1:65" ht="24.75" customHeight="1" x14ac:dyDescent="0.2">
      <c r="A73" s="56"/>
      <c r="B73" s="56"/>
      <c r="C73" s="124"/>
      <c r="D73" s="30">
        <v>3</v>
      </c>
      <c r="E73" s="122" t="s">
        <v>197</v>
      </c>
      <c r="F73" s="32"/>
      <c r="G73" s="33"/>
      <c r="H73" s="33"/>
      <c r="I73" s="34"/>
      <c r="J73" s="35"/>
      <c r="K73" s="35"/>
      <c r="L73" s="36"/>
      <c r="M73" s="34"/>
      <c r="N73" s="37"/>
      <c r="O73" s="35"/>
      <c r="P73" s="35"/>
      <c r="Q73" s="38"/>
      <c r="R73" s="35"/>
      <c r="S73" s="35"/>
      <c r="T73" s="34"/>
      <c r="U73" s="123"/>
      <c r="V73" s="34"/>
      <c r="W73" s="34"/>
      <c r="X73" s="40">
        <f t="shared" ref="X73:AF73" si="83">X74+X77+X79</f>
        <v>0</v>
      </c>
      <c r="Y73" s="40">
        <f t="shared" si="83"/>
        <v>292360000</v>
      </c>
      <c r="Z73" s="40">
        <f t="shared" si="83"/>
        <v>203000000</v>
      </c>
      <c r="AA73" s="40">
        <f t="shared" si="83"/>
        <v>0</v>
      </c>
      <c r="AB73" s="40">
        <f t="shared" si="83"/>
        <v>0</v>
      </c>
      <c r="AC73" s="40">
        <f t="shared" si="83"/>
        <v>0</v>
      </c>
      <c r="AD73" s="40">
        <f t="shared" si="83"/>
        <v>0</v>
      </c>
      <c r="AE73" s="40">
        <f t="shared" si="83"/>
        <v>0</v>
      </c>
      <c r="AF73" s="40">
        <f t="shared" si="83"/>
        <v>3000000000</v>
      </c>
      <c r="AG73" s="41">
        <f>AG74+AG77+AG79</f>
        <v>3495360000</v>
      </c>
      <c r="AH73" s="40">
        <f t="shared" ref="AH73:AQ73" si="84">AH74+AH77+AH79</f>
        <v>0</v>
      </c>
      <c r="AI73" s="40">
        <f t="shared" si="84"/>
        <v>386620800</v>
      </c>
      <c r="AJ73" s="40">
        <f t="shared" si="84"/>
        <v>140000000</v>
      </c>
      <c r="AK73" s="40">
        <f t="shared" si="84"/>
        <v>0</v>
      </c>
      <c r="AL73" s="40">
        <f t="shared" si="84"/>
        <v>0</v>
      </c>
      <c r="AM73" s="40">
        <f t="shared" si="84"/>
        <v>0</v>
      </c>
      <c r="AN73" s="40">
        <f t="shared" si="84"/>
        <v>0</v>
      </c>
      <c r="AO73" s="40">
        <f t="shared" si="84"/>
        <v>0</v>
      </c>
      <c r="AP73" s="40">
        <f t="shared" si="84"/>
        <v>0</v>
      </c>
      <c r="AQ73" s="40">
        <f t="shared" si="84"/>
        <v>526620800</v>
      </c>
      <c r="AR73" s="42"/>
      <c r="AS73" s="42"/>
      <c r="AT73" s="42"/>
      <c r="AU73" s="42"/>
      <c r="AV73" s="42"/>
      <c r="AW73" s="42"/>
      <c r="AX73" s="42"/>
      <c r="AY73" s="42"/>
      <c r="AZ73" s="42"/>
      <c r="BA73" s="40">
        <f t="shared" ref="BA73" si="85">BA74+BA77+BA79</f>
        <v>448219424</v>
      </c>
      <c r="BB73" s="42"/>
      <c r="BC73" s="42"/>
      <c r="BD73" s="42"/>
      <c r="BE73" s="42"/>
      <c r="BF73" s="42"/>
      <c r="BG73" s="42"/>
      <c r="BH73" s="42"/>
      <c r="BI73" s="42"/>
      <c r="BJ73" s="42"/>
      <c r="BK73" s="40">
        <f t="shared" ref="BK73:BL73" si="86">BK74+BK77+BK79</f>
        <v>440166007</v>
      </c>
      <c r="BL73" s="40">
        <f t="shared" si="86"/>
        <v>4910366231</v>
      </c>
    </row>
    <row r="74" spans="1:65" ht="24.75" customHeight="1" x14ac:dyDescent="0.2">
      <c r="A74" s="56"/>
      <c r="B74" s="56"/>
      <c r="C74" s="124"/>
      <c r="D74" s="417"/>
      <c r="E74" s="44">
        <v>11</v>
      </c>
      <c r="F74" s="45" t="s">
        <v>198</v>
      </c>
      <c r="G74" s="83"/>
      <c r="H74" s="48"/>
      <c r="I74" s="47"/>
      <c r="J74" s="48"/>
      <c r="K74" s="48"/>
      <c r="L74" s="47"/>
      <c r="M74" s="49"/>
      <c r="N74" s="50"/>
      <c r="O74" s="48"/>
      <c r="P74" s="48"/>
      <c r="Q74" s="51"/>
      <c r="R74" s="48"/>
      <c r="S74" s="48"/>
      <c r="T74" s="49"/>
      <c r="U74" s="125"/>
      <c r="V74" s="49"/>
      <c r="W74" s="49"/>
      <c r="X74" s="53">
        <f t="shared" ref="X74:AF74" si="87">SUM(X75:X76)</f>
        <v>0</v>
      </c>
      <c r="Y74" s="53">
        <f t="shared" si="87"/>
        <v>0</v>
      </c>
      <c r="Z74" s="53">
        <f t="shared" si="87"/>
        <v>40000000</v>
      </c>
      <c r="AA74" s="53">
        <f t="shared" si="87"/>
        <v>0</v>
      </c>
      <c r="AB74" s="53">
        <f t="shared" si="87"/>
        <v>0</v>
      </c>
      <c r="AC74" s="53">
        <f t="shared" si="87"/>
        <v>0</v>
      </c>
      <c r="AD74" s="53">
        <f t="shared" si="87"/>
        <v>0</v>
      </c>
      <c r="AE74" s="53">
        <f t="shared" si="87"/>
        <v>0</v>
      </c>
      <c r="AF74" s="53">
        <f t="shared" si="87"/>
        <v>1000000000</v>
      </c>
      <c r="AG74" s="54">
        <f>SUM(AG75:AG76)</f>
        <v>1040000000</v>
      </c>
      <c r="AH74" s="53">
        <f t="shared" ref="AH74:AQ74" si="88">SUM(AH75:AH76)</f>
        <v>0</v>
      </c>
      <c r="AI74" s="53">
        <f t="shared" si="88"/>
        <v>0</v>
      </c>
      <c r="AJ74" s="53">
        <f t="shared" si="88"/>
        <v>50000000</v>
      </c>
      <c r="AK74" s="53">
        <f t="shared" si="88"/>
        <v>0</v>
      </c>
      <c r="AL74" s="53">
        <f t="shared" si="88"/>
        <v>0</v>
      </c>
      <c r="AM74" s="53">
        <f t="shared" si="88"/>
        <v>0</v>
      </c>
      <c r="AN74" s="53">
        <f t="shared" si="88"/>
        <v>0</v>
      </c>
      <c r="AO74" s="53">
        <f t="shared" si="88"/>
        <v>0</v>
      </c>
      <c r="AP74" s="53">
        <f t="shared" si="88"/>
        <v>0</v>
      </c>
      <c r="AQ74" s="53">
        <f t="shared" si="88"/>
        <v>50000000</v>
      </c>
      <c r="AR74" s="55"/>
      <c r="AS74" s="55"/>
      <c r="AT74" s="55"/>
      <c r="AU74" s="55"/>
      <c r="AV74" s="55"/>
      <c r="AW74" s="55"/>
      <c r="AX74" s="55"/>
      <c r="AY74" s="55"/>
      <c r="AZ74" s="55"/>
      <c r="BA74" s="53">
        <f t="shared" ref="BA74" si="89">SUM(BA75:BA76)</f>
        <v>20000000</v>
      </c>
      <c r="BB74" s="55"/>
      <c r="BC74" s="55"/>
      <c r="BD74" s="55"/>
      <c r="BE74" s="55"/>
      <c r="BF74" s="55"/>
      <c r="BG74" s="55"/>
      <c r="BH74" s="55"/>
      <c r="BI74" s="55"/>
      <c r="BJ74" s="55"/>
      <c r="BK74" s="53">
        <f t="shared" ref="BK74:BL74" si="90">SUM(BK75:BK76)</f>
        <v>10000000</v>
      </c>
      <c r="BL74" s="53">
        <f t="shared" si="90"/>
        <v>1120000000</v>
      </c>
    </row>
    <row r="75" spans="1:65" ht="104.25" customHeight="1" x14ac:dyDescent="0.2">
      <c r="A75" s="74">
        <v>52</v>
      </c>
      <c r="B75" s="56">
        <v>2</v>
      </c>
      <c r="C75" s="124"/>
      <c r="D75" s="124"/>
      <c r="E75" s="510">
        <v>8</v>
      </c>
      <c r="F75" s="516" t="s">
        <v>199</v>
      </c>
      <c r="G75" s="408">
        <v>665</v>
      </c>
      <c r="H75" s="408">
        <v>798</v>
      </c>
      <c r="I75" s="59">
        <v>50</v>
      </c>
      <c r="J75" s="60" t="s">
        <v>200</v>
      </c>
      <c r="K75" s="57" t="s">
        <v>201</v>
      </c>
      <c r="L75" s="61" t="s">
        <v>121</v>
      </c>
      <c r="M75" s="61">
        <v>13</v>
      </c>
      <c r="N75" s="412" t="s">
        <v>69</v>
      </c>
      <c r="O75" s="63" t="s">
        <v>49</v>
      </c>
      <c r="P75" s="63">
        <v>15</v>
      </c>
      <c r="Q75" s="411">
        <v>2</v>
      </c>
      <c r="R75" s="410">
        <v>5</v>
      </c>
      <c r="S75" s="410">
        <v>5</v>
      </c>
      <c r="T75" s="410">
        <v>3</v>
      </c>
      <c r="U75" s="420">
        <f>AG75/AG74</f>
        <v>1</v>
      </c>
      <c r="V75" s="64">
        <v>8</v>
      </c>
      <c r="W75" s="421" t="s">
        <v>131</v>
      </c>
      <c r="X75" s="422"/>
      <c r="Y75" s="422"/>
      <c r="Z75" s="422">
        <v>40000000</v>
      </c>
      <c r="AA75" s="422"/>
      <c r="AB75" s="422"/>
      <c r="AC75" s="422"/>
      <c r="AD75" s="422"/>
      <c r="AE75" s="422"/>
      <c r="AF75" s="422">
        <v>1000000000</v>
      </c>
      <c r="AG75" s="69">
        <f>+X75+Y75+Z75+AA75+AB75+AC75+AD75+AE75+AF75</f>
        <v>1040000000</v>
      </c>
      <c r="AH75" s="78"/>
      <c r="AI75" s="78"/>
      <c r="AJ75" s="511">
        <v>40000000</v>
      </c>
      <c r="AK75" s="78"/>
      <c r="AL75" s="78"/>
      <c r="AM75" s="78"/>
      <c r="AN75" s="78"/>
      <c r="AO75" s="78"/>
      <c r="AP75" s="78"/>
      <c r="AQ75" s="71">
        <v>40000000</v>
      </c>
      <c r="AR75" s="511"/>
      <c r="AS75" s="511"/>
      <c r="AT75" s="511">
        <v>10000000</v>
      </c>
      <c r="AU75" s="511"/>
      <c r="AV75" s="511"/>
      <c r="AW75" s="511"/>
      <c r="AX75" s="511"/>
      <c r="AY75" s="511"/>
      <c r="AZ75" s="511"/>
      <c r="BA75" s="511">
        <f>SUM(AR75:AZ75)</f>
        <v>10000000</v>
      </c>
      <c r="BB75" s="78"/>
      <c r="BC75" s="78"/>
      <c r="BD75" s="78">
        <v>5000000</v>
      </c>
      <c r="BE75" s="78"/>
      <c r="BF75" s="78"/>
      <c r="BG75" s="78"/>
      <c r="BH75" s="78"/>
      <c r="BI75" s="78"/>
      <c r="BJ75" s="78"/>
      <c r="BK75" s="78">
        <f>SUM(BB75:BJ75)</f>
        <v>5000000</v>
      </c>
      <c r="BL75" s="603">
        <f>AG75+AQ75+BA75+BK75</f>
        <v>1095000000</v>
      </c>
    </row>
    <row r="76" spans="1:65" ht="81.75" customHeight="1" x14ac:dyDescent="0.2">
      <c r="A76" s="56">
        <v>53</v>
      </c>
      <c r="B76" s="56">
        <v>2</v>
      </c>
      <c r="C76" s="124"/>
      <c r="D76" s="124"/>
      <c r="E76" s="506"/>
      <c r="F76" s="517"/>
      <c r="G76" s="80"/>
      <c r="H76" s="80"/>
      <c r="I76" s="59">
        <v>51</v>
      </c>
      <c r="J76" s="60" t="s">
        <v>202</v>
      </c>
      <c r="K76" s="57" t="s">
        <v>203</v>
      </c>
      <c r="L76" s="61" t="s">
        <v>121</v>
      </c>
      <c r="M76" s="61">
        <v>13</v>
      </c>
      <c r="N76" s="98" t="s">
        <v>54</v>
      </c>
      <c r="O76" s="77">
        <v>0</v>
      </c>
      <c r="P76" s="77">
        <v>1</v>
      </c>
      <c r="Q76" s="77">
        <v>0</v>
      </c>
      <c r="R76" s="77">
        <v>1</v>
      </c>
      <c r="S76" s="77">
        <v>1</v>
      </c>
      <c r="T76" s="77">
        <v>1</v>
      </c>
      <c r="U76" s="137"/>
      <c r="V76" s="64">
        <v>12</v>
      </c>
      <c r="W76" s="61" t="s">
        <v>70</v>
      </c>
      <c r="X76" s="69"/>
      <c r="Y76" s="69"/>
      <c r="Z76" s="69"/>
      <c r="AA76" s="69"/>
      <c r="AB76" s="69"/>
      <c r="AC76" s="69"/>
      <c r="AD76" s="69"/>
      <c r="AE76" s="69"/>
      <c r="AF76" s="69"/>
      <c r="AG76" s="69">
        <f>+X76+Y76+Z76+AA76+AB76+AC76+AD76+AE76+AF76</f>
        <v>0</v>
      </c>
      <c r="AH76" s="146"/>
      <c r="AI76" s="146"/>
      <c r="AJ76" s="511">
        <v>10000000</v>
      </c>
      <c r="AK76" s="78"/>
      <c r="AL76" s="146"/>
      <c r="AM76" s="146"/>
      <c r="AN76" s="146"/>
      <c r="AO76" s="146"/>
      <c r="AP76" s="146"/>
      <c r="AQ76" s="71">
        <v>10000000</v>
      </c>
      <c r="AR76" s="511"/>
      <c r="AS76" s="511"/>
      <c r="AT76" s="511">
        <v>10000000</v>
      </c>
      <c r="AU76" s="511"/>
      <c r="AV76" s="511"/>
      <c r="AW76" s="511"/>
      <c r="AX76" s="511"/>
      <c r="AY76" s="511"/>
      <c r="AZ76" s="511"/>
      <c r="BA76" s="511">
        <f>SUM(AR76:AZ76)</f>
        <v>10000000</v>
      </c>
      <c r="BB76" s="78"/>
      <c r="BC76" s="78"/>
      <c r="BD76" s="78">
        <v>5000000</v>
      </c>
      <c r="BE76" s="78"/>
      <c r="BF76" s="78"/>
      <c r="BG76" s="78"/>
      <c r="BH76" s="78"/>
      <c r="BI76" s="78"/>
      <c r="BJ76" s="78"/>
      <c r="BK76" s="78">
        <f>SUM(BB76:BJ76)</f>
        <v>5000000</v>
      </c>
      <c r="BL76" s="603">
        <f>AG76+AQ76+BA76+BK76</f>
        <v>25000000</v>
      </c>
    </row>
    <row r="77" spans="1:65" ht="36.75" customHeight="1" x14ac:dyDescent="0.2">
      <c r="A77" s="56"/>
      <c r="B77" s="56"/>
      <c r="C77" s="124"/>
      <c r="D77" s="124"/>
      <c r="E77" s="44">
        <v>12</v>
      </c>
      <c r="F77" s="45" t="s">
        <v>204</v>
      </c>
      <c r="G77" s="84"/>
      <c r="H77" s="84"/>
      <c r="I77" s="47"/>
      <c r="J77" s="84"/>
      <c r="K77" s="84"/>
      <c r="L77" s="47"/>
      <c r="M77" s="47"/>
      <c r="N77" s="85"/>
      <c r="O77" s="84"/>
      <c r="P77" s="84"/>
      <c r="Q77" s="86"/>
      <c r="R77" s="84"/>
      <c r="S77" s="84"/>
      <c r="T77" s="47"/>
      <c r="U77" s="87"/>
      <c r="V77" s="47"/>
      <c r="W77" s="47"/>
      <c r="X77" s="88">
        <f t="shared" ref="X77:AF77" si="91">SUM(X78)</f>
        <v>0</v>
      </c>
      <c r="Y77" s="88">
        <f t="shared" si="91"/>
        <v>0</v>
      </c>
      <c r="Z77" s="88">
        <f t="shared" si="91"/>
        <v>80000000</v>
      </c>
      <c r="AA77" s="88">
        <f t="shared" si="91"/>
        <v>0</v>
      </c>
      <c r="AB77" s="88">
        <f t="shared" si="91"/>
        <v>0</v>
      </c>
      <c r="AC77" s="88">
        <f t="shared" si="91"/>
        <v>0</v>
      </c>
      <c r="AD77" s="88">
        <f t="shared" si="91"/>
        <v>0</v>
      </c>
      <c r="AE77" s="88">
        <f t="shared" si="91"/>
        <v>0</v>
      </c>
      <c r="AF77" s="88">
        <f t="shared" si="91"/>
        <v>2000000000</v>
      </c>
      <c r="AG77" s="88">
        <f>SUM(AG78)</f>
        <v>2080000000</v>
      </c>
      <c r="AH77" s="89">
        <f t="shared" ref="AH77:AQ77" si="92">SUM(AH78)</f>
        <v>0</v>
      </c>
      <c r="AI77" s="89">
        <f t="shared" si="92"/>
        <v>0</v>
      </c>
      <c r="AJ77" s="89">
        <f t="shared" si="92"/>
        <v>90000000</v>
      </c>
      <c r="AK77" s="89">
        <f t="shared" si="92"/>
        <v>0</v>
      </c>
      <c r="AL77" s="89">
        <f t="shared" si="92"/>
        <v>0</v>
      </c>
      <c r="AM77" s="89">
        <f t="shared" si="92"/>
        <v>0</v>
      </c>
      <c r="AN77" s="89">
        <f t="shared" si="92"/>
        <v>0</v>
      </c>
      <c r="AO77" s="89">
        <f t="shared" si="92"/>
        <v>0</v>
      </c>
      <c r="AP77" s="89">
        <f t="shared" si="92"/>
        <v>0</v>
      </c>
      <c r="AQ77" s="89">
        <f t="shared" si="92"/>
        <v>90000000</v>
      </c>
      <c r="AR77" s="90"/>
      <c r="AS77" s="90"/>
      <c r="AT77" s="90"/>
      <c r="AU77" s="90"/>
      <c r="AV77" s="90"/>
      <c r="AW77" s="90"/>
      <c r="AX77" s="90"/>
      <c r="AY77" s="90"/>
      <c r="AZ77" s="90"/>
      <c r="BA77" s="89">
        <f t="shared" ref="BA77" si="93">SUM(BA78)</f>
        <v>30000000</v>
      </c>
      <c r="BB77" s="90"/>
      <c r="BC77" s="90"/>
      <c r="BD77" s="90"/>
      <c r="BE77" s="90"/>
      <c r="BF77" s="90"/>
      <c r="BG77" s="90"/>
      <c r="BH77" s="90"/>
      <c r="BI77" s="90"/>
      <c r="BJ77" s="90"/>
      <c r="BK77" s="89">
        <f t="shared" ref="BK77:BL77" si="94">SUM(BK78)</f>
        <v>20000000</v>
      </c>
      <c r="BL77" s="607">
        <f t="shared" si="94"/>
        <v>2220000000</v>
      </c>
    </row>
    <row r="78" spans="1:65" ht="104.25" customHeight="1" x14ac:dyDescent="0.2">
      <c r="A78" s="74">
        <v>54</v>
      </c>
      <c r="B78" s="56">
        <v>2</v>
      </c>
      <c r="C78" s="124"/>
      <c r="D78" s="124"/>
      <c r="E78" s="79">
        <v>8</v>
      </c>
      <c r="F78" s="516" t="s">
        <v>199</v>
      </c>
      <c r="G78" s="102">
        <v>665</v>
      </c>
      <c r="H78" s="102">
        <v>798</v>
      </c>
      <c r="I78" s="59">
        <v>52</v>
      </c>
      <c r="J78" s="60" t="s">
        <v>205</v>
      </c>
      <c r="K78" s="57" t="s">
        <v>206</v>
      </c>
      <c r="L78" s="61" t="s">
        <v>121</v>
      </c>
      <c r="M78" s="61">
        <v>13</v>
      </c>
      <c r="N78" s="412" t="s">
        <v>54</v>
      </c>
      <c r="O78" s="63">
        <v>0</v>
      </c>
      <c r="P78" s="63">
        <v>3</v>
      </c>
      <c r="Q78" s="411">
        <v>3</v>
      </c>
      <c r="R78" s="410">
        <v>3</v>
      </c>
      <c r="S78" s="410">
        <v>3</v>
      </c>
      <c r="T78" s="410">
        <v>3</v>
      </c>
      <c r="U78" s="420">
        <f>AG78/AG77</f>
        <v>1</v>
      </c>
      <c r="V78" s="65">
        <v>8</v>
      </c>
      <c r="W78" s="419" t="s">
        <v>131</v>
      </c>
      <c r="X78" s="422"/>
      <c r="Y78" s="422"/>
      <c r="Z78" s="422">
        <v>80000000</v>
      </c>
      <c r="AA78" s="422"/>
      <c r="AB78" s="422"/>
      <c r="AC78" s="422"/>
      <c r="AD78" s="422"/>
      <c r="AE78" s="422"/>
      <c r="AF78" s="422">
        <v>2000000000</v>
      </c>
      <c r="AG78" s="69">
        <f>+X78+Y78+Z78+AA78+AB78+AC78+AD78+AE78+AF78</f>
        <v>2080000000</v>
      </c>
      <c r="AH78" s="78"/>
      <c r="AI78" s="78"/>
      <c r="AJ78" s="78">
        <v>90000000</v>
      </c>
      <c r="AK78" s="78"/>
      <c r="AL78" s="78"/>
      <c r="AM78" s="78"/>
      <c r="AN78" s="78"/>
      <c r="AO78" s="78"/>
      <c r="AP78" s="78"/>
      <c r="AQ78" s="71">
        <v>90000000</v>
      </c>
      <c r="AR78" s="138"/>
      <c r="AS78" s="511"/>
      <c r="AT78" s="511">
        <v>30000000</v>
      </c>
      <c r="AU78" s="511"/>
      <c r="AV78" s="511"/>
      <c r="AW78" s="511"/>
      <c r="AX78" s="511"/>
      <c r="AY78" s="511"/>
      <c r="AZ78" s="511"/>
      <c r="BA78" s="511">
        <f>SUM(AR78:AZ78)</f>
        <v>30000000</v>
      </c>
      <c r="BB78" s="78"/>
      <c r="BC78" s="78"/>
      <c r="BD78" s="78">
        <v>20000000</v>
      </c>
      <c r="BE78" s="78"/>
      <c r="BF78" s="78"/>
      <c r="BG78" s="78"/>
      <c r="BH78" s="78"/>
      <c r="BI78" s="78"/>
      <c r="BJ78" s="78"/>
      <c r="BK78" s="78">
        <f>SUM(BB78:BJ78)</f>
        <v>20000000</v>
      </c>
      <c r="BL78" s="603">
        <f>AG78+AQ78+BA78+BK78</f>
        <v>2220000000</v>
      </c>
    </row>
    <row r="79" spans="1:65" ht="24.75" customHeight="1" x14ac:dyDescent="0.2">
      <c r="A79" s="74"/>
      <c r="B79" s="56"/>
      <c r="C79" s="124"/>
      <c r="D79" s="124"/>
      <c r="E79" s="44">
        <v>13</v>
      </c>
      <c r="F79" s="45" t="s">
        <v>207</v>
      </c>
      <c r="G79" s="47"/>
      <c r="H79" s="84"/>
      <c r="I79" s="47"/>
      <c r="J79" s="84"/>
      <c r="K79" s="84"/>
      <c r="L79" s="47"/>
      <c r="M79" s="47"/>
      <c r="N79" s="85"/>
      <c r="O79" s="84"/>
      <c r="P79" s="84"/>
      <c r="Q79" s="86"/>
      <c r="R79" s="84"/>
      <c r="S79" s="84"/>
      <c r="T79" s="47"/>
      <c r="U79" s="87"/>
      <c r="V79" s="47"/>
      <c r="W79" s="47"/>
      <c r="X79" s="88">
        <f>SUM(X80)</f>
        <v>0</v>
      </c>
      <c r="Y79" s="88">
        <f t="shared" ref="Y79:AF79" si="95">SUM(Y80)</f>
        <v>292360000</v>
      </c>
      <c r="Z79" s="88">
        <f t="shared" si="95"/>
        <v>83000000</v>
      </c>
      <c r="AA79" s="88">
        <f t="shared" si="95"/>
        <v>0</v>
      </c>
      <c r="AB79" s="88">
        <f t="shared" si="95"/>
        <v>0</v>
      </c>
      <c r="AC79" s="88">
        <f t="shared" si="95"/>
        <v>0</v>
      </c>
      <c r="AD79" s="88">
        <f t="shared" si="95"/>
        <v>0</v>
      </c>
      <c r="AE79" s="88">
        <f t="shared" si="95"/>
        <v>0</v>
      </c>
      <c r="AF79" s="88">
        <f t="shared" si="95"/>
        <v>0</v>
      </c>
      <c r="AG79" s="89">
        <f>SUM(AG80)</f>
        <v>375360000</v>
      </c>
      <c r="AH79" s="88">
        <f t="shared" ref="AH79:AQ79" si="96">SUM(AH80)</f>
        <v>0</v>
      </c>
      <c r="AI79" s="88">
        <f t="shared" si="96"/>
        <v>386620800</v>
      </c>
      <c r="AJ79" s="88">
        <f t="shared" si="96"/>
        <v>0</v>
      </c>
      <c r="AK79" s="88">
        <f t="shared" si="96"/>
        <v>0</v>
      </c>
      <c r="AL79" s="88">
        <f t="shared" si="96"/>
        <v>0</v>
      </c>
      <c r="AM79" s="88">
        <f t="shared" si="96"/>
        <v>0</v>
      </c>
      <c r="AN79" s="88">
        <f t="shared" si="96"/>
        <v>0</v>
      </c>
      <c r="AO79" s="88">
        <f t="shared" si="96"/>
        <v>0</v>
      </c>
      <c r="AP79" s="88">
        <f t="shared" si="96"/>
        <v>0</v>
      </c>
      <c r="AQ79" s="88">
        <f t="shared" si="96"/>
        <v>386620800</v>
      </c>
      <c r="AR79" s="90"/>
      <c r="AS79" s="90"/>
      <c r="AT79" s="90"/>
      <c r="AU79" s="90"/>
      <c r="AV79" s="90"/>
      <c r="AW79" s="90"/>
      <c r="AX79" s="90"/>
      <c r="AY79" s="90"/>
      <c r="AZ79" s="90"/>
      <c r="BA79" s="88">
        <f t="shared" ref="BA79" si="97">SUM(BA80)</f>
        <v>398219424</v>
      </c>
      <c r="BB79" s="90"/>
      <c r="BC79" s="90"/>
      <c r="BD79" s="90"/>
      <c r="BE79" s="90"/>
      <c r="BF79" s="90"/>
      <c r="BG79" s="90"/>
      <c r="BH79" s="90"/>
      <c r="BI79" s="90"/>
      <c r="BJ79" s="90"/>
      <c r="BK79" s="88">
        <f t="shared" ref="BK79:BL79" si="98">SUM(BK80)</f>
        <v>410166007</v>
      </c>
      <c r="BL79" s="88">
        <f t="shared" si="98"/>
        <v>1570366231</v>
      </c>
    </row>
    <row r="80" spans="1:65" ht="86.25" customHeight="1" x14ac:dyDescent="0.2">
      <c r="A80" s="56">
        <v>55</v>
      </c>
      <c r="B80" s="56">
        <v>2</v>
      </c>
      <c r="C80" s="124"/>
      <c r="D80" s="183"/>
      <c r="E80" s="506">
        <v>8</v>
      </c>
      <c r="F80" s="516" t="s">
        <v>199</v>
      </c>
      <c r="G80" s="102">
        <v>665</v>
      </c>
      <c r="H80" s="102">
        <v>798</v>
      </c>
      <c r="I80" s="59">
        <v>53</v>
      </c>
      <c r="J80" s="60" t="s">
        <v>208</v>
      </c>
      <c r="K80" s="57" t="s">
        <v>209</v>
      </c>
      <c r="L80" s="61" t="s">
        <v>121</v>
      </c>
      <c r="M80" s="61">
        <v>13</v>
      </c>
      <c r="N80" s="412" t="s">
        <v>54</v>
      </c>
      <c r="O80" s="63">
        <v>0</v>
      </c>
      <c r="P80" s="63">
        <v>1</v>
      </c>
      <c r="Q80" s="411">
        <v>1</v>
      </c>
      <c r="R80" s="410">
        <v>1</v>
      </c>
      <c r="S80" s="410">
        <v>1</v>
      </c>
      <c r="T80" s="410">
        <v>1</v>
      </c>
      <c r="U80" s="420">
        <f>AG80/AG79</f>
        <v>1</v>
      </c>
      <c r="V80" s="65">
        <v>8</v>
      </c>
      <c r="W80" s="419" t="s">
        <v>131</v>
      </c>
      <c r="X80" s="422"/>
      <c r="Y80" s="422">
        <v>292360000</v>
      </c>
      <c r="Z80" s="422">
        <v>83000000</v>
      </c>
      <c r="AA80" s="422"/>
      <c r="AB80" s="422"/>
      <c r="AC80" s="422"/>
      <c r="AD80" s="422"/>
      <c r="AE80" s="422"/>
      <c r="AF80" s="422"/>
      <c r="AG80" s="69">
        <f>+X80+Y80+Z80+AA80+AB80+AC80+AD80+AE80+AF80</f>
        <v>375360000</v>
      </c>
      <c r="AH80" s="78"/>
      <c r="AI80" s="511">
        <v>386620800</v>
      </c>
      <c r="AJ80" s="78"/>
      <c r="AK80" s="78"/>
      <c r="AL80" s="78"/>
      <c r="AM80" s="78"/>
      <c r="AN80" s="78"/>
      <c r="AO80" s="78"/>
      <c r="AP80" s="78"/>
      <c r="AQ80" s="71">
        <f>AH80+AI80+AJ80+AK80+AL80+AM80+AN80+AO80+AP80</f>
        <v>386620800</v>
      </c>
      <c r="AR80" s="511"/>
      <c r="AS80" s="511"/>
      <c r="AT80" s="511">
        <v>398219424</v>
      </c>
      <c r="AU80" s="511"/>
      <c r="AV80" s="511"/>
      <c r="AW80" s="511"/>
      <c r="AX80" s="511"/>
      <c r="AY80" s="511"/>
      <c r="AZ80" s="511"/>
      <c r="BA80" s="511">
        <f>SUM(AR80:AZ80)</f>
        <v>398219424</v>
      </c>
      <c r="BB80" s="78"/>
      <c r="BC80" s="78"/>
      <c r="BD80" s="78">
        <v>410166007</v>
      </c>
      <c r="BE80" s="78"/>
      <c r="BF80" s="78"/>
      <c r="BG80" s="78"/>
      <c r="BH80" s="78"/>
      <c r="BI80" s="78"/>
      <c r="BJ80" s="78"/>
      <c r="BK80" s="78">
        <f>SUM(BB80:BJ80)</f>
        <v>410166007</v>
      </c>
      <c r="BL80" s="603">
        <f>AG80+AQ80+BA80+BK80</f>
        <v>1570366231</v>
      </c>
    </row>
    <row r="81" spans="1:65" s="147" customFormat="1" ht="24.75" customHeight="1" x14ac:dyDescent="0.2">
      <c r="A81" s="140"/>
      <c r="B81" s="140"/>
      <c r="C81" s="124"/>
      <c r="D81" s="30">
        <v>4</v>
      </c>
      <c r="E81" s="122" t="s">
        <v>210</v>
      </c>
      <c r="F81" s="35"/>
      <c r="G81" s="35"/>
      <c r="H81" s="35"/>
      <c r="I81" s="34"/>
      <c r="J81" s="35"/>
      <c r="K81" s="35"/>
      <c r="L81" s="36"/>
      <c r="M81" s="34"/>
      <c r="N81" s="37"/>
      <c r="O81" s="35"/>
      <c r="P81" s="35"/>
      <c r="Q81" s="38"/>
      <c r="R81" s="35"/>
      <c r="S81" s="35"/>
      <c r="T81" s="34"/>
      <c r="U81" s="123"/>
      <c r="V81" s="34"/>
      <c r="W81" s="34"/>
      <c r="X81" s="40">
        <f t="shared" ref="X81:AE81" si="99">X82+X86</f>
        <v>0</v>
      </c>
      <c r="Y81" s="40">
        <f t="shared" si="99"/>
        <v>7625296341</v>
      </c>
      <c r="Z81" s="40">
        <f t="shared" si="99"/>
        <v>563293889</v>
      </c>
      <c r="AA81" s="40">
        <f t="shared" si="99"/>
        <v>20519904</v>
      </c>
      <c r="AB81" s="40">
        <f t="shared" si="99"/>
        <v>0</v>
      </c>
      <c r="AC81" s="40">
        <f t="shared" si="99"/>
        <v>0</v>
      </c>
      <c r="AD81" s="40">
        <f t="shared" si="99"/>
        <v>0</v>
      </c>
      <c r="AE81" s="40">
        <f t="shared" si="99"/>
        <v>0</v>
      </c>
      <c r="AF81" s="40">
        <f t="shared" ref="AF81:AG81" si="100">AF82+AF86</f>
        <v>2400000000</v>
      </c>
      <c r="AG81" s="41">
        <f t="shared" si="100"/>
        <v>10609110134</v>
      </c>
      <c r="AH81" s="41">
        <f t="shared" ref="AH81:AQ81" si="101">AH82+AH86</f>
        <v>3000000000</v>
      </c>
      <c r="AI81" s="41">
        <f t="shared" si="101"/>
        <v>7958719927</v>
      </c>
      <c r="AJ81" s="41">
        <f t="shared" si="101"/>
        <v>100000000</v>
      </c>
      <c r="AK81" s="41">
        <f t="shared" si="101"/>
        <v>0</v>
      </c>
      <c r="AL81" s="41">
        <f t="shared" si="101"/>
        <v>0</v>
      </c>
      <c r="AM81" s="41">
        <f t="shared" si="101"/>
        <v>0</v>
      </c>
      <c r="AN81" s="41">
        <f t="shared" si="101"/>
        <v>0</v>
      </c>
      <c r="AO81" s="41">
        <f t="shared" si="101"/>
        <v>0</v>
      </c>
      <c r="AP81" s="41">
        <f t="shared" si="101"/>
        <v>12000000000</v>
      </c>
      <c r="AQ81" s="41">
        <f t="shared" si="101"/>
        <v>23058719927</v>
      </c>
      <c r="AR81" s="42"/>
      <c r="AS81" s="42"/>
      <c r="AT81" s="42"/>
      <c r="AU81" s="42"/>
      <c r="AV81" s="42"/>
      <c r="AW81" s="42"/>
      <c r="AX81" s="42"/>
      <c r="AY81" s="42"/>
      <c r="AZ81" s="42"/>
      <c r="BA81" s="41">
        <f>BA82+BA86</f>
        <v>21404317496</v>
      </c>
      <c r="BB81" s="42"/>
      <c r="BC81" s="42"/>
      <c r="BD81" s="42"/>
      <c r="BE81" s="42"/>
      <c r="BF81" s="42"/>
      <c r="BG81" s="42"/>
      <c r="BH81" s="42"/>
      <c r="BI81" s="42"/>
      <c r="BJ81" s="42"/>
      <c r="BK81" s="41">
        <f t="shared" ref="BK81" si="102">BK82+BK86</f>
        <v>24853681020</v>
      </c>
      <c r="BL81" s="608">
        <f t="shared" ref="BL81" si="103">BL82+BL86</f>
        <v>79925828577</v>
      </c>
    </row>
    <row r="82" spans="1:65" s="147" customFormat="1" ht="24.75" customHeight="1" x14ac:dyDescent="0.2">
      <c r="A82" s="140"/>
      <c r="B82" s="140"/>
      <c r="C82" s="124"/>
      <c r="D82" s="423"/>
      <c r="E82" s="44">
        <v>14</v>
      </c>
      <c r="F82" s="45" t="s">
        <v>211</v>
      </c>
      <c r="G82" s="46"/>
      <c r="H82" s="45"/>
      <c r="I82" s="108"/>
      <c r="J82" s="48"/>
      <c r="K82" s="48"/>
      <c r="L82" s="47"/>
      <c r="M82" s="49"/>
      <c r="N82" s="50"/>
      <c r="O82" s="48"/>
      <c r="P82" s="48"/>
      <c r="Q82" s="51"/>
      <c r="R82" s="48"/>
      <c r="S82" s="48"/>
      <c r="T82" s="49"/>
      <c r="U82" s="125"/>
      <c r="V82" s="49"/>
      <c r="W82" s="49"/>
      <c r="X82" s="53">
        <f t="shared" ref="X82:AF82" si="104">SUM(X83:X85)</f>
        <v>0</v>
      </c>
      <c r="Y82" s="53">
        <f t="shared" si="104"/>
        <v>502256341</v>
      </c>
      <c r="Z82" s="53">
        <f t="shared" si="104"/>
        <v>363293889</v>
      </c>
      <c r="AA82" s="53">
        <f t="shared" si="104"/>
        <v>0</v>
      </c>
      <c r="AB82" s="53">
        <f t="shared" si="104"/>
        <v>0</v>
      </c>
      <c r="AC82" s="53">
        <f t="shared" si="104"/>
        <v>0</v>
      </c>
      <c r="AD82" s="53">
        <f t="shared" si="104"/>
        <v>0</v>
      </c>
      <c r="AE82" s="53">
        <f t="shared" si="104"/>
        <v>0</v>
      </c>
      <c r="AF82" s="53">
        <f t="shared" si="104"/>
        <v>0</v>
      </c>
      <c r="AG82" s="54">
        <f>SUM(AG83:AG85)</f>
        <v>865550230</v>
      </c>
      <c r="AH82" s="54">
        <f t="shared" ref="AH82" si="105">SUM(AH83:AH85)</f>
        <v>0</v>
      </c>
      <c r="AI82" s="54">
        <f t="shared" ref="AI82" si="106">SUM(AI83:AI85)</f>
        <v>621988727</v>
      </c>
      <c r="AJ82" s="54">
        <f t="shared" ref="AJ82" si="107">SUM(AJ83:AJ85)</f>
        <v>0</v>
      </c>
      <c r="AK82" s="54">
        <f t="shared" ref="AK82" si="108">SUM(AK83:AK85)</f>
        <v>0</v>
      </c>
      <c r="AL82" s="54">
        <f t="shared" ref="AL82" si="109">SUM(AL83:AL85)</f>
        <v>0</v>
      </c>
      <c r="AM82" s="54">
        <f t="shared" ref="AM82" si="110">SUM(AM83:AM85)</f>
        <v>0</v>
      </c>
      <c r="AN82" s="54">
        <f t="shared" ref="AN82" si="111">SUM(AN83:AN85)</f>
        <v>0</v>
      </c>
      <c r="AO82" s="54">
        <f t="shared" ref="AO82" si="112">SUM(AO83:AO85)</f>
        <v>0</v>
      </c>
      <c r="AP82" s="54">
        <f t="shared" ref="AP82" si="113">SUM(AP83:AP85)</f>
        <v>0</v>
      </c>
      <c r="AQ82" s="54">
        <f t="shared" ref="AQ82" si="114">SUM(AQ83:AQ85)</f>
        <v>621988727</v>
      </c>
      <c r="AR82" s="136"/>
      <c r="AS82" s="136"/>
      <c r="AT82" s="136"/>
      <c r="AU82" s="136"/>
      <c r="AV82" s="136"/>
      <c r="AW82" s="136"/>
      <c r="AX82" s="136"/>
      <c r="AY82" s="136"/>
      <c r="AZ82" s="136"/>
      <c r="BA82" s="54">
        <f t="shared" ref="BA82" si="115">SUM(BA83:BA85)</f>
        <v>4807484360</v>
      </c>
      <c r="BB82" s="136"/>
      <c r="BC82" s="136"/>
      <c r="BD82" s="136"/>
      <c r="BE82" s="136"/>
      <c r="BF82" s="136"/>
      <c r="BG82" s="136"/>
      <c r="BH82" s="136"/>
      <c r="BI82" s="136"/>
      <c r="BJ82" s="136"/>
      <c r="BK82" s="54">
        <f t="shared" ref="BK82:BL82" si="116">SUM(BK83:BK85)</f>
        <v>5995263005</v>
      </c>
      <c r="BL82" s="609">
        <f t="shared" si="116"/>
        <v>12290286322</v>
      </c>
    </row>
    <row r="83" spans="1:65" ht="77.25" customHeight="1" x14ac:dyDescent="0.2">
      <c r="A83" s="74">
        <v>56</v>
      </c>
      <c r="B83" s="56">
        <v>2</v>
      </c>
      <c r="C83" s="124"/>
      <c r="D83" s="141"/>
      <c r="E83" s="510">
        <v>9</v>
      </c>
      <c r="F83" s="516" t="s">
        <v>212</v>
      </c>
      <c r="G83" s="418">
        <v>0.59</v>
      </c>
      <c r="H83" s="418">
        <v>0.87</v>
      </c>
      <c r="I83" s="185">
        <v>54</v>
      </c>
      <c r="J83" s="186" t="s">
        <v>213</v>
      </c>
      <c r="K83" s="57" t="s">
        <v>214</v>
      </c>
      <c r="L83" s="61" t="s">
        <v>215</v>
      </c>
      <c r="M83" s="61">
        <v>9</v>
      </c>
      <c r="N83" s="62" t="s">
        <v>54</v>
      </c>
      <c r="O83" s="63">
        <v>129.85</v>
      </c>
      <c r="P83" s="77">
        <v>130</v>
      </c>
      <c r="Q83" s="64">
        <v>130</v>
      </c>
      <c r="R83" s="65">
        <v>130</v>
      </c>
      <c r="S83" s="65">
        <v>130</v>
      </c>
      <c r="T83" s="65">
        <v>130</v>
      </c>
      <c r="U83" s="109">
        <f>AG83/$AG$82</f>
        <v>0.3723138528886995</v>
      </c>
      <c r="V83" s="187">
        <v>9</v>
      </c>
      <c r="W83" s="64" t="s">
        <v>176</v>
      </c>
      <c r="X83" s="498"/>
      <c r="Y83" s="498">
        <f>292256341-49000000+30000000+49000000</f>
        <v>322256341</v>
      </c>
      <c r="Z83" s="498"/>
      <c r="AA83" s="69"/>
      <c r="AB83" s="69"/>
      <c r="AC83" s="69"/>
      <c r="AD83" s="69"/>
      <c r="AE83" s="69"/>
      <c r="AF83" s="69"/>
      <c r="AG83" s="69">
        <f>+X83+Y83+Z83+AA83+AB83+AC83+AD83+AE83+AF83</f>
        <v>322256341</v>
      </c>
      <c r="AH83" s="78"/>
      <c r="AI83" s="78">
        <v>231688727</v>
      </c>
      <c r="AJ83" s="78"/>
      <c r="AK83" s="78"/>
      <c r="AL83" s="78"/>
      <c r="AM83" s="78"/>
      <c r="AN83" s="78"/>
      <c r="AO83" s="78"/>
      <c r="AP83" s="78"/>
      <c r="AQ83" s="71">
        <f>AH83+AI83+AJ83+AK83+AL83+AM83+AN83+AO83+AP83</f>
        <v>231688727</v>
      </c>
      <c r="AR83" s="78"/>
      <c r="AS83" s="78">
        <v>300000000</v>
      </c>
      <c r="AT83" s="78"/>
      <c r="AU83" s="78"/>
      <c r="AV83" s="78"/>
      <c r="AW83" s="78"/>
      <c r="AX83" s="78"/>
      <c r="AY83" s="78"/>
      <c r="AZ83" s="78">
        <v>2000000000</v>
      </c>
      <c r="BA83" s="78">
        <f>SUM(AR83:AZ83)</f>
        <v>2300000000</v>
      </c>
      <c r="BB83" s="78">
        <v>4000000000</v>
      </c>
      <c r="BC83" s="78">
        <v>473550204</v>
      </c>
      <c r="BD83" s="78"/>
      <c r="BE83" s="78"/>
      <c r="BF83" s="78"/>
      <c r="BG83" s="78"/>
      <c r="BH83" s="78"/>
      <c r="BI83" s="78"/>
      <c r="BJ83" s="78"/>
      <c r="BK83" s="78">
        <f>SUM(BB83:BJ83)</f>
        <v>4473550204</v>
      </c>
      <c r="BL83" s="603">
        <f>AG83+AQ83+BA83+BK83</f>
        <v>7327495272</v>
      </c>
    </row>
    <row r="84" spans="1:65" ht="77.25" customHeight="1" x14ac:dyDescent="0.2">
      <c r="A84" s="56">
        <v>57</v>
      </c>
      <c r="B84" s="56">
        <v>2</v>
      </c>
      <c r="C84" s="124"/>
      <c r="D84" s="141"/>
      <c r="E84" s="79"/>
      <c r="F84" s="107"/>
      <c r="G84" s="164"/>
      <c r="H84" s="164"/>
      <c r="I84" s="185">
        <v>55</v>
      </c>
      <c r="J84" s="186" t="s">
        <v>216</v>
      </c>
      <c r="K84" s="57" t="s">
        <v>217</v>
      </c>
      <c r="L84" s="61" t="s">
        <v>215</v>
      </c>
      <c r="M84" s="61">
        <v>9</v>
      </c>
      <c r="N84" s="62" t="s">
        <v>54</v>
      </c>
      <c r="O84" s="63">
        <v>12</v>
      </c>
      <c r="P84" s="63">
        <v>12</v>
      </c>
      <c r="Q84" s="64">
        <v>12</v>
      </c>
      <c r="R84" s="65">
        <v>12</v>
      </c>
      <c r="S84" s="65">
        <v>12</v>
      </c>
      <c r="T84" s="65">
        <v>12</v>
      </c>
      <c r="U84" s="109">
        <f>AG84/$AG$82</f>
        <v>0.41972594588762341</v>
      </c>
      <c r="V84" s="187">
        <v>9</v>
      </c>
      <c r="W84" s="64" t="s">
        <v>176</v>
      </c>
      <c r="X84" s="498"/>
      <c r="Y84" s="498"/>
      <c r="Z84" s="502">
        <v>363293889</v>
      </c>
      <c r="AA84" s="106"/>
      <c r="AB84" s="106"/>
      <c r="AC84" s="69"/>
      <c r="AD84" s="69"/>
      <c r="AE84" s="69"/>
      <c r="AF84" s="69"/>
      <c r="AG84" s="69">
        <f>+X84+Y84+Z84+AA84+AB84+AC84+AD84+AE84+AF84</f>
        <v>363293889</v>
      </c>
      <c r="AH84" s="71"/>
      <c r="AI84" s="78">
        <v>261000000</v>
      </c>
      <c r="AJ84" s="71"/>
      <c r="AK84" s="71"/>
      <c r="AL84" s="71"/>
      <c r="AM84" s="71"/>
      <c r="AN84" s="71"/>
      <c r="AO84" s="71"/>
      <c r="AP84" s="71"/>
      <c r="AQ84" s="71">
        <f>AH84+AI84+AJ84+AK84+AL84+AM84+AN84+AO84+AP84</f>
        <v>261000000</v>
      </c>
      <c r="AR84" s="78">
        <v>2000000000</v>
      </c>
      <c r="AS84" s="78">
        <v>338000000</v>
      </c>
      <c r="AT84" s="78"/>
      <c r="AU84" s="78"/>
      <c r="AV84" s="78"/>
      <c r="AW84" s="78"/>
      <c r="AX84" s="78"/>
      <c r="AY84" s="78"/>
      <c r="AZ84" s="78"/>
      <c r="BA84" s="78">
        <f>SUM(AR84:AZ84)</f>
        <v>2338000000</v>
      </c>
      <c r="BB84" s="78"/>
      <c r="BC84" s="78">
        <v>521712801</v>
      </c>
      <c r="BD84" s="78"/>
      <c r="BE84" s="78"/>
      <c r="BF84" s="78"/>
      <c r="BG84" s="78"/>
      <c r="BH84" s="78"/>
      <c r="BI84" s="78"/>
      <c r="BJ84" s="78">
        <v>1000000000</v>
      </c>
      <c r="BK84" s="78">
        <f>SUM(BB84:BJ84)</f>
        <v>1521712801</v>
      </c>
      <c r="BL84" s="603">
        <f>AG84+AQ84+BA84+BK84</f>
        <v>4484006690</v>
      </c>
    </row>
    <row r="85" spans="1:65" ht="90.75" customHeight="1" x14ac:dyDescent="0.2">
      <c r="A85" s="74">
        <v>58</v>
      </c>
      <c r="B85" s="56">
        <v>2</v>
      </c>
      <c r="C85" s="124"/>
      <c r="D85" s="141"/>
      <c r="E85" s="506"/>
      <c r="F85" s="517"/>
      <c r="G85" s="189"/>
      <c r="H85" s="189"/>
      <c r="I85" s="185">
        <v>56</v>
      </c>
      <c r="J85" s="186" t="s">
        <v>218</v>
      </c>
      <c r="K85" s="57" t="s">
        <v>219</v>
      </c>
      <c r="L85" s="61" t="s">
        <v>215</v>
      </c>
      <c r="M85" s="61">
        <v>9</v>
      </c>
      <c r="N85" s="190" t="s">
        <v>69</v>
      </c>
      <c r="O85" s="63">
        <v>9</v>
      </c>
      <c r="P85" s="63">
        <v>8</v>
      </c>
      <c r="Q85" s="64">
        <v>3</v>
      </c>
      <c r="R85" s="65">
        <v>3</v>
      </c>
      <c r="S85" s="65">
        <v>2</v>
      </c>
      <c r="T85" s="65">
        <v>0</v>
      </c>
      <c r="U85" s="109">
        <f>AG85/$AG$82</f>
        <v>0.20796020122367712</v>
      </c>
      <c r="V85" s="187">
        <v>9</v>
      </c>
      <c r="W85" s="64" t="s">
        <v>176</v>
      </c>
      <c r="X85" s="498"/>
      <c r="Y85" s="498">
        <v>180000000</v>
      </c>
      <c r="Z85" s="498"/>
      <c r="AA85" s="69"/>
      <c r="AB85" s="69"/>
      <c r="AC85" s="69"/>
      <c r="AD85" s="69"/>
      <c r="AE85" s="69"/>
      <c r="AF85" s="69"/>
      <c r="AG85" s="69">
        <f>+X85+Y85+Z85+AA85+AB85+AC85+AD85+AE85+AF85</f>
        <v>180000000</v>
      </c>
      <c r="AH85" s="78"/>
      <c r="AI85" s="78">
        <v>129300000</v>
      </c>
      <c r="AJ85" s="78"/>
      <c r="AK85" s="78"/>
      <c r="AL85" s="78"/>
      <c r="AM85" s="78"/>
      <c r="AN85" s="78"/>
      <c r="AO85" s="78"/>
      <c r="AP85" s="78"/>
      <c r="AQ85" s="71">
        <f>AH85+AI85+AJ85+AK85+AL85+AM85+AN85+AO85+AP85</f>
        <v>129300000</v>
      </c>
      <c r="AR85" s="78"/>
      <c r="AS85" s="78">
        <v>169484360</v>
      </c>
      <c r="AT85" s="78"/>
      <c r="AU85" s="78"/>
      <c r="AV85" s="78"/>
      <c r="AW85" s="78"/>
      <c r="AX85" s="78"/>
      <c r="AY85" s="78"/>
      <c r="AZ85" s="78"/>
      <c r="BA85" s="78">
        <f>SUM(AR85:AZ85)</f>
        <v>169484360</v>
      </c>
      <c r="BB85" s="78"/>
      <c r="BC85" s="78"/>
      <c r="BD85" s="78"/>
      <c r="BE85" s="78"/>
      <c r="BF85" s="78"/>
      <c r="BG85" s="78"/>
      <c r="BH85" s="78"/>
      <c r="BI85" s="78"/>
      <c r="BJ85" s="78"/>
      <c r="BK85" s="78">
        <f>SUM(BB85:BJ85)</f>
        <v>0</v>
      </c>
      <c r="BL85" s="603">
        <f>AG85+AQ85+BA85+BK85</f>
        <v>478784360</v>
      </c>
    </row>
    <row r="86" spans="1:65" ht="24.75" customHeight="1" x14ac:dyDescent="0.2">
      <c r="A86" s="74"/>
      <c r="B86" s="56"/>
      <c r="C86" s="124"/>
      <c r="D86" s="141"/>
      <c r="E86" s="44">
        <v>15</v>
      </c>
      <c r="F86" s="45" t="s">
        <v>220</v>
      </c>
      <c r="G86" s="48"/>
      <c r="H86" s="48"/>
      <c r="I86" s="49"/>
      <c r="J86" s="48"/>
      <c r="K86" s="84"/>
      <c r="L86" s="47"/>
      <c r="M86" s="47"/>
      <c r="N86" s="85"/>
      <c r="O86" s="84"/>
      <c r="P86" s="84"/>
      <c r="Q86" s="86"/>
      <c r="R86" s="84"/>
      <c r="S86" s="84"/>
      <c r="T86" s="47"/>
      <c r="U86" s="87"/>
      <c r="V86" s="47"/>
      <c r="W86" s="47"/>
      <c r="X86" s="88">
        <f t="shared" ref="X86:AF86" si="117">SUM(X87:X94)</f>
        <v>0</v>
      </c>
      <c r="Y86" s="88">
        <f t="shared" si="117"/>
        <v>7123040000</v>
      </c>
      <c r="Z86" s="88">
        <f t="shared" si="117"/>
        <v>200000000</v>
      </c>
      <c r="AA86" s="88">
        <f t="shared" si="117"/>
        <v>20519904</v>
      </c>
      <c r="AB86" s="88">
        <f t="shared" si="117"/>
        <v>0</v>
      </c>
      <c r="AC86" s="88">
        <f t="shared" si="117"/>
        <v>0</v>
      </c>
      <c r="AD86" s="88">
        <f t="shared" si="117"/>
        <v>0</v>
      </c>
      <c r="AE86" s="88">
        <f t="shared" si="117"/>
        <v>0</v>
      </c>
      <c r="AF86" s="88">
        <f t="shared" si="117"/>
        <v>2400000000</v>
      </c>
      <c r="AG86" s="89">
        <f>SUM(AG87:AG94)</f>
        <v>9743559904</v>
      </c>
      <c r="AH86" s="88">
        <f t="shared" ref="AH86:AQ86" si="118">SUM(AH87:AH94)</f>
        <v>3000000000</v>
      </c>
      <c r="AI86" s="88">
        <f t="shared" si="118"/>
        <v>7336731200</v>
      </c>
      <c r="AJ86" s="88">
        <f t="shared" si="118"/>
        <v>100000000</v>
      </c>
      <c r="AK86" s="88">
        <f t="shared" si="118"/>
        <v>0</v>
      </c>
      <c r="AL86" s="88">
        <f t="shared" si="118"/>
        <v>0</v>
      </c>
      <c r="AM86" s="88">
        <f t="shared" si="118"/>
        <v>0</v>
      </c>
      <c r="AN86" s="88">
        <f t="shared" si="118"/>
        <v>0</v>
      </c>
      <c r="AO86" s="88">
        <f t="shared" si="118"/>
        <v>0</v>
      </c>
      <c r="AP86" s="88">
        <f t="shared" si="118"/>
        <v>12000000000</v>
      </c>
      <c r="AQ86" s="88">
        <f t="shared" si="118"/>
        <v>22436731200</v>
      </c>
      <c r="AR86" s="90"/>
      <c r="AS86" s="90"/>
      <c r="AT86" s="90"/>
      <c r="AU86" s="90"/>
      <c r="AV86" s="90"/>
      <c r="AW86" s="90"/>
      <c r="AX86" s="90"/>
      <c r="AY86" s="90"/>
      <c r="AZ86" s="90"/>
      <c r="BA86" s="88">
        <f t="shared" ref="BA86" si="119">SUM(BA87:BA94)</f>
        <v>16596833136</v>
      </c>
      <c r="BB86" s="90"/>
      <c r="BC86" s="90"/>
      <c r="BD86" s="90"/>
      <c r="BE86" s="90"/>
      <c r="BF86" s="90"/>
      <c r="BG86" s="90"/>
      <c r="BH86" s="90"/>
      <c r="BI86" s="90"/>
      <c r="BJ86" s="90"/>
      <c r="BK86" s="88">
        <f t="shared" ref="BK86:BL86" si="120">SUM(BK87:BK94)</f>
        <v>18858418015</v>
      </c>
      <c r="BL86" s="88">
        <f t="shared" si="120"/>
        <v>67635542255</v>
      </c>
    </row>
    <row r="87" spans="1:65" ht="73.5" customHeight="1" x14ac:dyDescent="0.2">
      <c r="A87" s="56">
        <v>59</v>
      </c>
      <c r="B87" s="56">
        <v>2</v>
      </c>
      <c r="C87" s="124"/>
      <c r="D87" s="141"/>
      <c r="E87" s="81">
        <v>14</v>
      </c>
      <c r="F87" s="57" t="s">
        <v>221</v>
      </c>
      <c r="G87" s="191" t="s">
        <v>222</v>
      </c>
      <c r="H87" s="191">
        <v>0.03</v>
      </c>
      <c r="I87" s="59">
        <v>57</v>
      </c>
      <c r="J87" s="60" t="s">
        <v>223</v>
      </c>
      <c r="K87" s="57" t="s">
        <v>224</v>
      </c>
      <c r="L87" s="61" t="s">
        <v>225</v>
      </c>
      <c r="M87" s="61">
        <v>1</v>
      </c>
      <c r="N87" s="484" t="s">
        <v>69</v>
      </c>
      <c r="O87" s="63">
        <v>103</v>
      </c>
      <c r="P87" s="485">
        <v>48</v>
      </c>
      <c r="Q87" s="64">
        <v>12</v>
      </c>
      <c r="R87" s="64">
        <v>12</v>
      </c>
      <c r="S87" s="65">
        <v>12</v>
      </c>
      <c r="T87" s="65">
        <v>12</v>
      </c>
      <c r="U87" s="109">
        <f t="shared" ref="U87:U94" si="121">AG87/$AG$86</f>
        <v>0.36439657979035095</v>
      </c>
      <c r="V87" s="64">
        <v>11</v>
      </c>
      <c r="W87" s="61" t="s">
        <v>226</v>
      </c>
      <c r="X87" s="69"/>
      <c r="Y87" s="69">
        <v>3530000000</v>
      </c>
      <c r="Z87" s="500"/>
      <c r="AA87" s="192">
        <v>20519904</v>
      </c>
      <c r="AB87" s="192"/>
      <c r="AC87" s="69"/>
      <c r="AD87" s="69"/>
      <c r="AE87" s="69"/>
      <c r="AF87" s="69"/>
      <c r="AG87" s="69">
        <f t="shared" ref="AG87:AG94" si="122">+X87+Y87+Z87+AA87+AB87+AC87+AD87+AE87+AF87</f>
        <v>3550519904</v>
      </c>
      <c r="AH87" s="78"/>
      <c r="AI87" s="78">
        <v>4489900000</v>
      </c>
      <c r="AJ87" s="78"/>
      <c r="AK87" s="78"/>
      <c r="AL87" s="78"/>
      <c r="AM87" s="78"/>
      <c r="AN87" s="78"/>
      <c r="AO87" s="78"/>
      <c r="AP87" s="78"/>
      <c r="AQ87" s="71">
        <f t="shared" ref="AQ87:AQ94" si="123">AH87+AI87+AJ87+AK87+AL87+AM87+AN87+AO87+AP87</f>
        <v>4489900000</v>
      </c>
      <c r="AR87" s="78"/>
      <c r="AS87" s="78">
        <f>3297438011+357158989</f>
        <v>3654597000</v>
      </c>
      <c r="AT87" s="78"/>
      <c r="AU87" s="78"/>
      <c r="AV87" s="78"/>
      <c r="AW87" s="78"/>
      <c r="AX87" s="78"/>
      <c r="AY87" s="78"/>
      <c r="AZ87" s="78"/>
      <c r="BA87" s="78">
        <f t="shared" ref="BA87:BA94" si="124">SUM(AR87:AZ87)</f>
        <v>3654597000</v>
      </c>
      <c r="BB87" s="78"/>
      <c r="BC87" s="78">
        <v>3824234910</v>
      </c>
      <c r="BD87" s="78"/>
      <c r="BE87" s="78"/>
      <c r="BF87" s="78"/>
      <c r="BG87" s="78"/>
      <c r="BH87" s="78"/>
      <c r="BI87" s="78"/>
      <c r="BJ87" s="78"/>
      <c r="BK87" s="78">
        <f t="shared" ref="BK87:BK94" si="125">SUM(BB87:BJ87)</f>
        <v>3824234910</v>
      </c>
      <c r="BL87" s="603">
        <f t="shared" ref="BL87:BL94" si="126">AG87+AQ87+BA87+BK87</f>
        <v>15519251814</v>
      </c>
    </row>
    <row r="88" spans="1:65" ht="67.5" customHeight="1" x14ac:dyDescent="0.2">
      <c r="A88" s="56"/>
      <c r="B88" s="56"/>
      <c r="C88" s="124"/>
      <c r="D88" s="141"/>
      <c r="E88" s="506">
        <v>6</v>
      </c>
      <c r="F88" s="517" t="s">
        <v>227</v>
      </c>
      <c r="G88" s="149" t="s">
        <v>123</v>
      </c>
      <c r="H88" s="193" t="s">
        <v>123</v>
      </c>
      <c r="I88" s="424">
        <v>58</v>
      </c>
      <c r="J88" s="514" t="s">
        <v>228</v>
      </c>
      <c r="K88" s="516" t="s">
        <v>229</v>
      </c>
      <c r="L88" s="421" t="s">
        <v>230</v>
      </c>
      <c r="M88" s="421">
        <v>15</v>
      </c>
      <c r="N88" s="62" t="s">
        <v>69</v>
      </c>
      <c r="O88" s="410">
        <v>6</v>
      </c>
      <c r="P88" s="410">
        <v>4</v>
      </c>
      <c r="Q88" s="65">
        <v>0</v>
      </c>
      <c r="R88" s="65">
        <v>1</v>
      </c>
      <c r="S88" s="65">
        <v>2</v>
      </c>
      <c r="T88" s="65">
        <v>1</v>
      </c>
      <c r="U88" s="109">
        <f t="shared" si="121"/>
        <v>0</v>
      </c>
      <c r="V88" s="64">
        <v>11</v>
      </c>
      <c r="W88" s="61" t="s">
        <v>226</v>
      </c>
      <c r="X88" s="69"/>
      <c r="Y88" s="176">
        <v>0</v>
      </c>
      <c r="Z88" s="500"/>
      <c r="AA88" s="176"/>
      <c r="AB88" s="176"/>
      <c r="AC88" s="69"/>
      <c r="AD88" s="69"/>
      <c r="AE88" s="69"/>
      <c r="AF88" s="69"/>
      <c r="AG88" s="69">
        <f t="shared" si="122"/>
        <v>0</v>
      </c>
      <c r="AH88" s="511"/>
      <c r="AI88" s="78"/>
      <c r="AJ88" s="78"/>
      <c r="AK88" s="78"/>
      <c r="AL88" s="78"/>
      <c r="AM88" s="78"/>
      <c r="AN88" s="78"/>
      <c r="AO88" s="78"/>
      <c r="AP88" s="78">
        <v>1000000000</v>
      </c>
      <c r="AQ88" s="71">
        <f t="shared" si="123"/>
        <v>1000000000</v>
      </c>
      <c r="AR88" s="78"/>
      <c r="AS88" s="78"/>
      <c r="AT88" s="78"/>
      <c r="AU88" s="78"/>
      <c r="AV88" s="78"/>
      <c r="AW88" s="78"/>
      <c r="AX88" s="78"/>
      <c r="AY88" s="78"/>
      <c r="AZ88" s="78">
        <v>1000000000</v>
      </c>
      <c r="BA88" s="78">
        <f t="shared" si="124"/>
        <v>1000000000</v>
      </c>
      <c r="BB88" s="78"/>
      <c r="BC88" s="78"/>
      <c r="BD88" s="78"/>
      <c r="BE88" s="78"/>
      <c r="BF88" s="78"/>
      <c r="BG88" s="78"/>
      <c r="BH88" s="78"/>
      <c r="BI88" s="78"/>
      <c r="BJ88" s="78">
        <v>1000000000</v>
      </c>
      <c r="BK88" s="78">
        <f t="shared" si="125"/>
        <v>1000000000</v>
      </c>
      <c r="BL88" s="603">
        <f t="shared" si="126"/>
        <v>3000000000</v>
      </c>
    </row>
    <row r="89" spans="1:65" ht="300.75" customHeight="1" x14ac:dyDescent="0.2">
      <c r="A89" s="56">
        <v>61</v>
      </c>
      <c r="B89" s="56">
        <v>2</v>
      </c>
      <c r="C89" s="124"/>
      <c r="D89" s="124"/>
      <c r="E89" s="81">
        <v>36</v>
      </c>
      <c r="F89" s="517" t="s">
        <v>231</v>
      </c>
      <c r="G89" s="194">
        <v>0.4</v>
      </c>
      <c r="H89" s="195">
        <v>0.6</v>
      </c>
      <c r="I89" s="67">
        <v>59</v>
      </c>
      <c r="J89" s="57" t="s">
        <v>232</v>
      </c>
      <c r="K89" s="57" t="s">
        <v>233</v>
      </c>
      <c r="L89" s="419" t="s">
        <v>230</v>
      </c>
      <c r="M89" s="419">
        <v>15</v>
      </c>
      <c r="N89" s="484" t="s">
        <v>69</v>
      </c>
      <c r="O89" s="63">
        <v>82</v>
      </c>
      <c r="P89" s="485">
        <v>48</v>
      </c>
      <c r="Q89" s="65">
        <v>12</v>
      </c>
      <c r="R89" s="65">
        <v>12</v>
      </c>
      <c r="S89" s="65">
        <v>12</v>
      </c>
      <c r="T89" s="65">
        <v>12</v>
      </c>
      <c r="U89" s="182">
        <f t="shared" si="121"/>
        <v>0.18473740786065782</v>
      </c>
      <c r="V89" s="65">
        <v>11</v>
      </c>
      <c r="W89" s="62" t="s">
        <v>226</v>
      </c>
      <c r="X89" s="106"/>
      <c r="Y89" s="96">
        <v>1800000000</v>
      </c>
      <c r="Z89" s="496"/>
      <c r="AA89" s="96"/>
      <c r="AB89" s="96"/>
      <c r="AC89" s="106"/>
      <c r="AD89" s="106"/>
      <c r="AE89" s="106"/>
      <c r="AF89" s="106"/>
      <c r="AG89" s="106">
        <f t="shared" si="122"/>
        <v>1800000000</v>
      </c>
      <c r="AH89" s="78"/>
      <c r="AI89" s="78">
        <v>1000000000</v>
      </c>
      <c r="AJ89" s="78"/>
      <c r="AK89" s="78"/>
      <c r="AL89" s="78"/>
      <c r="AM89" s="78"/>
      <c r="AN89" s="78"/>
      <c r="AO89" s="511"/>
      <c r="AP89" s="78">
        <v>2000000000</v>
      </c>
      <c r="AQ89" s="71">
        <f t="shared" si="123"/>
        <v>3000000000</v>
      </c>
      <c r="AR89" s="78"/>
      <c r="AS89" s="78">
        <f>2357158989-357158989</f>
        <v>2000000000</v>
      </c>
      <c r="AT89" s="78"/>
      <c r="AU89" s="78"/>
      <c r="AV89" s="78"/>
      <c r="AW89" s="78"/>
      <c r="AX89" s="78"/>
      <c r="AY89" s="78"/>
      <c r="AZ89" s="78"/>
      <c r="BA89" s="78">
        <f t="shared" si="124"/>
        <v>2000000000</v>
      </c>
      <c r="BB89" s="78"/>
      <c r="BC89" s="78">
        <v>2000000000</v>
      </c>
      <c r="BD89" s="78"/>
      <c r="BE89" s="78"/>
      <c r="BF89" s="78"/>
      <c r="BG89" s="78"/>
      <c r="BH89" s="78"/>
      <c r="BI89" s="78"/>
      <c r="BJ89" s="78"/>
      <c r="BK89" s="78">
        <f t="shared" si="125"/>
        <v>2000000000</v>
      </c>
      <c r="BL89" s="603">
        <f t="shared" si="126"/>
        <v>8800000000</v>
      </c>
      <c r="BM89" s="3" t="s">
        <v>61</v>
      </c>
    </row>
    <row r="90" spans="1:65" ht="119.25" customHeight="1" x14ac:dyDescent="0.2">
      <c r="A90" s="74">
        <v>62</v>
      </c>
      <c r="B90" s="56">
        <v>2</v>
      </c>
      <c r="C90" s="124"/>
      <c r="D90" s="124"/>
      <c r="E90" s="81">
        <v>10</v>
      </c>
      <c r="F90" s="57" t="s">
        <v>234</v>
      </c>
      <c r="G90" s="81" t="s">
        <v>235</v>
      </c>
      <c r="H90" s="196" t="s">
        <v>236</v>
      </c>
      <c r="I90" s="67">
        <v>60</v>
      </c>
      <c r="J90" s="57" t="s">
        <v>237</v>
      </c>
      <c r="K90" s="57" t="s">
        <v>238</v>
      </c>
      <c r="L90" s="419" t="s">
        <v>230</v>
      </c>
      <c r="M90" s="419">
        <v>15</v>
      </c>
      <c r="N90" s="488" t="s">
        <v>69</v>
      </c>
      <c r="O90" s="63">
        <v>9</v>
      </c>
      <c r="P90" s="485">
        <v>48</v>
      </c>
      <c r="Q90" s="65">
        <v>12</v>
      </c>
      <c r="R90" s="65">
        <v>12</v>
      </c>
      <c r="S90" s="65">
        <v>12</v>
      </c>
      <c r="T90" s="65">
        <v>12</v>
      </c>
      <c r="U90" s="182">
        <f t="shared" si="121"/>
        <v>0</v>
      </c>
      <c r="V90" s="65">
        <v>11</v>
      </c>
      <c r="W90" s="62" t="s">
        <v>226</v>
      </c>
      <c r="X90" s="106"/>
      <c r="Y90" s="96">
        <v>0</v>
      </c>
      <c r="Z90" s="496"/>
      <c r="AA90" s="96"/>
      <c r="AB90" s="96"/>
      <c r="AC90" s="106"/>
      <c r="AD90" s="106"/>
      <c r="AE90" s="106"/>
      <c r="AF90" s="106"/>
      <c r="AG90" s="106">
        <f t="shared" si="122"/>
        <v>0</v>
      </c>
      <c r="AH90" s="78"/>
      <c r="AI90" s="78"/>
      <c r="AJ90" s="78"/>
      <c r="AK90" s="78"/>
      <c r="AL90" s="78"/>
      <c r="AM90" s="78"/>
      <c r="AN90" s="78"/>
      <c r="AO90" s="511"/>
      <c r="AP90" s="78">
        <v>4000000000</v>
      </c>
      <c r="AQ90" s="71">
        <f t="shared" si="123"/>
        <v>4000000000</v>
      </c>
      <c r="AR90" s="78">
        <v>2500000000</v>
      </c>
      <c r="AS90" s="78"/>
      <c r="AT90" s="78"/>
      <c r="AU90" s="78"/>
      <c r="AV90" s="78"/>
      <c r="AW90" s="78"/>
      <c r="AX90" s="78"/>
      <c r="AY90" s="78"/>
      <c r="AZ90" s="78"/>
      <c r="BA90" s="78">
        <f t="shared" si="124"/>
        <v>2500000000</v>
      </c>
      <c r="BB90" s="78">
        <f>4000000000-2054879885</f>
        <v>1945120115</v>
      </c>
      <c r="BC90" s="78"/>
      <c r="BD90" s="78"/>
      <c r="BE90" s="78"/>
      <c r="BF90" s="78"/>
      <c r="BG90" s="78"/>
      <c r="BH90" s="78"/>
      <c r="BI90" s="78"/>
      <c r="BJ90" s="78">
        <v>2054879885</v>
      </c>
      <c r="BK90" s="78">
        <f t="shared" si="125"/>
        <v>4000000000</v>
      </c>
      <c r="BL90" s="603">
        <f t="shared" si="126"/>
        <v>10500000000</v>
      </c>
    </row>
    <row r="91" spans="1:65" ht="185.25" customHeight="1" x14ac:dyDescent="0.2">
      <c r="A91" s="56">
        <v>63</v>
      </c>
      <c r="B91" s="56">
        <v>2</v>
      </c>
      <c r="C91" s="124"/>
      <c r="D91" s="141"/>
      <c r="E91" s="506">
        <v>22</v>
      </c>
      <c r="F91" s="517" t="s">
        <v>239</v>
      </c>
      <c r="G91" s="197" t="s">
        <v>240</v>
      </c>
      <c r="H91" s="198" t="s">
        <v>241</v>
      </c>
      <c r="I91" s="59">
        <v>61</v>
      </c>
      <c r="J91" s="60" t="s">
        <v>242</v>
      </c>
      <c r="K91" s="57" t="s">
        <v>243</v>
      </c>
      <c r="L91" s="421" t="s">
        <v>230</v>
      </c>
      <c r="M91" s="421">
        <v>15</v>
      </c>
      <c r="N91" s="484" t="s">
        <v>69</v>
      </c>
      <c r="O91" s="63">
        <v>2</v>
      </c>
      <c r="P91" s="485">
        <v>4</v>
      </c>
      <c r="Q91" s="64">
        <v>1</v>
      </c>
      <c r="R91" s="64">
        <v>2</v>
      </c>
      <c r="S91" s="64">
        <v>1</v>
      </c>
      <c r="T91" s="64">
        <v>0</v>
      </c>
      <c r="U91" s="109">
        <f t="shared" si="121"/>
        <v>1.7447421853506572E-2</v>
      </c>
      <c r="V91" s="64">
        <v>11</v>
      </c>
      <c r="W91" s="61" t="s">
        <v>226</v>
      </c>
      <c r="X91" s="69"/>
      <c r="Y91" s="176">
        <v>0</v>
      </c>
      <c r="Z91" s="188">
        <v>170000000</v>
      </c>
      <c r="AA91" s="192"/>
      <c r="AB91" s="192"/>
      <c r="AC91" s="69"/>
      <c r="AD91" s="69"/>
      <c r="AE91" s="69"/>
      <c r="AF91" s="69"/>
      <c r="AG91" s="69">
        <f t="shared" si="122"/>
        <v>170000000</v>
      </c>
      <c r="AH91" s="78"/>
      <c r="AI91" s="78"/>
      <c r="AJ91" s="78"/>
      <c r="AK91" s="78"/>
      <c r="AL91" s="78"/>
      <c r="AM91" s="78"/>
      <c r="AN91" s="78"/>
      <c r="AO91" s="511"/>
      <c r="AP91" s="78">
        <v>2000000000</v>
      </c>
      <c r="AQ91" s="71">
        <f t="shared" si="123"/>
        <v>2000000000</v>
      </c>
      <c r="AR91" s="78">
        <v>1000000000</v>
      </c>
      <c r="AS91" s="78"/>
      <c r="AT91" s="78"/>
      <c r="AU91" s="78"/>
      <c r="AV91" s="78"/>
      <c r="AW91" s="78"/>
      <c r="AX91" s="78"/>
      <c r="AY91" s="78"/>
      <c r="AZ91" s="78"/>
      <c r="BA91" s="78">
        <f t="shared" si="124"/>
        <v>1000000000</v>
      </c>
      <c r="BB91" s="78"/>
      <c r="BC91" s="78"/>
      <c r="BD91" s="78"/>
      <c r="BE91" s="78"/>
      <c r="BF91" s="78"/>
      <c r="BG91" s="78"/>
      <c r="BH91" s="78"/>
      <c r="BI91" s="78"/>
      <c r="BJ91" s="78"/>
      <c r="BK91" s="78">
        <f t="shared" si="125"/>
        <v>0</v>
      </c>
      <c r="BL91" s="603">
        <f t="shared" si="126"/>
        <v>3170000000</v>
      </c>
      <c r="BM91" s="241"/>
    </row>
    <row r="92" spans="1:65" ht="119.25" customHeight="1" x14ac:dyDescent="0.2">
      <c r="A92" s="74">
        <v>64</v>
      </c>
      <c r="B92" s="56">
        <v>2</v>
      </c>
      <c r="C92" s="124"/>
      <c r="D92" s="141"/>
      <c r="E92" s="81">
        <v>22</v>
      </c>
      <c r="F92" s="199" t="s">
        <v>239</v>
      </c>
      <c r="G92" s="75" t="s">
        <v>240</v>
      </c>
      <c r="H92" s="75" t="s">
        <v>244</v>
      </c>
      <c r="I92" s="59">
        <v>62</v>
      </c>
      <c r="J92" s="60" t="s">
        <v>245</v>
      </c>
      <c r="K92" s="57" t="s">
        <v>246</v>
      </c>
      <c r="L92" s="421" t="s">
        <v>230</v>
      </c>
      <c r="M92" s="421">
        <v>15</v>
      </c>
      <c r="N92" s="484" t="s">
        <v>54</v>
      </c>
      <c r="O92" s="63">
        <v>1</v>
      </c>
      <c r="P92" s="485">
        <v>2</v>
      </c>
      <c r="Q92" s="64">
        <v>2</v>
      </c>
      <c r="R92" s="65">
        <v>2</v>
      </c>
      <c r="S92" s="65">
        <v>2</v>
      </c>
      <c r="T92" s="65">
        <v>2</v>
      </c>
      <c r="U92" s="109">
        <f t="shared" si="121"/>
        <v>3.0789567976776304E-3</v>
      </c>
      <c r="V92" s="64">
        <v>11</v>
      </c>
      <c r="W92" s="61" t="s">
        <v>226</v>
      </c>
      <c r="X92" s="69"/>
      <c r="Y92" s="176">
        <v>0</v>
      </c>
      <c r="Z92" s="188">
        <v>30000000</v>
      </c>
      <c r="AA92" s="192"/>
      <c r="AB92" s="192"/>
      <c r="AC92" s="69"/>
      <c r="AD92" s="69"/>
      <c r="AE92" s="69"/>
      <c r="AF92" s="69"/>
      <c r="AG92" s="69">
        <f t="shared" si="122"/>
        <v>30000000</v>
      </c>
      <c r="AH92" s="78">
        <v>3000000000</v>
      </c>
      <c r="AI92" s="78"/>
      <c r="AJ92" s="78">
        <v>70000000</v>
      </c>
      <c r="AK92" s="78"/>
      <c r="AL92" s="78"/>
      <c r="AM92" s="78"/>
      <c r="AN92" s="78"/>
      <c r="AO92" s="511"/>
      <c r="AP92" s="78"/>
      <c r="AQ92" s="71">
        <f t="shared" si="123"/>
        <v>3070000000</v>
      </c>
      <c r="AR92" s="78">
        <v>2500000000</v>
      </c>
      <c r="AS92" s="78"/>
      <c r="AT92" s="78">
        <v>40000000</v>
      </c>
      <c r="AU92" s="78"/>
      <c r="AV92" s="78"/>
      <c r="AW92" s="78"/>
      <c r="AX92" s="78"/>
      <c r="AY92" s="78"/>
      <c r="AZ92" s="78"/>
      <c r="BA92" s="78">
        <f t="shared" si="124"/>
        <v>2540000000</v>
      </c>
      <c r="BB92" s="78">
        <v>2000000000</v>
      </c>
      <c r="BC92" s="78"/>
      <c r="BD92" s="78">
        <v>20000000</v>
      </c>
      <c r="BE92" s="78"/>
      <c r="BF92" s="78"/>
      <c r="BG92" s="78"/>
      <c r="BH92" s="78"/>
      <c r="BI92" s="78"/>
      <c r="BJ92" s="78"/>
      <c r="BK92" s="78">
        <f t="shared" si="125"/>
        <v>2020000000</v>
      </c>
      <c r="BL92" s="603">
        <f t="shared" si="126"/>
        <v>7660000000</v>
      </c>
      <c r="BM92" s="241"/>
    </row>
    <row r="93" spans="1:65" ht="119.25" customHeight="1" x14ac:dyDescent="0.2">
      <c r="A93" s="56">
        <v>65</v>
      </c>
      <c r="B93" s="56">
        <v>2</v>
      </c>
      <c r="C93" s="124"/>
      <c r="D93" s="141"/>
      <c r="E93" s="81">
        <v>32</v>
      </c>
      <c r="F93" s="199" t="s">
        <v>247</v>
      </c>
      <c r="G93" s="58" t="s">
        <v>248</v>
      </c>
      <c r="H93" s="58" t="s">
        <v>249</v>
      </c>
      <c r="I93" s="59">
        <v>63</v>
      </c>
      <c r="J93" s="60" t="s">
        <v>250</v>
      </c>
      <c r="K93" s="57" t="s">
        <v>251</v>
      </c>
      <c r="L93" s="61" t="s">
        <v>252</v>
      </c>
      <c r="M93" s="61">
        <v>7</v>
      </c>
      <c r="N93" s="62" t="s">
        <v>69</v>
      </c>
      <c r="O93" s="63" t="s">
        <v>49</v>
      </c>
      <c r="P93" s="63">
        <v>1000</v>
      </c>
      <c r="Q93" s="64">
        <v>250</v>
      </c>
      <c r="R93" s="65">
        <v>250</v>
      </c>
      <c r="S93" s="65">
        <v>250</v>
      </c>
      <c r="T93" s="65">
        <v>250</v>
      </c>
      <c r="U93" s="109">
        <f t="shared" si="121"/>
        <v>0.43033963369780703</v>
      </c>
      <c r="V93" s="64">
        <v>1</v>
      </c>
      <c r="W93" s="61" t="s">
        <v>189</v>
      </c>
      <c r="X93" s="69"/>
      <c r="Y93" s="176">
        <f>1230000000+563040000</f>
        <v>1793040000</v>
      </c>
      <c r="Z93" s="500"/>
      <c r="AA93" s="176"/>
      <c r="AB93" s="176"/>
      <c r="AC93" s="69"/>
      <c r="AD93" s="69"/>
      <c r="AE93" s="69"/>
      <c r="AF93" s="69">
        <v>2400000000</v>
      </c>
      <c r="AG93" s="69">
        <f t="shared" si="122"/>
        <v>4193040000</v>
      </c>
      <c r="AH93" s="78"/>
      <c r="AI93" s="78">
        <f>1266900000+579931200</f>
        <v>1846831200</v>
      </c>
      <c r="AJ93" s="78"/>
      <c r="AK93" s="78"/>
      <c r="AL93" s="78"/>
      <c r="AM93" s="78"/>
      <c r="AN93" s="78"/>
      <c r="AO93" s="511"/>
      <c r="AP93" s="78">
        <v>2000000000</v>
      </c>
      <c r="AQ93" s="71">
        <f t="shared" si="123"/>
        <v>3846831200</v>
      </c>
      <c r="AR93" s="78">
        <v>1000000000</v>
      </c>
      <c r="AS93" s="138">
        <f>1304907000+597329136</f>
        <v>1902236136</v>
      </c>
      <c r="AT93" s="78"/>
      <c r="AU93" s="78"/>
      <c r="AV93" s="78"/>
      <c r="AW93" s="78"/>
      <c r="AX93" s="78"/>
      <c r="AY93" s="78"/>
      <c r="AZ93" s="78"/>
      <c r="BA93" s="78">
        <f t="shared" si="124"/>
        <v>2902236136</v>
      </c>
      <c r="BB93" s="78">
        <f>5014183105-2959303220</f>
        <v>2054879885</v>
      </c>
      <c r="BC93" s="78">
        <f>1344054210+615249010</f>
        <v>1959303220</v>
      </c>
      <c r="BD93" s="78"/>
      <c r="BE93" s="78"/>
      <c r="BF93" s="78"/>
      <c r="BG93" s="78"/>
      <c r="BH93" s="78"/>
      <c r="BI93" s="78"/>
      <c r="BJ93" s="78">
        <v>1000000000</v>
      </c>
      <c r="BK93" s="78">
        <f t="shared" si="125"/>
        <v>5014183105</v>
      </c>
      <c r="BL93" s="603">
        <f t="shared" si="126"/>
        <v>15956290441</v>
      </c>
    </row>
    <row r="94" spans="1:65" ht="86.25" customHeight="1" x14ac:dyDescent="0.2">
      <c r="A94" s="74">
        <v>66</v>
      </c>
      <c r="B94" s="56">
        <v>2</v>
      </c>
      <c r="C94" s="183"/>
      <c r="D94" s="200"/>
      <c r="E94" s="506">
        <v>6</v>
      </c>
      <c r="F94" s="97" t="s">
        <v>227</v>
      </c>
      <c r="G94" s="201" t="s">
        <v>123</v>
      </c>
      <c r="H94" s="149" t="s">
        <v>123</v>
      </c>
      <c r="I94" s="59">
        <v>64</v>
      </c>
      <c r="J94" s="60" t="s">
        <v>253</v>
      </c>
      <c r="K94" s="57" t="s">
        <v>254</v>
      </c>
      <c r="L94" s="421" t="s">
        <v>230</v>
      </c>
      <c r="M94" s="421">
        <v>15</v>
      </c>
      <c r="N94" s="62" t="s">
        <v>69</v>
      </c>
      <c r="O94" s="63">
        <v>0</v>
      </c>
      <c r="P94" s="63">
        <v>3</v>
      </c>
      <c r="Q94" s="65">
        <v>0</v>
      </c>
      <c r="R94" s="65">
        <v>1</v>
      </c>
      <c r="S94" s="65">
        <v>1</v>
      </c>
      <c r="T94" s="65">
        <v>1</v>
      </c>
      <c r="U94" s="109">
        <f t="shared" si="121"/>
        <v>0</v>
      </c>
      <c r="V94" s="64">
        <v>11</v>
      </c>
      <c r="W94" s="61" t="s">
        <v>226</v>
      </c>
      <c r="X94" s="69"/>
      <c r="Y94" s="69"/>
      <c r="Z94" s="500"/>
      <c r="AA94" s="176"/>
      <c r="AB94" s="176"/>
      <c r="AC94" s="69"/>
      <c r="AD94" s="69"/>
      <c r="AE94" s="69"/>
      <c r="AF94" s="69"/>
      <c r="AG94" s="69">
        <f t="shared" si="122"/>
        <v>0</v>
      </c>
      <c r="AH94" s="78"/>
      <c r="AI94" s="78"/>
      <c r="AJ94" s="78">
        <v>30000000</v>
      </c>
      <c r="AK94" s="78"/>
      <c r="AL94" s="78"/>
      <c r="AM94" s="78"/>
      <c r="AN94" s="78"/>
      <c r="AO94" s="78"/>
      <c r="AP94" s="78">
        <v>1000000000</v>
      </c>
      <c r="AQ94" s="71">
        <f t="shared" si="123"/>
        <v>1030000000</v>
      </c>
      <c r="AR94" s="78">
        <v>1000000000</v>
      </c>
      <c r="AS94" s="511"/>
      <c r="AT94" s="511"/>
      <c r="AU94" s="78"/>
      <c r="AV94" s="78"/>
      <c r="AW94" s="78"/>
      <c r="AX94" s="78"/>
      <c r="AY94" s="78"/>
      <c r="AZ94" s="78"/>
      <c r="BA94" s="78">
        <f t="shared" si="124"/>
        <v>1000000000</v>
      </c>
      <c r="BB94" s="78"/>
      <c r="BC94" s="78"/>
      <c r="BD94" s="78"/>
      <c r="BE94" s="78"/>
      <c r="BF94" s="78"/>
      <c r="BG94" s="78"/>
      <c r="BH94" s="78"/>
      <c r="BI94" s="78"/>
      <c r="BJ94" s="78">
        <v>1000000000</v>
      </c>
      <c r="BK94" s="78">
        <f t="shared" si="125"/>
        <v>1000000000</v>
      </c>
      <c r="BL94" s="603">
        <f t="shared" si="126"/>
        <v>3030000000</v>
      </c>
    </row>
    <row r="95" spans="1:65" ht="24.75" customHeight="1" x14ac:dyDescent="0.2">
      <c r="A95" s="74"/>
      <c r="B95" s="56"/>
      <c r="C95" s="113">
        <v>3</v>
      </c>
      <c r="D95" s="599" t="s">
        <v>255</v>
      </c>
      <c r="E95" s="600"/>
      <c r="F95" s="600"/>
      <c r="G95" s="202"/>
      <c r="H95" s="202"/>
      <c r="I95" s="117"/>
      <c r="J95" s="202"/>
      <c r="K95" s="202"/>
      <c r="L95" s="117"/>
      <c r="M95" s="117"/>
      <c r="N95" s="203"/>
      <c r="O95" s="202"/>
      <c r="P95" s="202"/>
      <c r="Q95" s="204"/>
      <c r="R95" s="202"/>
      <c r="S95" s="202"/>
      <c r="T95" s="117"/>
      <c r="U95" s="205"/>
      <c r="V95" s="117"/>
      <c r="W95" s="117"/>
      <c r="X95" s="206">
        <f t="shared" ref="X95:AE95" si="127">X96+X110+X138+X151+X162+X171+X177+X188+X233+X240+X257+X262+X268+X281+X294+X300+X312+X319</f>
        <v>0</v>
      </c>
      <c r="Y95" s="206">
        <f t="shared" si="127"/>
        <v>33921269166</v>
      </c>
      <c r="Z95" s="206">
        <f t="shared" si="127"/>
        <v>5674664564.6400003</v>
      </c>
      <c r="AA95" s="206">
        <f t="shared" si="127"/>
        <v>1159954239</v>
      </c>
      <c r="AB95" s="206">
        <f t="shared" si="127"/>
        <v>4987433131</v>
      </c>
      <c r="AC95" s="206">
        <f t="shared" si="127"/>
        <v>0</v>
      </c>
      <c r="AD95" s="206">
        <f t="shared" si="127"/>
        <v>112952913595</v>
      </c>
      <c r="AE95" s="206">
        <f t="shared" si="127"/>
        <v>11365979119</v>
      </c>
      <c r="AF95" s="206">
        <f t="shared" ref="AF95:AM95" si="128">AF96+AF110+AF138+AF151+AF162+AF171+AF177+AF188+AF233+AF240+AF257+AF262+AF268+AF281+AF294+AF300+AF312+AF319</f>
        <v>9950000000</v>
      </c>
      <c r="AG95" s="207">
        <f t="shared" si="128"/>
        <v>180012213814.64001</v>
      </c>
      <c r="AH95" s="206">
        <f t="shared" si="128"/>
        <v>0</v>
      </c>
      <c r="AI95" s="206">
        <f t="shared" si="128"/>
        <v>28265270630.439999</v>
      </c>
      <c r="AJ95" s="206">
        <f t="shared" si="128"/>
        <v>5601591884.6692009</v>
      </c>
      <c r="AK95" s="206">
        <f t="shared" si="128"/>
        <v>0</v>
      </c>
      <c r="AL95" s="206">
        <f t="shared" si="128"/>
        <v>233587702.31</v>
      </c>
      <c r="AM95" s="206">
        <f t="shared" si="128"/>
        <v>0</v>
      </c>
      <c r="AN95" s="206">
        <f t="shared" ref="AN95:AQ95" si="129">AN96+AN110+AN138+AN151+AN162+AN171+AN177+AN188+AN233+AN240+AN257+AN262+AN268+AN281+AN294+AN300+AN312+AN319</f>
        <v>116291155143.60001</v>
      </c>
      <c r="AO95" s="206">
        <f t="shared" si="129"/>
        <v>10799941036.780186</v>
      </c>
      <c r="AP95" s="206">
        <f t="shared" si="129"/>
        <v>11045276423</v>
      </c>
      <c r="AQ95" s="206">
        <f t="shared" si="129"/>
        <v>172236822820.43924</v>
      </c>
      <c r="AR95" s="208"/>
      <c r="AS95" s="208"/>
      <c r="AT95" s="208"/>
      <c r="AU95" s="208"/>
      <c r="AV95" s="208"/>
      <c r="AW95" s="208"/>
      <c r="AX95" s="208"/>
      <c r="AY95" s="208"/>
      <c r="AZ95" s="208"/>
      <c r="BA95" s="206">
        <f>BA96+BA110+BA138+BA151+BA162+BA171+BA177+BA188+BA233+BA240+BA257+BA262+BA268+BA281+BA294+BA300+BA312+BA319</f>
        <v>175949632789.45718</v>
      </c>
      <c r="BB95" s="208"/>
      <c r="BC95" s="208"/>
      <c r="BD95" s="208"/>
      <c r="BE95" s="208"/>
      <c r="BF95" s="208"/>
      <c r="BG95" s="208"/>
      <c r="BH95" s="208"/>
      <c r="BI95" s="208"/>
      <c r="BJ95" s="208"/>
      <c r="BK95" s="206">
        <f>BK96+BK110+BK138+BK151+BK162+BK171+BK177+BK188+BK233+BK240+BK257+BK262+BK268+BK281+BK294+BK300+BK312+BK319</f>
        <v>183007271771.91962</v>
      </c>
      <c r="BL95" s="206">
        <f>BL96+BL110+BL138+BL151+BL162+BL171+BL177+BL188+BL233+BL240+BL257+BL262+BL268+BL281+BL294+BL300+BL312+BL319</f>
        <v>711205941196.45593</v>
      </c>
    </row>
    <row r="96" spans="1:65" ht="24.75" customHeight="1" x14ac:dyDescent="0.2">
      <c r="A96" s="74"/>
      <c r="B96" s="56"/>
      <c r="C96" s="417"/>
      <c r="D96" s="30">
        <v>5</v>
      </c>
      <c r="E96" s="122" t="s">
        <v>256</v>
      </c>
      <c r="F96" s="33"/>
      <c r="G96" s="33"/>
      <c r="H96" s="33"/>
      <c r="I96" s="34"/>
      <c r="J96" s="35"/>
      <c r="K96" s="35"/>
      <c r="L96" s="36"/>
      <c r="M96" s="34"/>
      <c r="N96" s="37"/>
      <c r="O96" s="35"/>
      <c r="P96" s="35"/>
      <c r="Q96" s="38"/>
      <c r="R96" s="35"/>
      <c r="S96" s="35"/>
      <c r="T96" s="34"/>
      <c r="U96" s="123"/>
      <c r="V96" s="34"/>
      <c r="W96" s="34"/>
      <c r="X96" s="40">
        <f t="shared" ref="X96:AE96" si="130">X97+X101+X108</f>
        <v>0</v>
      </c>
      <c r="Y96" s="40">
        <f t="shared" si="130"/>
        <v>3582459532</v>
      </c>
      <c r="Z96" s="40">
        <f t="shared" si="130"/>
        <v>3216953997</v>
      </c>
      <c r="AA96" s="40">
        <f t="shared" si="130"/>
        <v>0</v>
      </c>
      <c r="AB96" s="40">
        <f t="shared" si="130"/>
        <v>4987433131</v>
      </c>
      <c r="AC96" s="40">
        <f t="shared" si="130"/>
        <v>0</v>
      </c>
      <c r="AD96" s="40">
        <f t="shared" si="130"/>
        <v>99034613825</v>
      </c>
      <c r="AE96" s="40">
        <f t="shared" si="130"/>
        <v>0</v>
      </c>
      <c r="AF96" s="40">
        <f t="shared" ref="AF96:AG96" si="131">AF97+AF101+AF108</f>
        <v>0</v>
      </c>
      <c r="AG96" s="41">
        <f t="shared" si="131"/>
        <v>110821460485</v>
      </c>
      <c r="AH96" s="40">
        <f t="shared" ref="AH96:AQ96" si="132">AH97+AH101+AH108</f>
        <v>0</v>
      </c>
      <c r="AI96" s="40">
        <f t="shared" si="132"/>
        <v>3683852490.1000004</v>
      </c>
      <c r="AJ96" s="40">
        <f t="shared" si="132"/>
        <v>3050000000</v>
      </c>
      <c r="AK96" s="40">
        <f t="shared" si="132"/>
        <v>0</v>
      </c>
      <c r="AL96" s="40">
        <f t="shared" si="132"/>
        <v>233587702.31</v>
      </c>
      <c r="AM96" s="40">
        <f t="shared" si="132"/>
        <v>0</v>
      </c>
      <c r="AN96" s="40">
        <f t="shared" si="132"/>
        <v>102005652239.75</v>
      </c>
      <c r="AO96" s="40">
        <f t="shared" si="132"/>
        <v>0</v>
      </c>
      <c r="AP96" s="40">
        <f t="shared" si="132"/>
        <v>0</v>
      </c>
      <c r="AQ96" s="40">
        <f t="shared" si="132"/>
        <v>108973092432.16</v>
      </c>
      <c r="AR96" s="42"/>
      <c r="AS96" s="42"/>
      <c r="AT96" s="42"/>
      <c r="AU96" s="42"/>
      <c r="AV96" s="42"/>
      <c r="AW96" s="42"/>
      <c r="AX96" s="42"/>
      <c r="AY96" s="42"/>
      <c r="AZ96" s="42"/>
      <c r="BA96" s="40">
        <f t="shared" ref="BA96" si="133">BA97+BA101+BA108</f>
        <v>111115785205.12529</v>
      </c>
      <c r="BB96" s="42"/>
      <c r="BC96" s="42"/>
      <c r="BD96" s="42"/>
      <c r="BE96" s="42"/>
      <c r="BF96" s="42"/>
      <c r="BG96" s="42"/>
      <c r="BH96" s="42"/>
      <c r="BI96" s="42"/>
      <c r="BJ96" s="42"/>
      <c r="BK96" s="40">
        <f t="shared" ref="BK96" si="134">BK97+BK101+BK108</f>
        <v>115891991461.27399</v>
      </c>
      <c r="BL96" s="40">
        <f t="shared" ref="BL96" si="135">BL97+BL101+BL108</f>
        <v>446802329583.55927</v>
      </c>
    </row>
    <row r="97" spans="1:64" ht="24.75" customHeight="1" x14ac:dyDescent="0.2">
      <c r="A97" s="74"/>
      <c r="B97" s="56"/>
      <c r="C97" s="124"/>
      <c r="D97" s="417"/>
      <c r="E97" s="44">
        <v>16</v>
      </c>
      <c r="F97" s="45" t="s">
        <v>257</v>
      </c>
      <c r="G97" s="48"/>
      <c r="H97" s="48"/>
      <c r="I97" s="47"/>
      <c r="J97" s="48"/>
      <c r="K97" s="48"/>
      <c r="L97" s="47"/>
      <c r="M97" s="49"/>
      <c r="N97" s="50"/>
      <c r="O97" s="48"/>
      <c r="P97" s="48"/>
      <c r="Q97" s="51"/>
      <c r="R97" s="48"/>
      <c r="S97" s="48"/>
      <c r="T97" s="49"/>
      <c r="U97" s="125"/>
      <c r="V97" s="49"/>
      <c r="W97" s="49"/>
      <c r="X97" s="53">
        <f t="shared" ref="X97:AF97" si="136">SUM(X98:X100)</f>
        <v>0</v>
      </c>
      <c r="Y97" s="53">
        <f t="shared" si="136"/>
        <v>3582459532</v>
      </c>
      <c r="Z97" s="53">
        <f t="shared" si="136"/>
        <v>3166953997</v>
      </c>
      <c r="AA97" s="53">
        <f t="shared" si="136"/>
        <v>0</v>
      </c>
      <c r="AB97" s="53">
        <f t="shared" si="136"/>
        <v>4987433131</v>
      </c>
      <c r="AC97" s="53">
        <f t="shared" si="136"/>
        <v>0</v>
      </c>
      <c r="AD97" s="53">
        <f t="shared" si="136"/>
        <v>0</v>
      </c>
      <c r="AE97" s="53">
        <f t="shared" si="136"/>
        <v>0</v>
      </c>
      <c r="AF97" s="53">
        <f t="shared" si="136"/>
        <v>0</v>
      </c>
      <c r="AG97" s="54">
        <f>SUM(AG98:AG100)</f>
        <v>11736846660</v>
      </c>
      <c r="AH97" s="53">
        <f t="shared" ref="AH97:AQ97" si="137">SUM(AH98:AH100)</f>
        <v>0</v>
      </c>
      <c r="AI97" s="53">
        <f t="shared" si="137"/>
        <v>3683852490.1000004</v>
      </c>
      <c r="AJ97" s="53">
        <f t="shared" si="137"/>
        <v>3000000000</v>
      </c>
      <c r="AK97" s="53">
        <f t="shared" si="137"/>
        <v>0</v>
      </c>
      <c r="AL97" s="53">
        <f t="shared" si="137"/>
        <v>233587702.31</v>
      </c>
      <c r="AM97" s="53">
        <f t="shared" si="137"/>
        <v>0</v>
      </c>
      <c r="AN97" s="53">
        <f t="shared" si="137"/>
        <v>0</v>
      </c>
      <c r="AO97" s="53">
        <f t="shared" si="137"/>
        <v>0</v>
      </c>
      <c r="AP97" s="53">
        <f t="shared" si="137"/>
        <v>0</v>
      </c>
      <c r="AQ97" s="53">
        <f t="shared" si="137"/>
        <v>6917440192.4099998</v>
      </c>
      <c r="AR97" s="55"/>
      <c r="AS97" s="55"/>
      <c r="AT97" s="55"/>
      <c r="AU97" s="55"/>
      <c r="AV97" s="55"/>
      <c r="AW97" s="55"/>
      <c r="AX97" s="55"/>
      <c r="AY97" s="55"/>
      <c r="AZ97" s="55"/>
      <c r="BA97" s="53">
        <f t="shared" ref="BA97" si="138">SUM(BA98:BA100)</f>
        <v>6034963398.1823006</v>
      </c>
      <c r="BB97" s="55"/>
      <c r="BC97" s="55"/>
      <c r="BD97" s="55"/>
      <c r="BE97" s="55"/>
      <c r="BF97" s="55"/>
      <c r="BG97" s="55"/>
      <c r="BH97" s="55"/>
      <c r="BI97" s="55"/>
      <c r="BJ97" s="55"/>
      <c r="BK97" s="53">
        <f t="shared" ref="BK97" si="139">SUM(BK98:BK100)</f>
        <v>7659195000.1277695</v>
      </c>
      <c r="BL97" s="53">
        <f t="shared" ref="BL97" si="140">SUM(BL98:BL100)</f>
        <v>32348445250.72007</v>
      </c>
    </row>
    <row r="98" spans="1:64" ht="87.75" customHeight="1" x14ac:dyDescent="0.2">
      <c r="A98" s="56">
        <v>67</v>
      </c>
      <c r="B98" s="56">
        <v>3</v>
      </c>
      <c r="C98" s="124"/>
      <c r="D98" s="124"/>
      <c r="E98" s="510">
        <v>15</v>
      </c>
      <c r="F98" s="516" t="s">
        <v>258</v>
      </c>
      <c r="G98" s="408" t="s">
        <v>259</v>
      </c>
      <c r="H98" s="408" t="s">
        <v>260</v>
      </c>
      <c r="I98" s="59">
        <v>65</v>
      </c>
      <c r="J98" s="60" t="s">
        <v>261</v>
      </c>
      <c r="K98" s="209" t="s">
        <v>262</v>
      </c>
      <c r="L98" s="210" t="s">
        <v>263</v>
      </c>
      <c r="M98" s="210">
        <v>1</v>
      </c>
      <c r="N98" s="100" t="s">
        <v>54</v>
      </c>
      <c r="O98" s="163">
        <v>1</v>
      </c>
      <c r="P98" s="163">
        <v>1</v>
      </c>
      <c r="Q98" s="187">
        <v>1</v>
      </c>
      <c r="R98" s="81">
        <v>1</v>
      </c>
      <c r="S98" s="81">
        <v>1</v>
      </c>
      <c r="T98" s="81">
        <v>1</v>
      </c>
      <c r="U98" s="211">
        <f>AG98/$AG$97</f>
        <v>0.37367306449925114</v>
      </c>
      <c r="V98" s="64">
        <v>4</v>
      </c>
      <c r="W98" s="126" t="s">
        <v>110</v>
      </c>
      <c r="X98" s="176"/>
      <c r="Y98" s="70">
        <f>1212885746+5903716</f>
        <v>1218789462</v>
      </c>
      <c r="Z98" s="176">
        <f>1459029622+1707924375</f>
        <v>3166953997</v>
      </c>
      <c r="AA98" s="176"/>
      <c r="AB98" s="176"/>
      <c r="AC98" s="176"/>
      <c r="AD98" s="176"/>
      <c r="AE98" s="176"/>
      <c r="AF98" s="176"/>
      <c r="AG98" s="69">
        <f>+X98+Y98+Z98+AA98+AB98+AC98+AD98+AE98+AF98</f>
        <v>4385743459</v>
      </c>
      <c r="AH98" s="78"/>
      <c r="AI98" s="78">
        <v>1250000000</v>
      </c>
      <c r="AJ98" s="78">
        <v>1600000000</v>
      </c>
      <c r="AK98" s="78"/>
      <c r="AL98" s="78"/>
      <c r="AM98" s="78"/>
      <c r="AN98" s="78"/>
      <c r="AO98" s="78"/>
      <c r="AP98" s="78"/>
      <c r="AQ98" s="71">
        <f>AH98+AI98+AJ98+AK98+AL98+AM98+AN98+AO98+AP98</f>
        <v>2850000000</v>
      </c>
      <c r="AR98" s="78"/>
      <c r="AS98" s="78">
        <f>1250000000*1.03</f>
        <v>1287500000</v>
      </c>
      <c r="AT98" s="78">
        <v>1000000000</v>
      </c>
      <c r="AU98" s="78"/>
      <c r="AV98" s="78"/>
      <c r="AW98" s="78"/>
      <c r="AX98" s="78"/>
      <c r="AY98" s="78"/>
      <c r="AZ98" s="78"/>
      <c r="BA98" s="78">
        <f>SUM(AR98:AZ98)</f>
        <v>2287500000</v>
      </c>
      <c r="BB98" s="78"/>
      <c r="BC98" s="78">
        <f>1287500000*1.03+3182700</f>
        <v>1329307700</v>
      </c>
      <c r="BD98" s="78">
        <v>750000000</v>
      </c>
      <c r="BE98" s="78"/>
      <c r="BF98" s="78"/>
      <c r="BG98" s="78"/>
      <c r="BH98" s="78"/>
      <c r="BI98" s="78"/>
      <c r="BJ98" s="78"/>
      <c r="BK98" s="78">
        <f>SUM(BB98:BJ98)</f>
        <v>2079307700</v>
      </c>
      <c r="BL98" s="603">
        <f>AG98+AQ98+BA98+BK98</f>
        <v>11602551159</v>
      </c>
    </row>
    <row r="99" spans="1:64" ht="59.25" customHeight="1" x14ac:dyDescent="0.2">
      <c r="A99" s="74">
        <v>68</v>
      </c>
      <c r="B99" s="56">
        <v>3</v>
      </c>
      <c r="C99" s="124"/>
      <c r="D99" s="124"/>
      <c r="E99" s="79"/>
      <c r="F99" s="107"/>
      <c r="G99" s="102"/>
      <c r="H99" s="102"/>
      <c r="I99" s="59">
        <v>66</v>
      </c>
      <c r="J99" s="60" t="s">
        <v>264</v>
      </c>
      <c r="K99" s="209" t="s">
        <v>265</v>
      </c>
      <c r="L99" s="210" t="s">
        <v>263</v>
      </c>
      <c r="M99" s="210">
        <v>1</v>
      </c>
      <c r="N99" s="100" t="s">
        <v>54</v>
      </c>
      <c r="O99" s="163">
        <v>1</v>
      </c>
      <c r="P99" s="163">
        <v>1</v>
      </c>
      <c r="Q99" s="187">
        <v>1</v>
      </c>
      <c r="R99" s="81">
        <v>1</v>
      </c>
      <c r="S99" s="81">
        <v>1</v>
      </c>
      <c r="T99" s="81">
        <v>1</v>
      </c>
      <c r="U99" s="211">
        <f>AG99/$AG$97</f>
        <v>0.53942113963002047</v>
      </c>
      <c r="V99" s="65">
        <v>2</v>
      </c>
      <c r="W99" s="68" t="s">
        <v>137</v>
      </c>
      <c r="X99" s="176"/>
      <c r="Y99" s="500">
        <v>1343670070</v>
      </c>
      <c r="Z99" s="500"/>
      <c r="AA99" s="184"/>
      <c r="AB99" s="176">
        <v>4987433131</v>
      </c>
      <c r="AC99" s="176"/>
      <c r="AD99" s="500"/>
      <c r="AE99" s="176"/>
      <c r="AF99" s="176"/>
      <c r="AG99" s="69">
        <f>+X99+Y99+Z99+AA99+AB99+AC99+AD99+AE99+AF99</f>
        <v>6331103201</v>
      </c>
      <c r="AH99" s="78"/>
      <c r="AI99" s="78">
        <v>1383252490.1000001</v>
      </c>
      <c r="AJ99" s="78">
        <v>1400000000</v>
      </c>
      <c r="AK99" s="78"/>
      <c r="AL99" s="78">
        <v>233587702.31</v>
      </c>
      <c r="AM99" s="78"/>
      <c r="AN99" s="146"/>
      <c r="AO99" s="78"/>
      <c r="AP99" s="78"/>
      <c r="AQ99" s="71">
        <f>AH99+AI99+AJ99+AK99+AL99+AM99+AN99+AO99+AP99</f>
        <v>3016840192.4100003</v>
      </c>
      <c r="AR99" s="78"/>
      <c r="AS99" s="78">
        <f>1383252490.1*1.03</f>
        <v>1424750064.803</v>
      </c>
      <c r="AT99" s="78">
        <v>1000000000</v>
      </c>
      <c r="AU99" s="78"/>
      <c r="AV99" s="78">
        <v>240595333.3793</v>
      </c>
      <c r="AW99" s="78"/>
      <c r="AX99" s="78"/>
      <c r="AY99" s="78"/>
      <c r="AZ99" s="78"/>
      <c r="BA99" s="78">
        <f>SUM(AR99:AZ99)</f>
        <v>2665345398.1823001</v>
      </c>
      <c r="BB99" s="78"/>
      <c r="BC99" s="78">
        <f>1424750064.803*1.03</f>
        <v>1467492566.7470901</v>
      </c>
      <c r="BD99" s="78">
        <v>750000000</v>
      </c>
      <c r="BE99" s="78"/>
      <c r="BF99" s="78">
        <v>247813193.38067901</v>
      </c>
      <c r="BG99" s="78"/>
      <c r="BH99" s="78"/>
      <c r="BI99" s="78"/>
      <c r="BJ99" s="78">
        <v>2000000000</v>
      </c>
      <c r="BK99" s="78">
        <f>SUM(BB99:BJ99)</f>
        <v>4465305760.1277695</v>
      </c>
      <c r="BL99" s="603">
        <f>AG99+AQ99+BA99+BK99</f>
        <v>16478594551.72007</v>
      </c>
    </row>
    <row r="100" spans="1:64" ht="59.25" customHeight="1" x14ac:dyDescent="0.2">
      <c r="A100" s="56">
        <v>69</v>
      </c>
      <c r="B100" s="56">
        <v>3</v>
      </c>
      <c r="C100" s="124"/>
      <c r="D100" s="124"/>
      <c r="E100" s="506"/>
      <c r="F100" s="517"/>
      <c r="G100" s="80"/>
      <c r="H100" s="80"/>
      <c r="I100" s="59">
        <v>67</v>
      </c>
      <c r="J100" s="60" t="s">
        <v>266</v>
      </c>
      <c r="K100" s="209" t="s">
        <v>267</v>
      </c>
      <c r="L100" s="210" t="s">
        <v>263</v>
      </c>
      <c r="M100" s="210">
        <v>1</v>
      </c>
      <c r="N100" s="100" t="s">
        <v>54</v>
      </c>
      <c r="O100" s="163">
        <v>1</v>
      </c>
      <c r="P100" s="163">
        <v>1</v>
      </c>
      <c r="Q100" s="187">
        <v>1</v>
      </c>
      <c r="R100" s="81">
        <v>1</v>
      </c>
      <c r="S100" s="81">
        <v>1</v>
      </c>
      <c r="T100" s="81">
        <v>1</v>
      </c>
      <c r="U100" s="211">
        <f>AG100/$AG$97</f>
        <v>8.6905795870728358E-2</v>
      </c>
      <c r="V100" s="65">
        <v>4</v>
      </c>
      <c r="W100" s="68" t="s">
        <v>110</v>
      </c>
      <c r="X100" s="176"/>
      <c r="Y100" s="496">
        <v>1020000000</v>
      </c>
      <c r="Z100" s="176"/>
      <c r="AA100" s="176"/>
      <c r="AB100" s="176"/>
      <c r="AC100" s="176"/>
      <c r="AD100" s="176"/>
      <c r="AE100" s="176"/>
      <c r="AF100" s="176"/>
      <c r="AG100" s="69">
        <f>+X100+Y100+Z100+AA100+AB100+AC100+AD100+AE100+AF100</f>
        <v>1020000000</v>
      </c>
      <c r="AH100" s="78"/>
      <c r="AI100" s="78">
        <v>1050600000</v>
      </c>
      <c r="AJ100" s="78"/>
      <c r="AK100" s="78"/>
      <c r="AL100" s="78"/>
      <c r="AM100" s="78"/>
      <c r="AN100" s="78"/>
      <c r="AO100" s="78"/>
      <c r="AP100" s="78"/>
      <c r="AQ100" s="71">
        <f>AH100+AI100+AJ100+AK100+AL100+AM100+AN100+AO100+AP100</f>
        <v>1050600000</v>
      </c>
      <c r="AR100" s="78"/>
      <c r="AS100" s="78">
        <f>1050600000*1.03</f>
        <v>1082118000</v>
      </c>
      <c r="AT100" s="78"/>
      <c r="AU100" s="78"/>
      <c r="AV100" s="78"/>
      <c r="AW100" s="78"/>
      <c r="AX100" s="78"/>
      <c r="AY100" s="78"/>
      <c r="AZ100" s="78"/>
      <c r="BA100" s="78">
        <f>SUM(AR100:AZ100)</f>
        <v>1082118000</v>
      </c>
      <c r="BB100" s="78"/>
      <c r="BC100" s="78">
        <f>1082118000*1.03</f>
        <v>1114581540</v>
      </c>
      <c r="BD100" s="78"/>
      <c r="BE100" s="78"/>
      <c r="BF100" s="78"/>
      <c r="BG100" s="78"/>
      <c r="BH100" s="78"/>
      <c r="BI100" s="78"/>
      <c r="BJ100" s="78"/>
      <c r="BK100" s="78">
        <f>SUM(BB100:BJ100)</f>
        <v>1114581540</v>
      </c>
      <c r="BL100" s="603">
        <f>AG100+AQ100+BA100+BK100</f>
        <v>4267299540</v>
      </c>
    </row>
    <row r="101" spans="1:64" ht="24.75" customHeight="1" x14ac:dyDescent="0.2">
      <c r="A101" s="56"/>
      <c r="B101" s="56"/>
      <c r="C101" s="124"/>
      <c r="D101" s="124"/>
      <c r="E101" s="44">
        <v>17</v>
      </c>
      <c r="F101" s="45" t="s">
        <v>268</v>
      </c>
      <c r="G101" s="46"/>
      <c r="H101" s="45"/>
      <c r="I101" s="44"/>
      <c r="J101" s="45"/>
      <c r="K101" s="48"/>
      <c r="L101" s="47"/>
      <c r="M101" s="49"/>
      <c r="N101" s="50"/>
      <c r="O101" s="48"/>
      <c r="P101" s="48"/>
      <c r="Q101" s="51"/>
      <c r="R101" s="48"/>
      <c r="S101" s="48"/>
      <c r="T101" s="49"/>
      <c r="U101" s="125"/>
      <c r="V101" s="49"/>
      <c r="W101" s="49"/>
      <c r="X101" s="53">
        <f t="shared" ref="X101:AF101" si="141">SUM(X102:X107)</f>
        <v>0</v>
      </c>
      <c r="Y101" s="53">
        <f t="shared" si="141"/>
        <v>0</v>
      </c>
      <c r="Z101" s="53">
        <f t="shared" si="141"/>
        <v>50000000</v>
      </c>
      <c r="AA101" s="53">
        <f t="shared" si="141"/>
        <v>0</v>
      </c>
      <c r="AB101" s="53">
        <f t="shared" si="141"/>
        <v>0</v>
      </c>
      <c r="AC101" s="53">
        <f t="shared" si="141"/>
        <v>0</v>
      </c>
      <c r="AD101" s="53">
        <f t="shared" si="141"/>
        <v>1100000000</v>
      </c>
      <c r="AE101" s="53">
        <f t="shared" si="141"/>
        <v>0</v>
      </c>
      <c r="AF101" s="53">
        <f t="shared" si="141"/>
        <v>0</v>
      </c>
      <c r="AG101" s="54">
        <f>SUM(AG102:AG107)</f>
        <v>1150000000</v>
      </c>
      <c r="AH101" s="53">
        <f t="shared" ref="AH101:AQ101" si="142">SUM(AH102:AH107)</f>
        <v>0</v>
      </c>
      <c r="AI101" s="53">
        <f t="shared" si="142"/>
        <v>0</v>
      </c>
      <c r="AJ101" s="53">
        <f t="shared" si="142"/>
        <v>50000000</v>
      </c>
      <c r="AK101" s="53">
        <f t="shared" si="142"/>
        <v>0</v>
      </c>
      <c r="AL101" s="53">
        <f t="shared" si="142"/>
        <v>0</v>
      </c>
      <c r="AM101" s="53">
        <f t="shared" si="142"/>
        <v>0</v>
      </c>
      <c r="AN101" s="53">
        <f t="shared" si="142"/>
        <v>1133000000</v>
      </c>
      <c r="AO101" s="53">
        <f t="shared" si="142"/>
        <v>0</v>
      </c>
      <c r="AP101" s="53">
        <f t="shared" si="142"/>
        <v>0</v>
      </c>
      <c r="AQ101" s="53">
        <f t="shared" si="142"/>
        <v>1183000000</v>
      </c>
      <c r="AR101" s="55"/>
      <c r="AS101" s="55"/>
      <c r="AT101" s="55"/>
      <c r="AU101" s="55"/>
      <c r="AV101" s="55"/>
      <c r="AW101" s="55"/>
      <c r="AX101" s="55"/>
      <c r="AY101" s="55"/>
      <c r="AZ101" s="55"/>
      <c r="BA101" s="53">
        <f t="shared" ref="BA101" si="143">SUM(BA102:BA107)</f>
        <v>1181990000</v>
      </c>
      <c r="BB101" s="55"/>
      <c r="BC101" s="55"/>
      <c r="BD101" s="55"/>
      <c r="BE101" s="55"/>
      <c r="BF101" s="55"/>
      <c r="BG101" s="55"/>
      <c r="BH101" s="55"/>
      <c r="BI101" s="55"/>
      <c r="BJ101" s="55"/>
      <c r="BK101" s="53">
        <f t="shared" ref="BK101:BL101" si="144">SUM(BK102:BK107)</f>
        <v>1216999699.9952176</v>
      </c>
      <c r="BL101" s="53">
        <f t="shared" si="144"/>
        <v>4731989699.9952173</v>
      </c>
    </row>
    <row r="102" spans="1:64" ht="96.75" customHeight="1" x14ac:dyDescent="0.2">
      <c r="A102" s="74">
        <v>70</v>
      </c>
      <c r="B102" s="56">
        <v>3</v>
      </c>
      <c r="C102" s="124"/>
      <c r="D102" s="124"/>
      <c r="E102" s="81">
        <v>15</v>
      </c>
      <c r="F102" s="57" t="s">
        <v>258</v>
      </c>
      <c r="G102" s="58" t="s">
        <v>259</v>
      </c>
      <c r="H102" s="213" t="s">
        <v>260</v>
      </c>
      <c r="I102" s="59">
        <v>68</v>
      </c>
      <c r="J102" s="214" t="s">
        <v>269</v>
      </c>
      <c r="K102" s="214" t="s">
        <v>270</v>
      </c>
      <c r="L102" s="210" t="s">
        <v>263</v>
      </c>
      <c r="M102" s="210">
        <v>1</v>
      </c>
      <c r="N102" s="215" t="s">
        <v>54</v>
      </c>
      <c r="O102" s="64">
        <v>4357</v>
      </c>
      <c r="P102" s="64">
        <v>4500</v>
      </c>
      <c r="Q102" s="216">
        <v>4500</v>
      </c>
      <c r="R102" s="216">
        <v>4500</v>
      </c>
      <c r="S102" s="216">
        <v>4500</v>
      </c>
      <c r="T102" s="216">
        <v>4500</v>
      </c>
      <c r="U102" s="211">
        <f t="shared" ref="U102:U107" si="145">AG102/$AG$101</f>
        <v>8.6956521739130436E-3</v>
      </c>
      <c r="V102" s="64">
        <v>4</v>
      </c>
      <c r="W102" s="126" t="s">
        <v>110</v>
      </c>
      <c r="X102" s="176"/>
      <c r="Y102" s="176"/>
      <c r="Z102" s="96">
        <v>10000000</v>
      </c>
      <c r="AA102" s="96"/>
      <c r="AB102" s="176"/>
      <c r="AC102" s="176"/>
      <c r="AD102" s="176"/>
      <c r="AE102" s="176"/>
      <c r="AF102" s="176"/>
      <c r="AG102" s="69">
        <f t="shared" ref="AG102:AG107" si="146">+X102+Y102+Z102+AA102+AB102+AC102+AD102+AE102+AF102</f>
        <v>10000000</v>
      </c>
      <c r="AH102" s="78"/>
      <c r="AI102" s="78"/>
      <c r="AJ102" s="78">
        <v>10000000</v>
      </c>
      <c r="AK102" s="78"/>
      <c r="AL102" s="78"/>
      <c r="AM102" s="78"/>
      <c r="AN102" s="78"/>
      <c r="AO102" s="78"/>
      <c r="AP102" s="78"/>
      <c r="AQ102" s="71">
        <f t="shared" ref="AQ102:AQ107" si="147">AH102+AI102+AJ102+AK102+AL102+AM102+AN102+AO102+AP102</f>
        <v>10000000</v>
      </c>
      <c r="AR102" s="78"/>
      <c r="AS102" s="78"/>
      <c r="AT102" s="78">
        <v>4000000</v>
      </c>
      <c r="AU102" s="78"/>
      <c r="AV102" s="78"/>
      <c r="AW102" s="78"/>
      <c r="AX102" s="78"/>
      <c r="AY102" s="78"/>
      <c r="AZ102" s="78"/>
      <c r="BA102" s="78">
        <f t="shared" ref="BA102:BA107" si="148">SUM(AR102:AZ102)</f>
        <v>4000000</v>
      </c>
      <c r="BB102" s="78"/>
      <c r="BC102" s="78"/>
      <c r="BD102" s="78">
        <v>10550000</v>
      </c>
      <c r="BE102" s="78"/>
      <c r="BF102" s="78"/>
      <c r="BG102" s="78"/>
      <c r="BH102" s="78"/>
      <c r="BI102" s="78"/>
      <c r="BJ102" s="78"/>
      <c r="BK102" s="78">
        <f t="shared" ref="BK102:BK107" si="149">SUM(BB102:BJ102)</f>
        <v>10550000</v>
      </c>
      <c r="BL102" s="603">
        <f t="shared" ref="BL102:BL107" si="150">AG102+AQ102+BA102+BK102</f>
        <v>34550000</v>
      </c>
    </row>
    <row r="103" spans="1:64" ht="96.75" customHeight="1" x14ac:dyDescent="0.2">
      <c r="A103" s="56">
        <v>71</v>
      </c>
      <c r="B103" s="56">
        <v>3</v>
      </c>
      <c r="C103" s="124"/>
      <c r="D103" s="124"/>
      <c r="E103" s="81">
        <v>14</v>
      </c>
      <c r="F103" s="57" t="s">
        <v>271</v>
      </c>
      <c r="G103" s="80" t="s">
        <v>272</v>
      </c>
      <c r="H103" s="217">
        <v>0.03</v>
      </c>
      <c r="I103" s="59">
        <v>69</v>
      </c>
      <c r="J103" s="60" t="s">
        <v>273</v>
      </c>
      <c r="K103" s="214" t="s">
        <v>274</v>
      </c>
      <c r="L103" s="210" t="s">
        <v>263</v>
      </c>
      <c r="M103" s="210">
        <v>1</v>
      </c>
      <c r="N103" s="215" t="s">
        <v>54</v>
      </c>
      <c r="O103" s="64" t="s">
        <v>49</v>
      </c>
      <c r="P103" s="64">
        <v>1</v>
      </c>
      <c r="Q103" s="216">
        <v>1</v>
      </c>
      <c r="R103" s="216">
        <v>1</v>
      </c>
      <c r="S103" s="216">
        <v>1</v>
      </c>
      <c r="T103" s="216">
        <v>1</v>
      </c>
      <c r="U103" s="211">
        <f t="shared" si="145"/>
        <v>8.6956521739130436E-3</v>
      </c>
      <c r="V103" s="64">
        <v>4</v>
      </c>
      <c r="W103" s="126" t="s">
        <v>110</v>
      </c>
      <c r="X103" s="176"/>
      <c r="Y103" s="176"/>
      <c r="Z103" s="96">
        <v>10000000</v>
      </c>
      <c r="AA103" s="96"/>
      <c r="AB103" s="176"/>
      <c r="AC103" s="176"/>
      <c r="AD103" s="176"/>
      <c r="AE103" s="176"/>
      <c r="AF103" s="176"/>
      <c r="AG103" s="69">
        <f t="shared" si="146"/>
        <v>10000000</v>
      </c>
      <c r="AH103" s="78"/>
      <c r="AI103" s="78"/>
      <c r="AJ103" s="78">
        <v>10000000</v>
      </c>
      <c r="AK103" s="78"/>
      <c r="AL103" s="78"/>
      <c r="AM103" s="78"/>
      <c r="AN103" s="78"/>
      <c r="AO103" s="78"/>
      <c r="AP103" s="78"/>
      <c r="AQ103" s="71">
        <f t="shared" si="147"/>
        <v>10000000</v>
      </c>
      <c r="AR103" s="78"/>
      <c r="AS103" s="78"/>
      <c r="AT103" s="78">
        <v>4000000</v>
      </c>
      <c r="AU103" s="78"/>
      <c r="AV103" s="78"/>
      <c r="AW103" s="78"/>
      <c r="AX103" s="78"/>
      <c r="AY103" s="78"/>
      <c r="AZ103" s="78"/>
      <c r="BA103" s="78">
        <f t="shared" si="148"/>
        <v>4000000</v>
      </c>
      <c r="BB103" s="78"/>
      <c r="BC103" s="78"/>
      <c r="BD103" s="78">
        <f>15000000-10550000</f>
        <v>4450000</v>
      </c>
      <c r="BE103" s="78"/>
      <c r="BF103" s="78"/>
      <c r="BG103" s="78"/>
      <c r="BH103" s="78">
        <f>10550000-4450000</f>
        <v>6100000</v>
      </c>
      <c r="BI103" s="78"/>
      <c r="BJ103" s="78"/>
      <c r="BK103" s="78">
        <f t="shared" si="149"/>
        <v>10550000</v>
      </c>
      <c r="BL103" s="603">
        <f t="shared" si="150"/>
        <v>34550000</v>
      </c>
    </row>
    <row r="104" spans="1:64" ht="96.75" customHeight="1" x14ac:dyDescent="0.2">
      <c r="A104" s="74">
        <v>72</v>
      </c>
      <c r="B104" s="56">
        <v>3</v>
      </c>
      <c r="C104" s="124"/>
      <c r="D104" s="124"/>
      <c r="E104" s="79">
        <v>15</v>
      </c>
      <c r="F104" s="516" t="s">
        <v>258</v>
      </c>
      <c r="G104" s="408" t="s">
        <v>259</v>
      </c>
      <c r="H104" s="408" t="s">
        <v>260</v>
      </c>
      <c r="I104" s="59">
        <v>70</v>
      </c>
      <c r="J104" s="60" t="s">
        <v>275</v>
      </c>
      <c r="K104" s="209" t="s">
        <v>276</v>
      </c>
      <c r="L104" s="210" t="s">
        <v>263</v>
      </c>
      <c r="M104" s="210">
        <v>1</v>
      </c>
      <c r="N104" s="482" t="s">
        <v>69</v>
      </c>
      <c r="O104" s="218">
        <v>322</v>
      </c>
      <c r="P104" s="486">
        <v>490</v>
      </c>
      <c r="Q104" s="216">
        <v>343</v>
      </c>
      <c r="R104" s="216">
        <v>406</v>
      </c>
      <c r="S104" s="216">
        <v>469</v>
      </c>
      <c r="T104" s="216">
        <v>490</v>
      </c>
      <c r="U104" s="211">
        <f t="shared" si="145"/>
        <v>1.7391304347826087E-2</v>
      </c>
      <c r="V104" s="64">
        <v>4</v>
      </c>
      <c r="W104" s="126" t="s">
        <v>110</v>
      </c>
      <c r="X104" s="176"/>
      <c r="Y104" s="176"/>
      <c r="Z104" s="96">
        <v>20000000</v>
      </c>
      <c r="AA104" s="96"/>
      <c r="AB104" s="176"/>
      <c r="AC104" s="176"/>
      <c r="AD104" s="176"/>
      <c r="AE104" s="176"/>
      <c r="AF104" s="176"/>
      <c r="AG104" s="69">
        <f t="shared" si="146"/>
        <v>20000000</v>
      </c>
      <c r="AH104" s="78"/>
      <c r="AI104" s="78"/>
      <c r="AJ104" s="78">
        <v>20000000</v>
      </c>
      <c r="AK104" s="78"/>
      <c r="AL104" s="78"/>
      <c r="AM104" s="78"/>
      <c r="AN104" s="78"/>
      <c r="AO104" s="78"/>
      <c r="AP104" s="78"/>
      <c r="AQ104" s="71">
        <f t="shared" si="147"/>
        <v>20000000</v>
      </c>
      <c r="AR104" s="78"/>
      <c r="AS104" s="78"/>
      <c r="AT104" s="78">
        <v>4000000</v>
      </c>
      <c r="AU104" s="78"/>
      <c r="AV104" s="78"/>
      <c r="AW104" s="78"/>
      <c r="AX104" s="78"/>
      <c r="AY104" s="78"/>
      <c r="AZ104" s="78"/>
      <c r="BA104" s="78">
        <f t="shared" si="148"/>
        <v>4000000</v>
      </c>
      <c r="BB104" s="78"/>
      <c r="BC104" s="78"/>
      <c r="BD104" s="78"/>
      <c r="BE104" s="78"/>
      <c r="BF104" s="78"/>
      <c r="BG104" s="78"/>
      <c r="BH104" s="78">
        <v>21165000</v>
      </c>
      <c r="BI104" s="78"/>
      <c r="BJ104" s="78"/>
      <c r="BK104" s="78">
        <f t="shared" si="149"/>
        <v>21165000</v>
      </c>
      <c r="BL104" s="603">
        <f t="shared" si="150"/>
        <v>65165000</v>
      </c>
    </row>
    <row r="105" spans="1:64" ht="96.75" customHeight="1" x14ac:dyDescent="0.2">
      <c r="A105" s="56">
        <v>73</v>
      </c>
      <c r="B105" s="56">
        <v>3</v>
      </c>
      <c r="C105" s="124"/>
      <c r="D105" s="124"/>
      <c r="E105" s="79"/>
      <c r="F105" s="107"/>
      <c r="G105" s="102"/>
      <c r="H105" s="102"/>
      <c r="I105" s="59">
        <v>71</v>
      </c>
      <c r="J105" s="60" t="s">
        <v>277</v>
      </c>
      <c r="K105" s="209" t="s">
        <v>278</v>
      </c>
      <c r="L105" s="210" t="s">
        <v>263</v>
      </c>
      <c r="M105" s="210">
        <v>1</v>
      </c>
      <c r="N105" s="482" t="s">
        <v>69</v>
      </c>
      <c r="O105" s="218">
        <v>1762</v>
      </c>
      <c r="P105" s="486">
        <v>2570</v>
      </c>
      <c r="Q105" s="216">
        <v>1863</v>
      </c>
      <c r="R105" s="216">
        <v>2166</v>
      </c>
      <c r="S105" s="216">
        <v>2469</v>
      </c>
      <c r="T105" s="216">
        <v>2570</v>
      </c>
      <c r="U105" s="211">
        <f t="shared" si="145"/>
        <v>0</v>
      </c>
      <c r="V105" s="64">
        <v>4</v>
      </c>
      <c r="W105" s="126" t="s">
        <v>110</v>
      </c>
      <c r="X105" s="176"/>
      <c r="Y105" s="176"/>
      <c r="Z105" s="96"/>
      <c r="AA105" s="96"/>
      <c r="AB105" s="176"/>
      <c r="AC105" s="176"/>
      <c r="AD105" s="176"/>
      <c r="AE105" s="176"/>
      <c r="AF105" s="176"/>
      <c r="AG105" s="69">
        <f t="shared" si="146"/>
        <v>0</v>
      </c>
      <c r="AH105" s="78"/>
      <c r="AI105" s="78"/>
      <c r="AJ105" s="78"/>
      <c r="AK105" s="78"/>
      <c r="AL105" s="78"/>
      <c r="AM105" s="78"/>
      <c r="AN105" s="78"/>
      <c r="AO105" s="78"/>
      <c r="AP105" s="78"/>
      <c r="AQ105" s="71">
        <f t="shared" si="147"/>
        <v>0</v>
      </c>
      <c r="AR105" s="78"/>
      <c r="AS105" s="78"/>
      <c r="AT105" s="78">
        <v>0</v>
      </c>
      <c r="AU105" s="78"/>
      <c r="AV105" s="78"/>
      <c r="AW105" s="78"/>
      <c r="AX105" s="78"/>
      <c r="AY105" s="78"/>
      <c r="AZ105" s="78"/>
      <c r="BA105" s="78">
        <f t="shared" si="148"/>
        <v>0</v>
      </c>
      <c r="BB105" s="78"/>
      <c r="BC105" s="78"/>
      <c r="BD105" s="78"/>
      <c r="BE105" s="78"/>
      <c r="BF105" s="78"/>
      <c r="BG105" s="78"/>
      <c r="BH105" s="78">
        <v>0</v>
      </c>
      <c r="BI105" s="78"/>
      <c r="BJ105" s="78"/>
      <c r="BK105" s="78">
        <f t="shared" si="149"/>
        <v>0</v>
      </c>
      <c r="BL105" s="603">
        <f t="shared" si="150"/>
        <v>0</v>
      </c>
    </row>
    <row r="106" spans="1:64" ht="96.75" customHeight="1" x14ac:dyDescent="0.2">
      <c r="A106" s="74">
        <v>74</v>
      </c>
      <c r="B106" s="56">
        <v>3</v>
      </c>
      <c r="C106" s="124"/>
      <c r="D106" s="124"/>
      <c r="E106" s="79"/>
      <c r="F106" s="107"/>
      <c r="G106" s="102"/>
      <c r="H106" s="102"/>
      <c r="I106" s="59">
        <v>72</v>
      </c>
      <c r="J106" s="60" t="s">
        <v>279</v>
      </c>
      <c r="K106" s="209" t="s">
        <v>280</v>
      </c>
      <c r="L106" s="210" t="s">
        <v>263</v>
      </c>
      <c r="M106" s="210">
        <v>1</v>
      </c>
      <c r="N106" s="219" t="s">
        <v>54</v>
      </c>
      <c r="O106" s="163">
        <v>455</v>
      </c>
      <c r="P106" s="163">
        <v>455</v>
      </c>
      <c r="Q106" s="216">
        <v>455</v>
      </c>
      <c r="R106" s="220">
        <v>455</v>
      </c>
      <c r="S106" s="220">
        <v>455</v>
      </c>
      <c r="T106" s="220">
        <v>455</v>
      </c>
      <c r="U106" s="211">
        <f t="shared" si="145"/>
        <v>8.6956521739130436E-3</v>
      </c>
      <c r="V106" s="64">
        <v>4</v>
      </c>
      <c r="W106" s="126" t="s">
        <v>110</v>
      </c>
      <c r="X106" s="96"/>
      <c r="Y106" s="96"/>
      <c r="Z106" s="96">
        <v>10000000</v>
      </c>
      <c r="AA106" s="96"/>
      <c r="AB106" s="96"/>
      <c r="AC106" s="96"/>
      <c r="AD106" s="96"/>
      <c r="AE106" s="96"/>
      <c r="AF106" s="96"/>
      <c r="AG106" s="69">
        <f t="shared" si="146"/>
        <v>10000000</v>
      </c>
      <c r="AH106" s="78"/>
      <c r="AI106" s="78"/>
      <c r="AJ106" s="78">
        <v>10000000</v>
      </c>
      <c r="AK106" s="78"/>
      <c r="AL106" s="78"/>
      <c r="AM106" s="78"/>
      <c r="AN106" s="78"/>
      <c r="AO106" s="78"/>
      <c r="AP106" s="78"/>
      <c r="AQ106" s="71">
        <f t="shared" si="147"/>
        <v>10000000</v>
      </c>
      <c r="AR106" s="78"/>
      <c r="AS106" s="78"/>
      <c r="AT106" s="78">
        <v>3000000</v>
      </c>
      <c r="AU106" s="78"/>
      <c r="AV106" s="78"/>
      <c r="AW106" s="78"/>
      <c r="AX106" s="78"/>
      <c r="AY106" s="78"/>
      <c r="AZ106" s="78"/>
      <c r="BA106" s="78">
        <f t="shared" si="148"/>
        <v>3000000</v>
      </c>
      <c r="BB106" s="78"/>
      <c r="BC106" s="78"/>
      <c r="BD106" s="78"/>
      <c r="BE106" s="78"/>
      <c r="BF106" s="78"/>
      <c r="BG106" s="78"/>
      <c r="BH106" s="78">
        <v>10580000</v>
      </c>
      <c r="BI106" s="78"/>
      <c r="BJ106" s="78"/>
      <c r="BK106" s="78">
        <f t="shared" si="149"/>
        <v>10580000</v>
      </c>
      <c r="BL106" s="603">
        <f t="shared" si="150"/>
        <v>33580000</v>
      </c>
    </row>
    <row r="107" spans="1:64" ht="150.75" customHeight="1" x14ac:dyDescent="0.2">
      <c r="A107" s="56">
        <v>75</v>
      </c>
      <c r="B107" s="56">
        <v>3</v>
      </c>
      <c r="C107" s="124"/>
      <c r="D107" s="124"/>
      <c r="E107" s="506"/>
      <c r="F107" s="517"/>
      <c r="G107" s="80"/>
      <c r="H107" s="80"/>
      <c r="I107" s="59">
        <v>73</v>
      </c>
      <c r="J107" s="60" t="s">
        <v>281</v>
      </c>
      <c r="K107" s="209" t="s">
        <v>282</v>
      </c>
      <c r="L107" s="210" t="s">
        <v>263</v>
      </c>
      <c r="M107" s="210">
        <v>1</v>
      </c>
      <c r="N107" s="100" t="s">
        <v>54</v>
      </c>
      <c r="O107" s="163" t="s">
        <v>49</v>
      </c>
      <c r="P107" s="163">
        <v>1</v>
      </c>
      <c r="Q107" s="187">
        <v>1</v>
      </c>
      <c r="R107" s="81">
        <v>1</v>
      </c>
      <c r="S107" s="81">
        <v>1</v>
      </c>
      <c r="T107" s="81">
        <v>1</v>
      </c>
      <c r="U107" s="211">
        <f t="shared" si="145"/>
        <v>0.95652173913043481</v>
      </c>
      <c r="V107" s="64">
        <v>4</v>
      </c>
      <c r="W107" s="126" t="s">
        <v>110</v>
      </c>
      <c r="X107" s="96"/>
      <c r="Y107" s="96"/>
      <c r="Z107" s="96"/>
      <c r="AA107" s="96"/>
      <c r="AB107" s="96"/>
      <c r="AC107" s="96"/>
      <c r="AD107" s="96">
        <v>1100000000</v>
      </c>
      <c r="AE107" s="96"/>
      <c r="AF107" s="96"/>
      <c r="AG107" s="69">
        <f t="shared" si="146"/>
        <v>1100000000</v>
      </c>
      <c r="AH107" s="78"/>
      <c r="AI107" s="78"/>
      <c r="AJ107" s="78"/>
      <c r="AK107" s="78"/>
      <c r="AL107" s="78"/>
      <c r="AM107" s="78"/>
      <c r="AN107" s="78">
        <v>1133000000</v>
      </c>
      <c r="AO107" s="78"/>
      <c r="AP107" s="78"/>
      <c r="AQ107" s="71">
        <f t="shared" si="147"/>
        <v>1133000000</v>
      </c>
      <c r="AR107" s="78"/>
      <c r="AS107" s="78"/>
      <c r="AT107" s="78"/>
      <c r="AU107" s="78"/>
      <c r="AV107" s="78"/>
      <c r="AW107" s="78"/>
      <c r="AX107" s="78">
        <v>1166990000</v>
      </c>
      <c r="AY107" s="78"/>
      <c r="AZ107" s="78"/>
      <c r="BA107" s="78">
        <f t="shared" si="148"/>
        <v>1166990000</v>
      </c>
      <c r="BB107" s="78"/>
      <c r="BC107" s="78"/>
      <c r="BD107" s="78"/>
      <c r="BE107" s="78"/>
      <c r="BF107" s="78"/>
      <c r="BG107" s="78"/>
      <c r="BH107" s="78">
        <v>1164154699.9952176</v>
      </c>
      <c r="BI107" s="78"/>
      <c r="BJ107" s="78"/>
      <c r="BK107" s="78">
        <f t="shared" si="149"/>
        <v>1164154699.9952176</v>
      </c>
      <c r="BL107" s="603">
        <f t="shared" si="150"/>
        <v>4564144699.9952173</v>
      </c>
    </row>
    <row r="108" spans="1:64" ht="24.75" customHeight="1" x14ac:dyDescent="0.2">
      <c r="A108" s="56"/>
      <c r="B108" s="56"/>
      <c r="C108" s="124"/>
      <c r="D108" s="124"/>
      <c r="E108" s="44">
        <v>18</v>
      </c>
      <c r="F108" s="45" t="s">
        <v>283</v>
      </c>
      <c r="G108" s="48"/>
      <c r="H108" s="48"/>
      <c r="I108" s="49"/>
      <c r="J108" s="48"/>
      <c r="K108" s="84"/>
      <c r="L108" s="47"/>
      <c r="M108" s="47"/>
      <c r="N108" s="50"/>
      <c r="O108" s="48"/>
      <c r="P108" s="48"/>
      <c r="Q108" s="51"/>
      <c r="R108" s="48"/>
      <c r="S108" s="48"/>
      <c r="T108" s="49"/>
      <c r="U108" s="125"/>
      <c r="V108" s="221"/>
      <c r="W108" s="49"/>
      <c r="X108" s="53">
        <f t="shared" ref="X108:AF108" si="151">SUM(X109)</f>
        <v>0</v>
      </c>
      <c r="Y108" s="53">
        <f t="shared" si="151"/>
        <v>0</v>
      </c>
      <c r="Z108" s="53">
        <f t="shared" si="151"/>
        <v>0</v>
      </c>
      <c r="AA108" s="53">
        <f t="shared" si="151"/>
        <v>0</v>
      </c>
      <c r="AB108" s="53">
        <f t="shared" si="151"/>
        <v>0</v>
      </c>
      <c r="AC108" s="53">
        <f t="shared" si="151"/>
        <v>0</v>
      </c>
      <c r="AD108" s="53">
        <f t="shared" si="151"/>
        <v>97934613825</v>
      </c>
      <c r="AE108" s="53">
        <f t="shared" si="151"/>
        <v>0</v>
      </c>
      <c r="AF108" s="53">
        <f t="shared" si="151"/>
        <v>0</v>
      </c>
      <c r="AG108" s="54">
        <f>SUM(AG109)</f>
        <v>97934613825</v>
      </c>
      <c r="AH108" s="53">
        <f t="shared" ref="AH108:AQ108" si="152">SUM(AH109)</f>
        <v>0</v>
      </c>
      <c r="AI108" s="53">
        <f t="shared" si="152"/>
        <v>0</v>
      </c>
      <c r="AJ108" s="53">
        <f t="shared" si="152"/>
        <v>0</v>
      </c>
      <c r="AK108" s="53">
        <f t="shared" si="152"/>
        <v>0</v>
      </c>
      <c r="AL108" s="53">
        <f t="shared" si="152"/>
        <v>0</v>
      </c>
      <c r="AM108" s="53">
        <f t="shared" si="152"/>
        <v>0</v>
      </c>
      <c r="AN108" s="53">
        <f t="shared" si="152"/>
        <v>100872652239.75</v>
      </c>
      <c r="AO108" s="53">
        <f t="shared" si="152"/>
        <v>0</v>
      </c>
      <c r="AP108" s="53">
        <f t="shared" si="152"/>
        <v>0</v>
      </c>
      <c r="AQ108" s="53">
        <f t="shared" si="152"/>
        <v>100872652239.75</v>
      </c>
      <c r="AR108" s="90"/>
      <c r="AS108" s="90"/>
      <c r="AT108" s="90"/>
      <c r="AU108" s="90"/>
      <c r="AV108" s="90"/>
      <c r="AW108" s="90"/>
      <c r="AX108" s="90"/>
      <c r="AY108" s="90"/>
      <c r="AZ108" s="90"/>
      <c r="BA108" s="53">
        <f t="shared" ref="BA108" si="153">SUM(BA109)</f>
        <v>103898831806.94299</v>
      </c>
      <c r="BB108" s="55"/>
      <c r="BC108" s="55"/>
      <c r="BD108" s="55"/>
      <c r="BE108" s="55"/>
      <c r="BF108" s="55"/>
      <c r="BG108" s="55"/>
      <c r="BH108" s="55"/>
      <c r="BI108" s="55"/>
      <c r="BJ108" s="55"/>
      <c r="BK108" s="53">
        <f t="shared" ref="BK108:BL108" si="154">SUM(BK109)</f>
        <v>107015796761.151</v>
      </c>
      <c r="BL108" s="53">
        <f t="shared" si="154"/>
        <v>409721894632.84399</v>
      </c>
    </row>
    <row r="109" spans="1:64" ht="102.75" customHeight="1" x14ac:dyDescent="0.2">
      <c r="A109" s="74">
        <v>76</v>
      </c>
      <c r="B109" s="56">
        <v>3</v>
      </c>
      <c r="C109" s="124"/>
      <c r="D109" s="183"/>
      <c r="E109" s="81">
        <v>15</v>
      </c>
      <c r="F109" s="57" t="s">
        <v>284</v>
      </c>
      <c r="G109" s="58" t="s">
        <v>259</v>
      </c>
      <c r="H109" s="213" t="s">
        <v>260</v>
      </c>
      <c r="I109" s="59">
        <v>74</v>
      </c>
      <c r="J109" s="60" t="s">
        <v>285</v>
      </c>
      <c r="K109" s="209" t="s">
        <v>286</v>
      </c>
      <c r="L109" s="210" t="s">
        <v>263</v>
      </c>
      <c r="M109" s="210">
        <v>1</v>
      </c>
      <c r="N109" s="222" t="s">
        <v>54</v>
      </c>
      <c r="O109" s="163">
        <v>2232</v>
      </c>
      <c r="P109" s="163">
        <v>2232</v>
      </c>
      <c r="Q109" s="218">
        <v>2232</v>
      </c>
      <c r="R109" s="163">
        <v>2232</v>
      </c>
      <c r="S109" s="163">
        <v>2232</v>
      </c>
      <c r="T109" s="163">
        <v>2232</v>
      </c>
      <c r="U109" s="109">
        <f>AG109/AG108</f>
        <v>1</v>
      </c>
      <c r="V109" s="65">
        <v>4</v>
      </c>
      <c r="W109" s="68" t="s">
        <v>110</v>
      </c>
      <c r="X109" s="69">
        <v>0</v>
      </c>
      <c r="Y109" s="69">
        <v>0</v>
      </c>
      <c r="Z109" s="69">
        <v>0</v>
      </c>
      <c r="AA109" s="69">
        <v>0</v>
      </c>
      <c r="AB109" s="69">
        <v>0</v>
      </c>
      <c r="AC109" s="69">
        <v>0</v>
      </c>
      <c r="AD109" s="96">
        <v>97934613825</v>
      </c>
      <c r="AE109" s="69">
        <v>0</v>
      </c>
      <c r="AF109" s="69">
        <v>0</v>
      </c>
      <c r="AG109" s="69">
        <f>+X109+Y109+Z109+AA109+AB109+AC109+AD109+AE109+AF109</f>
        <v>97934613825</v>
      </c>
      <c r="AH109" s="78"/>
      <c r="AI109" s="78"/>
      <c r="AJ109" s="78"/>
      <c r="AK109" s="78"/>
      <c r="AL109" s="78"/>
      <c r="AM109" s="78"/>
      <c r="AN109" s="78">
        <v>100872652239.75</v>
      </c>
      <c r="AO109" s="78"/>
      <c r="AP109" s="78"/>
      <c r="AQ109" s="71">
        <f>AH109+AI109+AJ109+AK109+AL109+AM109+AN109+AO109+AP109</f>
        <v>100872652239.75</v>
      </c>
      <c r="AR109" s="223"/>
      <c r="AS109" s="223"/>
      <c r="AT109" s="223"/>
      <c r="AU109" s="223"/>
      <c r="AV109" s="223"/>
      <c r="AW109" s="223"/>
      <c r="AX109" s="511">
        <v>103898831806.94299</v>
      </c>
      <c r="AY109" s="223"/>
      <c r="AZ109" s="223"/>
      <c r="BA109" s="223">
        <f>SUM(AR109:AZ109)</f>
        <v>103898831806.94299</v>
      </c>
      <c r="BB109" s="78"/>
      <c r="BC109" s="78"/>
      <c r="BD109" s="78"/>
      <c r="BE109" s="78"/>
      <c r="BF109" s="78"/>
      <c r="BG109" s="78"/>
      <c r="BH109" s="78">
        <v>107015796761.151</v>
      </c>
      <c r="BI109" s="78"/>
      <c r="BJ109" s="78"/>
      <c r="BK109" s="78">
        <f>SUM(BB109:BJ109)</f>
        <v>107015796761.151</v>
      </c>
      <c r="BL109" s="603">
        <f>AG109+AQ109+BA109+BK109</f>
        <v>409721894632.84399</v>
      </c>
    </row>
    <row r="110" spans="1:64" ht="24.75" customHeight="1" x14ac:dyDescent="0.2">
      <c r="A110" s="74"/>
      <c r="B110" s="56"/>
      <c r="C110" s="124"/>
      <c r="D110" s="30">
        <v>6</v>
      </c>
      <c r="E110" s="122" t="s">
        <v>287</v>
      </c>
      <c r="F110" s="35"/>
      <c r="G110" s="35"/>
      <c r="H110" s="35"/>
      <c r="I110" s="34"/>
      <c r="J110" s="35"/>
      <c r="K110" s="35"/>
      <c r="L110" s="36"/>
      <c r="M110" s="34"/>
      <c r="N110" s="37"/>
      <c r="O110" s="35"/>
      <c r="P110" s="35"/>
      <c r="Q110" s="38"/>
      <c r="R110" s="35"/>
      <c r="S110" s="35"/>
      <c r="T110" s="34"/>
      <c r="U110" s="123"/>
      <c r="V110" s="34"/>
      <c r="W110" s="34"/>
      <c r="X110" s="40">
        <f t="shared" ref="X110:AF110" si="155">X111+X120+X131+X136</f>
        <v>0</v>
      </c>
      <c r="Y110" s="40">
        <f t="shared" si="155"/>
        <v>100000000</v>
      </c>
      <c r="Z110" s="40">
        <f t="shared" si="155"/>
        <v>105000000</v>
      </c>
      <c r="AA110" s="40">
        <f t="shared" si="155"/>
        <v>0</v>
      </c>
      <c r="AB110" s="40">
        <f t="shared" si="155"/>
        <v>0</v>
      </c>
      <c r="AC110" s="40">
        <f t="shared" si="155"/>
        <v>0</v>
      </c>
      <c r="AD110" s="40">
        <f t="shared" si="155"/>
        <v>360000000</v>
      </c>
      <c r="AE110" s="40">
        <f t="shared" si="155"/>
        <v>0</v>
      </c>
      <c r="AF110" s="40">
        <f t="shared" si="155"/>
        <v>4200000000</v>
      </c>
      <c r="AG110" s="41">
        <f>AG111+AG120+AG131+AG136</f>
        <v>4765000000</v>
      </c>
      <c r="AH110" s="40">
        <f t="shared" ref="AH110:AQ110" si="156">AH111+AH120+AH131+AH136</f>
        <v>0</v>
      </c>
      <c r="AI110" s="40">
        <f t="shared" si="156"/>
        <v>103000000</v>
      </c>
      <c r="AJ110" s="40">
        <f t="shared" si="156"/>
        <v>80000000</v>
      </c>
      <c r="AK110" s="40">
        <f t="shared" si="156"/>
        <v>0</v>
      </c>
      <c r="AL110" s="40">
        <f t="shared" si="156"/>
        <v>0</v>
      </c>
      <c r="AM110" s="40">
        <f t="shared" si="156"/>
        <v>0</v>
      </c>
      <c r="AN110" s="40">
        <f t="shared" si="156"/>
        <v>370800000</v>
      </c>
      <c r="AO110" s="40">
        <f t="shared" si="156"/>
        <v>0</v>
      </c>
      <c r="AP110" s="40">
        <f t="shared" si="156"/>
        <v>5295276423</v>
      </c>
      <c r="AQ110" s="40">
        <f t="shared" si="156"/>
        <v>5849076423</v>
      </c>
      <c r="AR110" s="42"/>
      <c r="AS110" s="42"/>
      <c r="AT110" s="42"/>
      <c r="AU110" s="42"/>
      <c r="AV110" s="42"/>
      <c r="AW110" s="42"/>
      <c r="AX110" s="42"/>
      <c r="AY110" s="42"/>
      <c r="AZ110" s="42"/>
      <c r="BA110" s="40">
        <f t="shared" ref="BA110" si="157">BA111+BA120+BA131+BA136</f>
        <v>6523014000</v>
      </c>
      <c r="BB110" s="42"/>
      <c r="BC110" s="42"/>
      <c r="BD110" s="42"/>
      <c r="BE110" s="42"/>
      <c r="BF110" s="42"/>
      <c r="BG110" s="42"/>
      <c r="BH110" s="42"/>
      <c r="BI110" s="42"/>
      <c r="BJ110" s="42"/>
      <c r="BK110" s="40">
        <f t="shared" ref="BK110" si="158">BK111+BK120+BK131+BK136</f>
        <v>4529471720</v>
      </c>
      <c r="BL110" s="40">
        <f t="shared" ref="BL110" si="159">BL111+BL120+BL131+BL136</f>
        <v>21666562143</v>
      </c>
    </row>
    <row r="111" spans="1:64" ht="24.75" customHeight="1" x14ac:dyDescent="0.2">
      <c r="A111" s="74"/>
      <c r="B111" s="56"/>
      <c r="C111" s="124"/>
      <c r="D111" s="417"/>
      <c r="E111" s="44">
        <v>19</v>
      </c>
      <c r="F111" s="45" t="s">
        <v>288</v>
      </c>
      <c r="G111" s="224"/>
      <c r="H111" s="224"/>
      <c r="I111" s="47"/>
      <c r="J111" s="48"/>
      <c r="K111" s="48"/>
      <c r="L111" s="47"/>
      <c r="M111" s="49"/>
      <c r="N111" s="50"/>
      <c r="O111" s="48"/>
      <c r="P111" s="48"/>
      <c r="Q111" s="51"/>
      <c r="R111" s="48"/>
      <c r="S111" s="48"/>
      <c r="T111" s="49"/>
      <c r="U111" s="125"/>
      <c r="V111" s="49"/>
      <c r="W111" s="49"/>
      <c r="X111" s="53">
        <f t="shared" ref="X111:AF111" si="160">SUM(X112:X119)</f>
        <v>0</v>
      </c>
      <c r="Y111" s="53">
        <f t="shared" si="160"/>
        <v>100000000</v>
      </c>
      <c r="Z111" s="53">
        <f t="shared" si="160"/>
        <v>30000000</v>
      </c>
      <c r="AA111" s="53">
        <f t="shared" si="160"/>
        <v>0</v>
      </c>
      <c r="AB111" s="53">
        <f t="shared" si="160"/>
        <v>0</v>
      </c>
      <c r="AC111" s="53">
        <f t="shared" si="160"/>
        <v>0</v>
      </c>
      <c r="AD111" s="53">
        <f t="shared" si="160"/>
        <v>0</v>
      </c>
      <c r="AE111" s="53">
        <f t="shared" si="160"/>
        <v>0</v>
      </c>
      <c r="AF111" s="53">
        <f t="shared" si="160"/>
        <v>0</v>
      </c>
      <c r="AG111" s="54">
        <f>SUM(AG112:AG119)</f>
        <v>130000000</v>
      </c>
      <c r="AH111" s="53">
        <f t="shared" ref="AH111:AQ111" si="161">SUM(AH112:AH119)</f>
        <v>0</v>
      </c>
      <c r="AI111" s="53">
        <f t="shared" si="161"/>
        <v>103000000</v>
      </c>
      <c r="AJ111" s="53">
        <f t="shared" si="161"/>
        <v>0</v>
      </c>
      <c r="AK111" s="53">
        <f t="shared" si="161"/>
        <v>0</v>
      </c>
      <c r="AL111" s="53">
        <f t="shared" si="161"/>
        <v>0</v>
      </c>
      <c r="AM111" s="53">
        <f t="shared" si="161"/>
        <v>0</v>
      </c>
      <c r="AN111" s="53">
        <f t="shared" si="161"/>
        <v>0</v>
      </c>
      <c r="AO111" s="53">
        <f t="shared" si="161"/>
        <v>0</v>
      </c>
      <c r="AP111" s="53">
        <f t="shared" si="161"/>
        <v>0</v>
      </c>
      <c r="AQ111" s="53">
        <f t="shared" si="161"/>
        <v>103000000</v>
      </c>
      <c r="AR111" s="55"/>
      <c r="AS111" s="55"/>
      <c r="AT111" s="55"/>
      <c r="AU111" s="55"/>
      <c r="AV111" s="55"/>
      <c r="AW111" s="55"/>
      <c r="AX111" s="55"/>
      <c r="AY111" s="55"/>
      <c r="AZ111" s="55"/>
      <c r="BA111" s="53">
        <f t="shared" ref="BA111" si="162">SUM(BA112:BA119)</f>
        <v>106090000</v>
      </c>
      <c r="BB111" s="55"/>
      <c r="BC111" s="55"/>
      <c r="BD111" s="55"/>
      <c r="BE111" s="55"/>
      <c r="BF111" s="55"/>
      <c r="BG111" s="55"/>
      <c r="BH111" s="55"/>
      <c r="BI111" s="55"/>
      <c r="BJ111" s="55"/>
      <c r="BK111" s="53">
        <f t="shared" ref="BK111" si="163">SUM(BK112:BK119)</f>
        <v>106090000</v>
      </c>
      <c r="BL111" s="53">
        <f t="shared" ref="BL111" si="164">SUM(BL112:BL119)</f>
        <v>445180000</v>
      </c>
    </row>
    <row r="112" spans="1:64" ht="113.25" customHeight="1" x14ac:dyDescent="0.2">
      <c r="A112" s="56">
        <v>77</v>
      </c>
      <c r="B112" s="56">
        <v>3</v>
      </c>
      <c r="C112" s="124"/>
      <c r="D112" s="124"/>
      <c r="E112" s="510"/>
      <c r="F112" s="415"/>
      <c r="G112" s="491"/>
      <c r="H112" s="491"/>
      <c r="I112" s="59">
        <v>75</v>
      </c>
      <c r="J112" s="60" t="s">
        <v>289</v>
      </c>
      <c r="K112" s="209" t="s">
        <v>290</v>
      </c>
      <c r="L112" s="210" t="s">
        <v>263</v>
      </c>
      <c r="M112" s="210">
        <v>1</v>
      </c>
      <c r="N112" s="482" t="s">
        <v>69</v>
      </c>
      <c r="O112" s="218">
        <v>18</v>
      </c>
      <c r="P112" s="483">
        <v>36</v>
      </c>
      <c r="Q112" s="216">
        <v>23</v>
      </c>
      <c r="R112" s="216">
        <v>27</v>
      </c>
      <c r="S112" s="216">
        <v>34</v>
      </c>
      <c r="T112" s="216">
        <v>36</v>
      </c>
      <c r="U112" s="211"/>
      <c r="V112" s="64">
        <v>4</v>
      </c>
      <c r="W112" s="126" t="s">
        <v>110</v>
      </c>
      <c r="X112" s="176"/>
      <c r="Y112" s="176"/>
      <c r="Z112" s="176"/>
      <c r="AA112" s="176"/>
      <c r="AB112" s="176"/>
      <c r="AC112" s="176"/>
      <c r="AD112" s="176"/>
      <c r="AE112" s="176"/>
      <c r="AF112" s="176"/>
      <c r="AG112" s="69">
        <f t="shared" ref="AG112:AG119" si="165">+X112+Y112+Z112+AA112+AB112+AC112+AD112+AE112+AF112</f>
        <v>0</v>
      </c>
      <c r="AH112" s="78"/>
      <c r="AI112" s="78"/>
      <c r="AJ112" s="78"/>
      <c r="AK112" s="78"/>
      <c r="AL112" s="78"/>
      <c r="AM112" s="78"/>
      <c r="AN112" s="78"/>
      <c r="AO112" s="78"/>
      <c r="AP112" s="78"/>
      <c r="AQ112" s="71">
        <f t="shared" ref="AQ112:AQ119" si="166">AH112+AI112+AJ112+AK112+AL112+AM112+AN112+AO112+AP112</f>
        <v>0</v>
      </c>
      <c r="AR112" s="511"/>
      <c r="AS112" s="511"/>
      <c r="AT112" s="511"/>
      <c r="AU112" s="511"/>
      <c r="AV112" s="511"/>
      <c r="AW112" s="511"/>
      <c r="AX112" s="511"/>
      <c r="AY112" s="511"/>
      <c r="AZ112" s="511"/>
      <c r="BA112" s="511"/>
      <c r="BB112" s="78"/>
      <c r="BC112" s="78"/>
      <c r="BD112" s="78"/>
      <c r="BE112" s="78"/>
      <c r="BF112" s="78"/>
      <c r="BG112" s="78"/>
      <c r="BH112" s="78"/>
      <c r="BI112" s="78"/>
      <c r="BJ112" s="78"/>
      <c r="BK112" s="78"/>
      <c r="BL112" s="603">
        <f t="shared" ref="BL112:BL119" si="167">AG112+AQ112+BA112+BK112</f>
        <v>0</v>
      </c>
    </row>
    <row r="113" spans="1:65" ht="120.75" customHeight="1" x14ac:dyDescent="0.2">
      <c r="A113" s="74">
        <v>78</v>
      </c>
      <c r="B113" s="56">
        <v>3</v>
      </c>
      <c r="C113" s="124"/>
      <c r="D113" s="124"/>
      <c r="E113" s="506">
        <v>16</v>
      </c>
      <c r="F113" s="169" t="s">
        <v>291</v>
      </c>
      <c r="G113" s="492">
        <v>45</v>
      </c>
      <c r="H113" s="492">
        <v>90</v>
      </c>
      <c r="I113" s="59">
        <v>76</v>
      </c>
      <c r="J113" s="60" t="s">
        <v>292</v>
      </c>
      <c r="K113" s="209" t="s">
        <v>293</v>
      </c>
      <c r="L113" s="210" t="s">
        <v>263</v>
      </c>
      <c r="M113" s="210">
        <v>1</v>
      </c>
      <c r="N113" s="487" t="s">
        <v>69</v>
      </c>
      <c r="O113" s="218">
        <v>0</v>
      </c>
      <c r="P113" s="486">
        <v>1200</v>
      </c>
      <c r="Q113" s="216">
        <v>450</v>
      </c>
      <c r="R113" s="216">
        <v>600</v>
      </c>
      <c r="S113" s="216">
        <v>1050</v>
      </c>
      <c r="T113" s="216">
        <v>1200</v>
      </c>
      <c r="U113" s="211">
        <f>AG113/AG111</f>
        <v>1</v>
      </c>
      <c r="V113" s="64">
        <v>4</v>
      </c>
      <c r="W113" s="126" t="s">
        <v>110</v>
      </c>
      <c r="X113" s="176"/>
      <c r="Y113" s="176">
        <v>100000000</v>
      </c>
      <c r="Z113" s="176">
        <v>30000000</v>
      </c>
      <c r="AA113" s="176"/>
      <c r="AB113" s="176"/>
      <c r="AC113" s="176"/>
      <c r="AD113" s="176"/>
      <c r="AE113" s="176"/>
      <c r="AF113" s="176"/>
      <c r="AG113" s="69">
        <f t="shared" si="165"/>
        <v>130000000</v>
      </c>
      <c r="AH113" s="78"/>
      <c r="AI113" s="78">
        <v>103000000</v>
      </c>
      <c r="AJ113" s="78"/>
      <c r="AK113" s="78"/>
      <c r="AL113" s="78"/>
      <c r="AM113" s="78"/>
      <c r="AN113" s="78"/>
      <c r="AO113" s="78"/>
      <c r="AP113" s="78"/>
      <c r="AQ113" s="71">
        <f t="shared" si="166"/>
        <v>103000000</v>
      </c>
      <c r="AR113" s="511"/>
      <c r="AS113" s="511">
        <v>106090000</v>
      </c>
      <c r="AT113" s="511"/>
      <c r="AU113" s="511"/>
      <c r="AV113" s="511"/>
      <c r="AW113" s="511"/>
      <c r="AX113" s="511"/>
      <c r="AY113" s="511"/>
      <c r="AZ113" s="511"/>
      <c r="BA113" s="511">
        <f>SUM(AR113:AZ113)</f>
        <v>106090000</v>
      </c>
      <c r="BB113" s="78"/>
      <c r="BC113" s="78">
        <v>106090000</v>
      </c>
      <c r="BD113" s="78"/>
      <c r="BE113" s="78"/>
      <c r="BF113" s="78"/>
      <c r="BG113" s="78"/>
      <c r="BH113" s="78"/>
      <c r="BI113" s="78"/>
      <c r="BJ113" s="78"/>
      <c r="BK113" s="78">
        <f>SUM(BB113:BJ113)</f>
        <v>106090000</v>
      </c>
      <c r="BL113" s="603">
        <f t="shared" si="167"/>
        <v>445180000</v>
      </c>
    </row>
    <row r="114" spans="1:65" ht="93.75" customHeight="1" x14ac:dyDescent="0.2">
      <c r="A114" s="56">
        <v>79</v>
      </c>
      <c r="B114" s="56">
        <v>3</v>
      </c>
      <c r="C114" s="124"/>
      <c r="D114" s="124"/>
      <c r="E114" s="79"/>
      <c r="F114" s="94"/>
      <c r="G114" s="490"/>
      <c r="H114" s="490"/>
      <c r="I114" s="59">
        <v>77</v>
      </c>
      <c r="J114" s="60" t="s">
        <v>294</v>
      </c>
      <c r="K114" s="209" t="s">
        <v>295</v>
      </c>
      <c r="L114" s="210" t="s">
        <v>263</v>
      </c>
      <c r="M114" s="210">
        <v>1</v>
      </c>
      <c r="N114" s="482" t="s">
        <v>69</v>
      </c>
      <c r="O114" s="218">
        <v>20</v>
      </c>
      <c r="P114" s="483">
        <v>80</v>
      </c>
      <c r="Q114" s="216">
        <v>28</v>
      </c>
      <c r="R114" s="216">
        <v>50</v>
      </c>
      <c r="S114" s="216">
        <v>73</v>
      </c>
      <c r="T114" s="216">
        <v>80</v>
      </c>
      <c r="U114" s="211"/>
      <c r="V114" s="64">
        <v>4</v>
      </c>
      <c r="W114" s="126" t="s">
        <v>110</v>
      </c>
      <c r="X114" s="176"/>
      <c r="Y114" s="176"/>
      <c r="Z114" s="176"/>
      <c r="AA114" s="176"/>
      <c r="AB114" s="176"/>
      <c r="AC114" s="176"/>
      <c r="AD114" s="176"/>
      <c r="AE114" s="176"/>
      <c r="AF114" s="176"/>
      <c r="AG114" s="69">
        <f t="shared" si="165"/>
        <v>0</v>
      </c>
      <c r="AH114" s="78"/>
      <c r="AI114" s="78"/>
      <c r="AJ114" s="78"/>
      <c r="AK114" s="78"/>
      <c r="AL114" s="78"/>
      <c r="AM114" s="78"/>
      <c r="AN114" s="78"/>
      <c r="AO114" s="78"/>
      <c r="AP114" s="78"/>
      <c r="AQ114" s="71">
        <f t="shared" si="166"/>
        <v>0</v>
      </c>
      <c r="AR114" s="511"/>
      <c r="AS114" s="511"/>
      <c r="AT114" s="511"/>
      <c r="AU114" s="511"/>
      <c r="AV114" s="511"/>
      <c r="AW114" s="511"/>
      <c r="AX114" s="511"/>
      <c r="AY114" s="511"/>
      <c r="AZ114" s="511"/>
      <c r="BA114" s="511"/>
      <c r="BB114" s="78"/>
      <c r="BC114" s="78"/>
      <c r="BD114" s="78"/>
      <c r="BE114" s="78"/>
      <c r="BF114" s="78"/>
      <c r="BG114" s="78"/>
      <c r="BH114" s="78"/>
      <c r="BI114" s="78"/>
      <c r="BJ114" s="78"/>
      <c r="BK114" s="78"/>
      <c r="BL114" s="603">
        <f t="shared" si="167"/>
        <v>0</v>
      </c>
    </row>
    <row r="115" spans="1:65" ht="57.75" customHeight="1" x14ac:dyDescent="0.2">
      <c r="A115" s="74">
        <v>80</v>
      </c>
      <c r="B115" s="56">
        <v>3</v>
      </c>
      <c r="C115" s="124"/>
      <c r="D115" s="124"/>
      <c r="E115" s="506">
        <v>17</v>
      </c>
      <c r="F115" s="225" t="s">
        <v>296</v>
      </c>
      <c r="G115" s="226" t="s">
        <v>297</v>
      </c>
      <c r="H115" s="227">
        <v>0.5</v>
      </c>
      <c r="I115" s="59">
        <v>78</v>
      </c>
      <c r="J115" s="60" t="s">
        <v>298</v>
      </c>
      <c r="K115" s="209" t="s">
        <v>299</v>
      </c>
      <c r="L115" s="210" t="s">
        <v>263</v>
      </c>
      <c r="M115" s="210">
        <v>1</v>
      </c>
      <c r="N115" s="482" t="s">
        <v>69</v>
      </c>
      <c r="O115" s="218">
        <v>7</v>
      </c>
      <c r="P115" s="483">
        <v>15</v>
      </c>
      <c r="Q115" s="216">
        <v>9</v>
      </c>
      <c r="R115" s="216">
        <v>11</v>
      </c>
      <c r="S115" s="216">
        <v>14</v>
      </c>
      <c r="T115" s="216">
        <v>15</v>
      </c>
      <c r="U115" s="211"/>
      <c r="V115" s="64">
        <v>4</v>
      </c>
      <c r="W115" s="126" t="s">
        <v>110</v>
      </c>
      <c r="X115" s="176"/>
      <c r="Y115" s="176"/>
      <c r="Z115" s="176"/>
      <c r="AA115" s="176"/>
      <c r="AB115" s="176"/>
      <c r="AC115" s="176"/>
      <c r="AD115" s="176"/>
      <c r="AE115" s="176"/>
      <c r="AF115" s="176"/>
      <c r="AG115" s="69">
        <f t="shared" si="165"/>
        <v>0</v>
      </c>
      <c r="AH115" s="78"/>
      <c r="AI115" s="78"/>
      <c r="AJ115" s="78"/>
      <c r="AK115" s="78"/>
      <c r="AL115" s="78"/>
      <c r="AM115" s="78"/>
      <c r="AN115" s="78"/>
      <c r="AO115" s="78"/>
      <c r="AP115" s="78"/>
      <c r="AQ115" s="71">
        <f t="shared" si="166"/>
        <v>0</v>
      </c>
      <c r="AR115" s="511"/>
      <c r="AS115" s="511"/>
      <c r="AT115" s="511"/>
      <c r="AU115" s="511"/>
      <c r="AV115" s="511"/>
      <c r="AW115" s="511"/>
      <c r="AX115" s="511"/>
      <c r="AY115" s="511"/>
      <c r="AZ115" s="511"/>
      <c r="BA115" s="511"/>
      <c r="BB115" s="78"/>
      <c r="BC115" s="78"/>
      <c r="BD115" s="78"/>
      <c r="BE115" s="78"/>
      <c r="BF115" s="78"/>
      <c r="BG115" s="78"/>
      <c r="BH115" s="78"/>
      <c r="BI115" s="78"/>
      <c r="BJ115" s="78"/>
      <c r="BK115" s="78"/>
      <c r="BL115" s="603">
        <f t="shared" si="167"/>
        <v>0</v>
      </c>
    </row>
    <row r="116" spans="1:65" ht="57.75" customHeight="1" x14ac:dyDescent="0.2">
      <c r="A116" s="56">
        <v>81</v>
      </c>
      <c r="B116" s="56">
        <v>3</v>
      </c>
      <c r="C116" s="124"/>
      <c r="D116" s="124"/>
      <c r="E116" s="81">
        <v>18</v>
      </c>
      <c r="F116" s="57" t="s">
        <v>300</v>
      </c>
      <c r="G116" s="65">
        <v>6</v>
      </c>
      <c r="H116" s="65">
        <v>12</v>
      </c>
      <c r="I116" s="59">
        <v>79</v>
      </c>
      <c r="J116" s="60" t="s">
        <v>301</v>
      </c>
      <c r="K116" s="209" t="s">
        <v>302</v>
      </c>
      <c r="L116" s="210" t="s">
        <v>263</v>
      </c>
      <c r="M116" s="210">
        <v>1</v>
      </c>
      <c r="N116" s="482" t="s">
        <v>69</v>
      </c>
      <c r="O116" s="218">
        <v>96</v>
      </c>
      <c r="P116" s="483">
        <v>230</v>
      </c>
      <c r="Q116" s="216">
        <v>113</v>
      </c>
      <c r="R116" s="216">
        <v>163</v>
      </c>
      <c r="S116" s="216">
        <v>213</v>
      </c>
      <c r="T116" s="216">
        <v>230</v>
      </c>
      <c r="U116" s="211"/>
      <c r="V116" s="64">
        <v>4</v>
      </c>
      <c r="W116" s="126" t="s">
        <v>110</v>
      </c>
      <c r="X116" s="176"/>
      <c r="Y116" s="176"/>
      <c r="Z116" s="176"/>
      <c r="AA116" s="176"/>
      <c r="AB116" s="176"/>
      <c r="AC116" s="176"/>
      <c r="AD116" s="176"/>
      <c r="AE116" s="176"/>
      <c r="AF116" s="176"/>
      <c r="AG116" s="69">
        <f t="shared" si="165"/>
        <v>0</v>
      </c>
      <c r="AH116" s="78"/>
      <c r="AI116" s="78"/>
      <c r="AJ116" s="78"/>
      <c r="AK116" s="78"/>
      <c r="AL116" s="78"/>
      <c r="AM116" s="78"/>
      <c r="AN116" s="78"/>
      <c r="AO116" s="78"/>
      <c r="AP116" s="78"/>
      <c r="AQ116" s="71">
        <f t="shared" si="166"/>
        <v>0</v>
      </c>
      <c r="AR116" s="511"/>
      <c r="AS116" s="511"/>
      <c r="AT116" s="511"/>
      <c r="AU116" s="511"/>
      <c r="AV116" s="511"/>
      <c r="AW116" s="511"/>
      <c r="AX116" s="511"/>
      <c r="AY116" s="511"/>
      <c r="AZ116" s="511"/>
      <c r="BA116" s="511"/>
      <c r="BB116" s="78"/>
      <c r="BC116" s="78"/>
      <c r="BD116" s="78"/>
      <c r="BE116" s="78"/>
      <c r="BF116" s="78"/>
      <c r="BG116" s="78"/>
      <c r="BH116" s="78"/>
      <c r="BI116" s="78"/>
      <c r="BJ116" s="78"/>
      <c r="BK116" s="78"/>
      <c r="BL116" s="603">
        <f t="shared" si="167"/>
        <v>0</v>
      </c>
    </row>
    <row r="117" spans="1:65" ht="57.75" customHeight="1" x14ac:dyDescent="0.2">
      <c r="A117" s="74">
        <v>82</v>
      </c>
      <c r="B117" s="56">
        <v>3</v>
      </c>
      <c r="C117" s="124"/>
      <c r="D117" s="124"/>
      <c r="E117" s="81">
        <v>19</v>
      </c>
      <c r="F117" s="57" t="s">
        <v>303</v>
      </c>
      <c r="G117" s="167" t="s">
        <v>304</v>
      </c>
      <c r="H117" s="167" t="s">
        <v>305</v>
      </c>
      <c r="I117" s="59">
        <v>80</v>
      </c>
      <c r="J117" s="60" t="s">
        <v>306</v>
      </c>
      <c r="K117" s="209" t="s">
        <v>307</v>
      </c>
      <c r="L117" s="210" t="s">
        <v>263</v>
      </c>
      <c r="M117" s="210">
        <v>1</v>
      </c>
      <c r="N117" s="482" t="s">
        <v>69</v>
      </c>
      <c r="O117" s="486">
        <v>2906</v>
      </c>
      <c r="P117" s="483">
        <v>4700</v>
      </c>
      <c r="Q117" s="216">
        <v>3130</v>
      </c>
      <c r="R117" s="216">
        <v>3803</v>
      </c>
      <c r="S117" s="216">
        <v>4476</v>
      </c>
      <c r="T117" s="216">
        <v>4700</v>
      </c>
      <c r="U117" s="211"/>
      <c r="V117" s="64">
        <v>4</v>
      </c>
      <c r="W117" s="126" t="s">
        <v>110</v>
      </c>
      <c r="X117" s="176"/>
      <c r="Y117" s="176"/>
      <c r="Z117" s="176"/>
      <c r="AA117" s="176"/>
      <c r="AB117" s="176"/>
      <c r="AC117" s="176"/>
      <c r="AD117" s="176"/>
      <c r="AE117" s="176"/>
      <c r="AF117" s="176"/>
      <c r="AG117" s="69">
        <f t="shared" si="165"/>
        <v>0</v>
      </c>
      <c r="AH117" s="78"/>
      <c r="AI117" s="78"/>
      <c r="AJ117" s="78"/>
      <c r="AK117" s="78"/>
      <c r="AL117" s="78"/>
      <c r="AM117" s="78"/>
      <c r="AN117" s="78"/>
      <c r="AO117" s="78"/>
      <c r="AP117" s="78"/>
      <c r="AQ117" s="71">
        <f t="shared" si="166"/>
        <v>0</v>
      </c>
      <c r="AR117" s="511"/>
      <c r="AS117" s="511"/>
      <c r="AT117" s="511"/>
      <c r="AU117" s="511"/>
      <c r="AV117" s="511"/>
      <c r="AW117" s="511"/>
      <c r="AX117" s="511"/>
      <c r="AY117" s="511"/>
      <c r="AZ117" s="511"/>
      <c r="BA117" s="511"/>
      <c r="BB117" s="78"/>
      <c r="BC117" s="78"/>
      <c r="BD117" s="78"/>
      <c r="BE117" s="78"/>
      <c r="BF117" s="78"/>
      <c r="BG117" s="78"/>
      <c r="BH117" s="78"/>
      <c r="BI117" s="78"/>
      <c r="BJ117" s="78"/>
      <c r="BK117" s="78"/>
      <c r="BL117" s="603">
        <f t="shared" si="167"/>
        <v>0</v>
      </c>
    </row>
    <row r="118" spans="1:65" ht="89.25" customHeight="1" x14ac:dyDescent="0.2">
      <c r="A118" s="56">
        <v>83</v>
      </c>
      <c r="B118" s="56">
        <v>3</v>
      </c>
      <c r="C118" s="124"/>
      <c r="D118" s="124"/>
      <c r="E118" s="79">
        <v>19</v>
      </c>
      <c r="F118" s="107" t="s">
        <v>303</v>
      </c>
      <c r="G118" s="228" t="s">
        <v>304</v>
      </c>
      <c r="H118" s="228" t="s">
        <v>305</v>
      </c>
      <c r="I118" s="59">
        <v>81</v>
      </c>
      <c r="J118" s="60" t="s">
        <v>308</v>
      </c>
      <c r="K118" s="209" t="s">
        <v>309</v>
      </c>
      <c r="L118" s="210" t="s">
        <v>263</v>
      </c>
      <c r="M118" s="210">
        <v>1</v>
      </c>
      <c r="N118" s="482" t="s">
        <v>69</v>
      </c>
      <c r="O118" s="535">
        <v>13</v>
      </c>
      <c r="P118" s="535">
        <v>41</v>
      </c>
      <c r="Q118" s="216">
        <v>17</v>
      </c>
      <c r="R118" s="216">
        <v>27</v>
      </c>
      <c r="S118" s="216">
        <v>38</v>
      </c>
      <c r="T118" s="216">
        <v>41</v>
      </c>
      <c r="U118" s="211"/>
      <c r="V118" s="64">
        <v>4</v>
      </c>
      <c r="W118" s="126" t="s">
        <v>110</v>
      </c>
      <c r="X118" s="176"/>
      <c r="Y118" s="176"/>
      <c r="Z118" s="176"/>
      <c r="AA118" s="176"/>
      <c r="AB118" s="176"/>
      <c r="AC118" s="176"/>
      <c r="AD118" s="176"/>
      <c r="AE118" s="176"/>
      <c r="AF118" s="176"/>
      <c r="AG118" s="69">
        <f t="shared" si="165"/>
        <v>0</v>
      </c>
      <c r="AH118" s="78"/>
      <c r="AI118" s="78"/>
      <c r="AJ118" s="78"/>
      <c r="AK118" s="78"/>
      <c r="AL118" s="78"/>
      <c r="AM118" s="78"/>
      <c r="AN118" s="78"/>
      <c r="AO118" s="78"/>
      <c r="AP118" s="78"/>
      <c r="AQ118" s="71">
        <f t="shared" si="166"/>
        <v>0</v>
      </c>
      <c r="AR118" s="511"/>
      <c r="AS118" s="511"/>
      <c r="AT118" s="511"/>
      <c r="AU118" s="511"/>
      <c r="AV118" s="511"/>
      <c r="AW118" s="511"/>
      <c r="AX118" s="511"/>
      <c r="AY118" s="511"/>
      <c r="AZ118" s="511"/>
      <c r="BA118" s="511"/>
      <c r="BB118" s="78"/>
      <c r="BC118" s="78"/>
      <c r="BD118" s="78"/>
      <c r="BE118" s="78"/>
      <c r="BF118" s="78"/>
      <c r="BG118" s="78"/>
      <c r="BH118" s="78"/>
      <c r="BI118" s="78"/>
      <c r="BJ118" s="78"/>
      <c r="BK118" s="78"/>
      <c r="BL118" s="603">
        <f t="shared" si="167"/>
        <v>0</v>
      </c>
    </row>
    <row r="119" spans="1:65" ht="89.25" customHeight="1" x14ac:dyDescent="0.2">
      <c r="A119" s="74">
        <v>84</v>
      </c>
      <c r="B119" s="56">
        <v>3</v>
      </c>
      <c r="C119" s="124"/>
      <c r="D119" s="124"/>
      <c r="E119" s="506"/>
      <c r="F119" s="97"/>
      <c r="G119" s="492"/>
      <c r="H119" s="492"/>
      <c r="I119" s="59">
        <v>82</v>
      </c>
      <c r="J119" s="60" t="s">
        <v>310</v>
      </c>
      <c r="K119" s="209" t="s">
        <v>311</v>
      </c>
      <c r="L119" s="210" t="s">
        <v>263</v>
      </c>
      <c r="M119" s="210">
        <v>1</v>
      </c>
      <c r="N119" s="482" t="s">
        <v>69</v>
      </c>
      <c r="O119" s="535">
        <v>14</v>
      </c>
      <c r="P119" s="535">
        <v>40</v>
      </c>
      <c r="Q119" s="216">
        <v>17</v>
      </c>
      <c r="R119" s="216">
        <v>27</v>
      </c>
      <c r="S119" s="216">
        <v>37</v>
      </c>
      <c r="T119" s="216">
        <v>40</v>
      </c>
      <c r="U119" s="211"/>
      <c r="V119" s="64">
        <v>4</v>
      </c>
      <c r="W119" s="126" t="s">
        <v>110</v>
      </c>
      <c r="X119" s="176"/>
      <c r="Y119" s="176"/>
      <c r="Z119" s="176"/>
      <c r="AA119" s="176"/>
      <c r="AB119" s="176"/>
      <c r="AC119" s="176"/>
      <c r="AD119" s="176"/>
      <c r="AE119" s="176"/>
      <c r="AF119" s="176"/>
      <c r="AG119" s="69">
        <f t="shared" si="165"/>
        <v>0</v>
      </c>
      <c r="AH119" s="78"/>
      <c r="AI119" s="78"/>
      <c r="AJ119" s="78"/>
      <c r="AK119" s="78"/>
      <c r="AL119" s="78"/>
      <c r="AM119" s="78"/>
      <c r="AN119" s="78"/>
      <c r="AO119" s="78"/>
      <c r="AP119" s="78"/>
      <c r="AQ119" s="71">
        <f t="shared" si="166"/>
        <v>0</v>
      </c>
      <c r="AR119" s="511"/>
      <c r="AS119" s="511"/>
      <c r="AT119" s="511"/>
      <c r="AU119" s="511"/>
      <c r="AV119" s="511"/>
      <c r="AW119" s="511"/>
      <c r="AX119" s="511"/>
      <c r="AY119" s="511"/>
      <c r="AZ119" s="511"/>
      <c r="BA119" s="511"/>
      <c r="BB119" s="78"/>
      <c r="BC119" s="78"/>
      <c r="BD119" s="78"/>
      <c r="BE119" s="78"/>
      <c r="BF119" s="78"/>
      <c r="BG119" s="78"/>
      <c r="BH119" s="78"/>
      <c r="BI119" s="78"/>
      <c r="BJ119" s="78"/>
      <c r="BK119" s="78"/>
      <c r="BL119" s="603">
        <f t="shared" si="167"/>
        <v>0</v>
      </c>
    </row>
    <row r="120" spans="1:65" ht="24.75" customHeight="1" x14ac:dyDescent="0.2">
      <c r="A120" s="74"/>
      <c r="B120" s="56"/>
      <c r="C120" s="124"/>
      <c r="D120" s="124"/>
      <c r="E120" s="44">
        <v>20</v>
      </c>
      <c r="F120" s="45" t="s">
        <v>312</v>
      </c>
      <c r="G120" s="47"/>
      <c r="H120" s="84"/>
      <c r="I120" s="47"/>
      <c r="J120" s="84"/>
      <c r="K120" s="84"/>
      <c r="L120" s="47"/>
      <c r="M120" s="47"/>
      <c r="N120" s="85"/>
      <c r="O120" s="84"/>
      <c r="P120" s="84"/>
      <c r="Q120" s="86"/>
      <c r="R120" s="84"/>
      <c r="S120" s="84"/>
      <c r="T120" s="47"/>
      <c r="U120" s="87"/>
      <c r="V120" s="47"/>
      <c r="W120" s="47"/>
      <c r="X120" s="88">
        <f t="shared" ref="X120:AF120" si="168">SUM(X121:X130)</f>
        <v>0</v>
      </c>
      <c r="Y120" s="88">
        <f t="shared" si="168"/>
        <v>0</v>
      </c>
      <c r="Z120" s="88">
        <f t="shared" si="168"/>
        <v>50000000</v>
      </c>
      <c r="AA120" s="88">
        <f t="shared" si="168"/>
        <v>0</v>
      </c>
      <c r="AB120" s="88">
        <f t="shared" si="168"/>
        <v>0</v>
      </c>
      <c r="AC120" s="88">
        <f t="shared" si="168"/>
        <v>0</v>
      </c>
      <c r="AD120" s="88">
        <f t="shared" si="168"/>
        <v>0</v>
      </c>
      <c r="AE120" s="88">
        <f t="shared" si="168"/>
        <v>0</v>
      </c>
      <c r="AF120" s="88">
        <f t="shared" si="168"/>
        <v>4200000000</v>
      </c>
      <c r="AG120" s="89">
        <f>SUM(AG121:AG130)</f>
        <v>4250000000</v>
      </c>
      <c r="AH120" s="88">
        <f t="shared" ref="AH120:AQ120" si="169">SUM(AH121:AH130)</f>
        <v>0</v>
      </c>
      <c r="AI120" s="88">
        <f t="shared" si="169"/>
        <v>0</v>
      </c>
      <c r="AJ120" s="88">
        <f t="shared" si="169"/>
        <v>50000000</v>
      </c>
      <c r="AK120" s="88">
        <f t="shared" si="169"/>
        <v>0</v>
      </c>
      <c r="AL120" s="88">
        <f t="shared" si="169"/>
        <v>0</v>
      </c>
      <c r="AM120" s="88">
        <f t="shared" si="169"/>
        <v>0</v>
      </c>
      <c r="AN120" s="88">
        <f t="shared" si="169"/>
        <v>0</v>
      </c>
      <c r="AO120" s="88">
        <f t="shared" si="169"/>
        <v>0</v>
      </c>
      <c r="AP120" s="88">
        <f t="shared" si="169"/>
        <v>5295276423</v>
      </c>
      <c r="AQ120" s="88">
        <f t="shared" si="169"/>
        <v>5345276423</v>
      </c>
      <c r="AR120" s="90"/>
      <c r="AS120" s="90"/>
      <c r="AT120" s="90"/>
      <c r="AU120" s="90"/>
      <c r="AV120" s="90"/>
      <c r="AW120" s="90"/>
      <c r="AX120" s="90"/>
      <c r="AY120" s="90"/>
      <c r="AZ120" s="90"/>
      <c r="BA120" s="88">
        <f t="shared" ref="BA120" si="170">SUM(BA121:BA130)</f>
        <v>6020000000</v>
      </c>
      <c r="BB120" s="90"/>
      <c r="BC120" s="90"/>
      <c r="BD120" s="90"/>
      <c r="BE120" s="90"/>
      <c r="BF120" s="90"/>
      <c r="BG120" s="90"/>
      <c r="BH120" s="90"/>
      <c r="BI120" s="90"/>
      <c r="BJ120" s="90"/>
      <c r="BK120" s="88">
        <f t="shared" ref="BK120:BL120" si="171">SUM(BK121:BK130)</f>
        <v>4020000000</v>
      </c>
      <c r="BL120" s="88">
        <f t="shared" si="171"/>
        <v>19635276423</v>
      </c>
    </row>
    <row r="121" spans="1:65" ht="101.25" customHeight="1" x14ac:dyDescent="0.2">
      <c r="A121" s="56">
        <v>85</v>
      </c>
      <c r="B121" s="56">
        <v>3</v>
      </c>
      <c r="C121" s="124"/>
      <c r="D121" s="124"/>
      <c r="E121" s="510"/>
      <c r="F121" s="415"/>
      <c r="G121" s="491"/>
      <c r="H121" s="491"/>
      <c r="I121" s="64">
        <v>83</v>
      </c>
      <c r="J121" s="60" t="s">
        <v>313</v>
      </c>
      <c r="K121" s="229" t="s">
        <v>314</v>
      </c>
      <c r="L121" s="210" t="s">
        <v>263</v>
      </c>
      <c r="M121" s="210">
        <v>1</v>
      </c>
      <c r="N121" s="215" t="s">
        <v>69</v>
      </c>
      <c r="O121" s="218">
        <v>0</v>
      </c>
      <c r="P121" s="216">
        <v>54</v>
      </c>
      <c r="Q121" s="216">
        <v>4</v>
      </c>
      <c r="R121" s="216">
        <v>27</v>
      </c>
      <c r="S121" s="216">
        <v>47</v>
      </c>
      <c r="T121" s="216">
        <v>54</v>
      </c>
      <c r="U121" s="230"/>
      <c r="V121" s="64">
        <v>4</v>
      </c>
      <c r="W121" s="126" t="s">
        <v>110</v>
      </c>
      <c r="X121" s="176"/>
      <c r="Y121" s="176">
        <v>0</v>
      </c>
      <c r="Z121" s="176"/>
      <c r="AA121" s="176"/>
      <c r="AB121" s="176"/>
      <c r="AC121" s="176"/>
      <c r="AD121" s="176"/>
      <c r="AE121" s="176"/>
      <c r="AF121" s="176"/>
      <c r="AG121" s="69">
        <f t="shared" ref="AG121:AG130" si="172">+X121+Y121+Z121+AA121+AB121+AC121+AD121+AE121+AF121</f>
        <v>0</v>
      </c>
      <c r="AH121" s="78"/>
      <c r="AI121" s="78"/>
      <c r="AJ121" s="78"/>
      <c r="AK121" s="78"/>
      <c r="AL121" s="78"/>
      <c r="AM121" s="78"/>
      <c r="AN121" s="78"/>
      <c r="AO121" s="78"/>
      <c r="AP121" s="78"/>
      <c r="AQ121" s="71">
        <f t="shared" ref="AQ121:AQ130" si="173">AH121+AI121+AJ121+AK121+AL121+AM121+AN121+AO121+AP121</f>
        <v>0</v>
      </c>
      <c r="AR121" s="511"/>
      <c r="AS121" s="511"/>
      <c r="AT121" s="511"/>
      <c r="AU121" s="511"/>
      <c r="AV121" s="511"/>
      <c r="AW121" s="511"/>
      <c r="AX121" s="511"/>
      <c r="AY121" s="511"/>
      <c r="AZ121" s="511"/>
      <c r="BA121" s="511">
        <f>SUM(AH121:AZ121)</f>
        <v>0</v>
      </c>
      <c r="BB121" s="78"/>
      <c r="BC121" s="78"/>
      <c r="BD121" s="78"/>
      <c r="BE121" s="78"/>
      <c r="BF121" s="78"/>
      <c r="BG121" s="78"/>
      <c r="BH121" s="78"/>
      <c r="BI121" s="78"/>
      <c r="BJ121" s="78"/>
      <c r="BK121" s="78">
        <f t="shared" ref="BK121:BK130" si="174">SUM(BB121:BJ121)</f>
        <v>0</v>
      </c>
      <c r="BL121" s="603">
        <f t="shared" ref="BL121:BL130" si="175">AG121+AQ121+BA121+BK121</f>
        <v>0</v>
      </c>
    </row>
    <row r="122" spans="1:65" ht="92.25" customHeight="1" x14ac:dyDescent="0.2">
      <c r="A122" s="74">
        <v>86</v>
      </c>
      <c r="B122" s="56">
        <v>3</v>
      </c>
      <c r="C122" s="124"/>
      <c r="D122" s="124"/>
      <c r="E122" s="79"/>
      <c r="F122" s="94"/>
      <c r="G122" s="490"/>
      <c r="H122" s="490"/>
      <c r="I122" s="64">
        <v>84</v>
      </c>
      <c r="J122" s="60" t="s">
        <v>315</v>
      </c>
      <c r="K122" s="229" t="s">
        <v>316</v>
      </c>
      <c r="L122" s="210" t="s">
        <v>263</v>
      </c>
      <c r="M122" s="210">
        <v>1</v>
      </c>
      <c r="N122" s="215" t="s">
        <v>69</v>
      </c>
      <c r="O122" s="218">
        <v>0</v>
      </c>
      <c r="P122" s="216">
        <v>30</v>
      </c>
      <c r="Q122" s="216">
        <v>3.75</v>
      </c>
      <c r="R122" s="216">
        <v>15</v>
      </c>
      <c r="S122" s="216">
        <v>26</v>
      </c>
      <c r="T122" s="216">
        <v>30</v>
      </c>
      <c r="U122" s="230"/>
      <c r="V122" s="64">
        <v>4</v>
      </c>
      <c r="W122" s="126" t="s">
        <v>110</v>
      </c>
      <c r="X122" s="176"/>
      <c r="Y122" s="176"/>
      <c r="Z122" s="176"/>
      <c r="AA122" s="176"/>
      <c r="AB122" s="176"/>
      <c r="AC122" s="176"/>
      <c r="AD122" s="176"/>
      <c r="AE122" s="176"/>
      <c r="AF122" s="176"/>
      <c r="AG122" s="69">
        <f t="shared" si="172"/>
        <v>0</v>
      </c>
      <c r="AH122" s="78"/>
      <c r="AI122" s="78"/>
      <c r="AJ122" s="78"/>
      <c r="AK122" s="78"/>
      <c r="AL122" s="78"/>
      <c r="AM122" s="78"/>
      <c r="AN122" s="78"/>
      <c r="AO122" s="78"/>
      <c r="AP122" s="78"/>
      <c r="AQ122" s="71">
        <f t="shared" si="173"/>
        <v>0</v>
      </c>
      <c r="AR122" s="511"/>
      <c r="AS122" s="511"/>
      <c r="AT122" s="511"/>
      <c r="AU122" s="511"/>
      <c r="AV122" s="511"/>
      <c r="AW122" s="511"/>
      <c r="AX122" s="511"/>
      <c r="AY122" s="511"/>
      <c r="AZ122" s="511"/>
      <c r="BA122" s="511">
        <f t="shared" ref="BA122:BA130" si="176">SUM(AR122:AZ122)</f>
        <v>0</v>
      </c>
      <c r="BB122" s="78"/>
      <c r="BC122" s="78"/>
      <c r="BD122" s="78"/>
      <c r="BE122" s="78"/>
      <c r="BF122" s="78"/>
      <c r="BG122" s="78"/>
      <c r="BH122" s="78"/>
      <c r="BI122" s="78"/>
      <c r="BJ122" s="78"/>
      <c r="BK122" s="78">
        <f t="shared" si="174"/>
        <v>0</v>
      </c>
      <c r="BL122" s="603">
        <f t="shared" si="175"/>
        <v>0</v>
      </c>
    </row>
    <row r="123" spans="1:65" ht="78" customHeight="1" x14ac:dyDescent="0.2">
      <c r="A123" s="56">
        <v>87</v>
      </c>
      <c r="B123" s="56">
        <v>3</v>
      </c>
      <c r="C123" s="124"/>
      <c r="D123" s="124"/>
      <c r="E123" s="506">
        <v>16</v>
      </c>
      <c r="F123" s="517" t="s">
        <v>291</v>
      </c>
      <c r="G123" s="492">
        <v>45</v>
      </c>
      <c r="H123" s="492">
        <v>90</v>
      </c>
      <c r="I123" s="64">
        <v>85</v>
      </c>
      <c r="J123" s="60" t="s">
        <v>317</v>
      </c>
      <c r="K123" s="229" t="s">
        <v>318</v>
      </c>
      <c r="L123" s="210" t="s">
        <v>263</v>
      </c>
      <c r="M123" s="210">
        <v>1</v>
      </c>
      <c r="N123" s="215" t="s">
        <v>69</v>
      </c>
      <c r="O123" s="218">
        <v>0</v>
      </c>
      <c r="P123" s="216">
        <v>30</v>
      </c>
      <c r="Q123" s="216">
        <v>4</v>
      </c>
      <c r="R123" s="216">
        <v>15</v>
      </c>
      <c r="S123" s="216">
        <v>26</v>
      </c>
      <c r="T123" s="216">
        <v>30</v>
      </c>
      <c r="U123" s="230"/>
      <c r="V123" s="64">
        <v>4</v>
      </c>
      <c r="W123" s="126" t="s">
        <v>110</v>
      </c>
      <c r="X123" s="176"/>
      <c r="Y123" s="176"/>
      <c r="Z123" s="176"/>
      <c r="AA123" s="176"/>
      <c r="AB123" s="176"/>
      <c r="AC123" s="176"/>
      <c r="AD123" s="176"/>
      <c r="AE123" s="176"/>
      <c r="AF123" s="176"/>
      <c r="AG123" s="69">
        <f t="shared" si="172"/>
        <v>0</v>
      </c>
      <c r="AH123" s="78"/>
      <c r="AI123" s="78"/>
      <c r="AJ123" s="78"/>
      <c r="AK123" s="78"/>
      <c r="AL123" s="78"/>
      <c r="AM123" s="78"/>
      <c r="AN123" s="78"/>
      <c r="AO123" s="78"/>
      <c r="AP123" s="78"/>
      <c r="AQ123" s="71">
        <f t="shared" si="173"/>
        <v>0</v>
      </c>
      <c r="AR123" s="511"/>
      <c r="AS123" s="511"/>
      <c r="AT123" s="511"/>
      <c r="AU123" s="511"/>
      <c r="AV123" s="511"/>
      <c r="AW123" s="511"/>
      <c r="AX123" s="511"/>
      <c r="AY123" s="511"/>
      <c r="AZ123" s="511"/>
      <c r="BA123" s="511">
        <f t="shared" si="176"/>
        <v>0</v>
      </c>
      <c r="BB123" s="78"/>
      <c r="BC123" s="78"/>
      <c r="BD123" s="78"/>
      <c r="BE123" s="78"/>
      <c r="BF123" s="78"/>
      <c r="BG123" s="78"/>
      <c r="BH123" s="78"/>
      <c r="BI123" s="78"/>
      <c r="BJ123" s="78"/>
      <c r="BK123" s="78">
        <f t="shared" si="174"/>
        <v>0</v>
      </c>
      <c r="BL123" s="603">
        <f t="shared" si="175"/>
        <v>0</v>
      </c>
    </row>
    <row r="124" spans="1:65" ht="83.25" customHeight="1" x14ac:dyDescent="0.2">
      <c r="A124" s="74">
        <v>88</v>
      </c>
      <c r="B124" s="56">
        <v>3</v>
      </c>
      <c r="C124" s="124"/>
      <c r="D124" s="124"/>
      <c r="E124" s="79"/>
      <c r="F124" s="94"/>
      <c r="G124" s="490"/>
      <c r="H124" s="490"/>
      <c r="I124" s="64">
        <v>86</v>
      </c>
      <c r="J124" s="60" t="s">
        <v>319</v>
      </c>
      <c r="K124" s="229" t="s">
        <v>320</v>
      </c>
      <c r="L124" s="210" t="s">
        <v>263</v>
      </c>
      <c r="M124" s="210">
        <v>1</v>
      </c>
      <c r="N124" s="215" t="s">
        <v>69</v>
      </c>
      <c r="O124" s="218">
        <v>0</v>
      </c>
      <c r="P124" s="216">
        <v>8</v>
      </c>
      <c r="Q124" s="216">
        <v>1</v>
      </c>
      <c r="R124" s="216">
        <v>4</v>
      </c>
      <c r="S124" s="216">
        <v>7</v>
      </c>
      <c r="T124" s="216">
        <v>8</v>
      </c>
      <c r="U124" s="230"/>
      <c r="V124" s="64">
        <v>4</v>
      </c>
      <c r="W124" s="126" t="s">
        <v>110</v>
      </c>
      <c r="X124" s="176"/>
      <c r="Y124" s="176"/>
      <c r="Z124" s="176"/>
      <c r="AA124" s="176"/>
      <c r="AB124" s="176"/>
      <c r="AC124" s="176"/>
      <c r="AD124" s="176"/>
      <c r="AE124" s="176"/>
      <c r="AF124" s="176"/>
      <c r="AG124" s="69">
        <f t="shared" si="172"/>
        <v>0</v>
      </c>
      <c r="AH124" s="78"/>
      <c r="AI124" s="78"/>
      <c r="AJ124" s="78"/>
      <c r="AK124" s="78"/>
      <c r="AL124" s="78"/>
      <c r="AM124" s="78"/>
      <c r="AN124" s="78"/>
      <c r="AO124" s="78"/>
      <c r="AP124" s="78"/>
      <c r="AQ124" s="71">
        <f t="shared" si="173"/>
        <v>0</v>
      </c>
      <c r="AR124" s="511"/>
      <c r="AS124" s="511"/>
      <c r="AT124" s="511"/>
      <c r="AU124" s="511"/>
      <c r="AV124" s="511"/>
      <c r="AW124" s="511"/>
      <c r="AX124" s="511"/>
      <c r="AY124" s="511"/>
      <c r="AZ124" s="511"/>
      <c r="BA124" s="511">
        <f t="shared" si="176"/>
        <v>0</v>
      </c>
      <c r="BB124" s="78"/>
      <c r="BC124" s="78"/>
      <c r="BD124" s="78"/>
      <c r="BE124" s="78"/>
      <c r="BF124" s="78"/>
      <c r="BG124" s="78"/>
      <c r="BH124" s="78"/>
      <c r="BI124" s="78"/>
      <c r="BJ124" s="78"/>
      <c r="BK124" s="78">
        <f t="shared" si="174"/>
        <v>0</v>
      </c>
      <c r="BL124" s="603">
        <f t="shared" si="175"/>
        <v>0</v>
      </c>
    </row>
    <row r="125" spans="1:65" ht="90.75" customHeight="1" x14ac:dyDescent="0.2">
      <c r="A125" s="56">
        <v>89</v>
      </c>
      <c r="B125" s="56">
        <v>3</v>
      </c>
      <c r="C125" s="124"/>
      <c r="D125" s="124"/>
      <c r="E125" s="506">
        <v>17</v>
      </c>
      <c r="F125" s="225" t="s">
        <v>296</v>
      </c>
      <c r="G125" s="226" t="s">
        <v>297</v>
      </c>
      <c r="H125" s="227">
        <v>0.5</v>
      </c>
      <c r="I125" s="64">
        <v>87</v>
      </c>
      <c r="J125" s="60" t="s">
        <v>321</v>
      </c>
      <c r="K125" s="229" t="s">
        <v>322</v>
      </c>
      <c r="L125" s="210" t="s">
        <v>263</v>
      </c>
      <c r="M125" s="210">
        <v>1</v>
      </c>
      <c r="N125" s="215" t="s">
        <v>54</v>
      </c>
      <c r="O125" s="218">
        <v>0</v>
      </c>
      <c r="P125" s="216">
        <v>30</v>
      </c>
      <c r="Q125" s="216">
        <v>30</v>
      </c>
      <c r="R125" s="216">
        <v>30</v>
      </c>
      <c r="S125" s="216">
        <v>30</v>
      </c>
      <c r="T125" s="216">
        <v>30</v>
      </c>
      <c r="U125" s="211">
        <f>AG125/$AG$120</f>
        <v>2.352941176470588E-3</v>
      </c>
      <c r="V125" s="64">
        <v>4</v>
      </c>
      <c r="W125" s="126" t="s">
        <v>110</v>
      </c>
      <c r="X125" s="176"/>
      <c r="Y125" s="176"/>
      <c r="Z125" s="176">
        <v>10000000</v>
      </c>
      <c r="AA125" s="176"/>
      <c r="AB125" s="176"/>
      <c r="AC125" s="176"/>
      <c r="AD125" s="176"/>
      <c r="AE125" s="176"/>
      <c r="AF125" s="176"/>
      <c r="AG125" s="69">
        <f t="shared" si="172"/>
        <v>10000000</v>
      </c>
      <c r="AH125" s="78"/>
      <c r="AI125" s="78"/>
      <c r="AJ125" s="78">
        <v>10000000</v>
      </c>
      <c r="AK125" s="78"/>
      <c r="AL125" s="78"/>
      <c r="AM125" s="78"/>
      <c r="AN125" s="78"/>
      <c r="AO125" s="78"/>
      <c r="AP125" s="78"/>
      <c r="AQ125" s="71">
        <f t="shared" si="173"/>
        <v>10000000</v>
      </c>
      <c r="AR125" s="511"/>
      <c r="AS125" s="511"/>
      <c r="AT125" s="511">
        <v>20000000</v>
      </c>
      <c r="AU125" s="511"/>
      <c r="AV125" s="511"/>
      <c r="AW125" s="511"/>
      <c r="AX125" s="511"/>
      <c r="AY125" s="511"/>
      <c r="AZ125" s="511"/>
      <c r="BA125" s="511">
        <f t="shared" si="176"/>
        <v>20000000</v>
      </c>
      <c r="BB125" s="78"/>
      <c r="BC125" s="78"/>
      <c r="BD125" s="78">
        <v>10000000</v>
      </c>
      <c r="BE125" s="78"/>
      <c r="BF125" s="78"/>
      <c r="BG125" s="78"/>
      <c r="BH125" s="78"/>
      <c r="BI125" s="78"/>
      <c r="BJ125" s="78"/>
      <c r="BK125" s="78">
        <f t="shared" si="174"/>
        <v>10000000</v>
      </c>
      <c r="BL125" s="603">
        <f t="shared" si="175"/>
        <v>50000000</v>
      </c>
    </row>
    <row r="126" spans="1:65" ht="70.5" customHeight="1" x14ac:dyDescent="0.2">
      <c r="A126" s="74">
        <v>90</v>
      </c>
      <c r="B126" s="56">
        <v>3</v>
      </c>
      <c r="C126" s="124"/>
      <c r="D126" s="124"/>
      <c r="E126" s="81">
        <v>18</v>
      </c>
      <c r="F126" s="57" t="s">
        <v>300</v>
      </c>
      <c r="G126" s="65">
        <v>6</v>
      </c>
      <c r="H126" s="65">
        <v>12</v>
      </c>
      <c r="I126" s="64">
        <v>88</v>
      </c>
      <c r="J126" s="60" t="s">
        <v>323</v>
      </c>
      <c r="K126" s="57" t="s">
        <v>324</v>
      </c>
      <c r="L126" s="210" t="s">
        <v>263</v>
      </c>
      <c r="M126" s="210">
        <v>1</v>
      </c>
      <c r="N126" s="482" t="s">
        <v>69</v>
      </c>
      <c r="O126" s="218">
        <v>21</v>
      </c>
      <c r="P126" s="483">
        <v>36</v>
      </c>
      <c r="Q126" s="216">
        <v>23</v>
      </c>
      <c r="R126" s="216">
        <v>29</v>
      </c>
      <c r="S126" s="216">
        <v>34</v>
      </c>
      <c r="T126" s="216">
        <v>36</v>
      </c>
      <c r="U126" s="230"/>
      <c r="V126" s="64">
        <v>4</v>
      </c>
      <c r="W126" s="126" t="s">
        <v>110</v>
      </c>
      <c r="X126" s="176"/>
      <c r="Y126" s="176"/>
      <c r="Z126" s="176"/>
      <c r="AA126" s="176"/>
      <c r="AB126" s="176"/>
      <c r="AC126" s="176"/>
      <c r="AD126" s="176"/>
      <c r="AE126" s="176"/>
      <c r="AF126" s="176"/>
      <c r="AG126" s="69">
        <f t="shared" si="172"/>
        <v>0</v>
      </c>
      <c r="AH126" s="78"/>
      <c r="AI126" s="78"/>
      <c r="AJ126" s="78"/>
      <c r="AK126" s="78"/>
      <c r="AL126" s="78"/>
      <c r="AM126" s="78"/>
      <c r="AN126" s="78"/>
      <c r="AO126" s="78"/>
      <c r="AP126" s="78"/>
      <c r="AQ126" s="71">
        <f t="shared" si="173"/>
        <v>0</v>
      </c>
      <c r="AR126" s="511"/>
      <c r="AS126" s="511"/>
      <c r="AT126" s="511"/>
      <c r="AU126" s="511"/>
      <c r="AV126" s="511"/>
      <c r="AW126" s="511"/>
      <c r="AX126" s="511"/>
      <c r="AY126" s="511"/>
      <c r="AZ126" s="511"/>
      <c r="BA126" s="511">
        <f t="shared" si="176"/>
        <v>0</v>
      </c>
      <c r="BB126" s="78"/>
      <c r="BC126" s="78"/>
      <c r="BD126" s="78"/>
      <c r="BE126" s="78"/>
      <c r="BF126" s="78"/>
      <c r="BG126" s="78"/>
      <c r="BH126" s="78"/>
      <c r="BI126" s="78"/>
      <c r="BJ126" s="78"/>
      <c r="BK126" s="78">
        <f t="shared" si="174"/>
        <v>0</v>
      </c>
      <c r="BL126" s="603">
        <f t="shared" si="175"/>
        <v>0</v>
      </c>
    </row>
    <row r="127" spans="1:65" ht="63" customHeight="1" x14ac:dyDescent="0.2">
      <c r="A127" s="56">
        <v>91</v>
      </c>
      <c r="B127" s="56">
        <v>3</v>
      </c>
      <c r="C127" s="124"/>
      <c r="D127" s="124"/>
      <c r="E127" s="79">
        <v>19</v>
      </c>
      <c r="F127" s="107" t="s">
        <v>303</v>
      </c>
      <c r="G127" s="228" t="s">
        <v>304</v>
      </c>
      <c r="H127" s="231" t="s">
        <v>305</v>
      </c>
      <c r="I127" s="64">
        <v>89</v>
      </c>
      <c r="J127" s="60" t="s">
        <v>325</v>
      </c>
      <c r="K127" s="229" t="s">
        <v>326</v>
      </c>
      <c r="L127" s="210" t="s">
        <v>263</v>
      </c>
      <c r="M127" s="210">
        <v>1</v>
      </c>
      <c r="N127" s="482" t="s">
        <v>69</v>
      </c>
      <c r="O127" s="218" t="s">
        <v>49</v>
      </c>
      <c r="P127" s="483">
        <v>20000</v>
      </c>
      <c r="Q127" s="216">
        <v>9000</v>
      </c>
      <c r="R127" s="483">
        <v>13000</v>
      </c>
      <c r="S127" s="216">
        <v>17500</v>
      </c>
      <c r="T127" s="216">
        <v>20000</v>
      </c>
      <c r="U127" s="230"/>
      <c r="V127" s="64">
        <v>4</v>
      </c>
      <c r="W127" s="126" t="s">
        <v>110</v>
      </c>
      <c r="X127" s="176"/>
      <c r="Y127" s="176"/>
      <c r="Z127" s="176"/>
      <c r="AA127" s="176"/>
      <c r="AB127" s="176"/>
      <c r="AC127" s="176"/>
      <c r="AD127" s="176"/>
      <c r="AE127" s="176"/>
      <c r="AF127" s="176"/>
      <c r="AG127" s="69">
        <f t="shared" si="172"/>
        <v>0</v>
      </c>
      <c r="AH127" s="78"/>
      <c r="AI127" s="78"/>
      <c r="AJ127" s="78"/>
      <c r="AK127" s="78"/>
      <c r="AL127" s="78"/>
      <c r="AM127" s="78"/>
      <c r="AN127" s="78"/>
      <c r="AO127" s="78"/>
      <c r="AP127" s="78"/>
      <c r="AQ127" s="71">
        <f t="shared" si="173"/>
        <v>0</v>
      </c>
      <c r="AR127" s="511"/>
      <c r="AS127" s="511"/>
      <c r="AT127" s="511"/>
      <c r="AU127" s="511"/>
      <c r="AV127" s="511"/>
      <c r="AW127" s="511"/>
      <c r="AX127" s="511"/>
      <c r="AY127" s="511"/>
      <c r="AZ127" s="511"/>
      <c r="BA127" s="511">
        <f t="shared" si="176"/>
        <v>0</v>
      </c>
      <c r="BB127" s="78"/>
      <c r="BC127" s="78"/>
      <c r="BD127" s="78"/>
      <c r="BE127" s="78"/>
      <c r="BF127" s="78"/>
      <c r="BG127" s="78"/>
      <c r="BH127" s="78"/>
      <c r="BI127" s="78"/>
      <c r="BJ127" s="78"/>
      <c r="BK127" s="78">
        <f t="shared" si="174"/>
        <v>0</v>
      </c>
      <c r="BL127" s="603">
        <f t="shared" si="175"/>
        <v>0</v>
      </c>
      <c r="BM127" s="73"/>
    </row>
    <row r="128" spans="1:65" ht="83.25" customHeight="1" x14ac:dyDescent="0.2">
      <c r="A128" s="74">
        <v>92</v>
      </c>
      <c r="B128" s="56">
        <v>3</v>
      </c>
      <c r="C128" s="124"/>
      <c r="D128" s="124"/>
      <c r="E128" s="79"/>
      <c r="F128" s="94"/>
      <c r="G128" s="232"/>
      <c r="H128" s="233"/>
      <c r="I128" s="64">
        <v>90</v>
      </c>
      <c r="J128" s="60" t="s">
        <v>327</v>
      </c>
      <c r="K128" s="229" t="s">
        <v>328</v>
      </c>
      <c r="L128" s="210" t="s">
        <v>263</v>
      </c>
      <c r="M128" s="210">
        <v>1</v>
      </c>
      <c r="N128" s="482" t="s">
        <v>69</v>
      </c>
      <c r="O128" s="218">
        <v>100</v>
      </c>
      <c r="P128" s="483">
        <v>130</v>
      </c>
      <c r="Q128" s="216">
        <v>104</v>
      </c>
      <c r="R128" s="216">
        <v>115</v>
      </c>
      <c r="S128" s="216">
        <v>126</v>
      </c>
      <c r="T128" s="216">
        <v>130</v>
      </c>
      <c r="U128" s="211">
        <f>AG128/$AG$120</f>
        <v>0.76235294117647057</v>
      </c>
      <c r="V128" s="64">
        <v>4</v>
      </c>
      <c r="W128" s="126" t="s">
        <v>110</v>
      </c>
      <c r="X128" s="176"/>
      <c r="Y128" s="176"/>
      <c r="Z128" s="176">
        <v>40000000</v>
      </c>
      <c r="AA128" s="176"/>
      <c r="AB128" s="176"/>
      <c r="AC128" s="176"/>
      <c r="AD128" s="176"/>
      <c r="AE128" s="176"/>
      <c r="AF128" s="176">
        <v>3200000000</v>
      </c>
      <c r="AG128" s="69">
        <f t="shared" si="172"/>
        <v>3240000000</v>
      </c>
      <c r="AH128" s="78"/>
      <c r="AI128" s="78"/>
      <c r="AJ128" s="78">
        <v>40000000</v>
      </c>
      <c r="AK128" s="78"/>
      <c r="AL128" s="78"/>
      <c r="AM128" s="78"/>
      <c r="AN128" s="78"/>
      <c r="AO128" s="511"/>
      <c r="AP128" s="78">
        <v>4295276423</v>
      </c>
      <c r="AQ128" s="71">
        <f t="shared" si="173"/>
        <v>4335276423</v>
      </c>
      <c r="AR128" s="511"/>
      <c r="AS128" s="511"/>
      <c r="AT128" s="511"/>
      <c r="AU128" s="511"/>
      <c r="AV128" s="511"/>
      <c r="AW128" s="511"/>
      <c r="AX128" s="511"/>
      <c r="AY128" s="511"/>
      <c r="AZ128" s="511">
        <f>6000000000-1000000000</f>
        <v>5000000000</v>
      </c>
      <c r="BA128" s="511">
        <f t="shared" si="176"/>
        <v>5000000000</v>
      </c>
      <c r="BB128" s="78"/>
      <c r="BC128" s="78"/>
      <c r="BD128" s="78">
        <v>10000000</v>
      </c>
      <c r="BE128" s="78"/>
      <c r="BF128" s="78"/>
      <c r="BG128" s="78"/>
      <c r="BH128" s="78"/>
      <c r="BI128" s="78"/>
      <c r="BJ128" s="78">
        <v>3000000000</v>
      </c>
      <c r="BK128" s="78">
        <f t="shared" si="174"/>
        <v>3010000000</v>
      </c>
      <c r="BL128" s="603">
        <f t="shared" si="175"/>
        <v>15585276423</v>
      </c>
    </row>
    <row r="129" spans="1:65" ht="84" customHeight="1" x14ac:dyDescent="0.2">
      <c r="A129" s="74"/>
      <c r="B129" s="56"/>
      <c r="C129" s="124"/>
      <c r="D129" s="124"/>
      <c r="E129" s="79"/>
      <c r="F129" s="94"/>
      <c r="G129" s="490"/>
      <c r="H129" s="490"/>
      <c r="I129" s="64">
        <v>91</v>
      </c>
      <c r="J129" s="60" t="s">
        <v>329</v>
      </c>
      <c r="K129" s="229" t="s">
        <v>330</v>
      </c>
      <c r="L129" s="210" t="s">
        <v>263</v>
      </c>
      <c r="M129" s="210">
        <v>1</v>
      </c>
      <c r="N129" s="215" t="s">
        <v>54</v>
      </c>
      <c r="O129" s="218">
        <v>0</v>
      </c>
      <c r="P129" s="216">
        <v>54</v>
      </c>
      <c r="Q129" s="216">
        <v>54</v>
      </c>
      <c r="R129" s="216">
        <v>54</v>
      </c>
      <c r="S129" s="216">
        <v>54</v>
      </c>
      <c r="T129" s="216">
        <v>54</v>
      </c>
      <c r="U129" s="211">
        <f>AG129/$AG$120</f>
        <v>0.23529411764705882</v>
      </c>
      <c r="V129" s="64">
        <v>4</v>
      </c>
      <c r="W129" s="126" t="s">
        <v>110</v>
      </c>
      <c r="X129" s="176"/>
      <c r="Y129" s="176"/>
      <c r="Z129" s="176"/>
      <c r="AA129" s="176"/>
      <c r="AB129" s="176"/>
      <c r="AC129" s="176"/>
      <c r="AD129" s="176"/>
      <c r="AE129" s="176"/>
      <c r="AF129" s="176">
        <v>1000000000</v>
      </c>
      <c r="AG129" s="69">
        <f t="shared" si="172"/>
        <v>1000000000</v>
      </c>
      <c r="AH129" s="78"/>
      <c r="AI129" s="78"/>
      <c r="AJ129" s="78"/>
      <c r="AK129" s="78"/>
      <c r="AL129" s="78"/>
      <c r="AM129" s="78"/>
      <c r="AN129" s="78"/>
      <c r="AO129" s="511"/>
      <c r="AP129" s="78">
        <v>1000000000</v>
      </c>
      <c r="AQ129" s="71">
        <f t="shared" si="173"/>
        <v>1000000000</v>
      </c>
      <c r="AR129" s="511"/>
      <c r="AS129" s="511"/>
      <c r="AT129" s="511"/>
      <c r="AU129" s="511"/>
      <c r="AV129" s="511"/>
      <c r="AW129" s="511"/>
      <c r="AX129" s="511"/>
      <c r="AY129" s="511"/>
      <c r="AZ129" s="511">
        <v>1000000000</v>
      </c>
      <c r="BA129" s="511">
        <f t="shared" si="176"/>
        <v>1000000000</v>
      </c>
      <c r="BB129" s="78"/>
      <c r="BC129" s="78"/>
      <c r="BD129" s="78"/>
      <c r="BE129" s="78"/>
      <c r="BF129" s="78"/>
      <c r="BG129" s="78"/>
      <c r="BH129" s="78"/>
      <c r="BI129" s="78"/>
      <c r="BJ129" s="78">
        <v>1000000000</v>
      </c>
      <c r="BK129" s="78">
        <f t="shared" si="174"/>
        <v>1000000000</v>
      </c>
      <c r="BL129" s="603">
        <f t="shared" si="175"/>
        <v>4000000000</v>
      </c>
    </row>
    <row r="130" spans="1:65" ht="93" customHeight="1" x14ac:dyDescent="0.2">
      <c r="A130" s="56">
        <v>93</v>
      </c>
      <c r="B130" s="56">
        <v>3</v>
      </c>
      <c r="C130" s="124"/>
      <c r="D130" s="124"/>
      <c r="E130" s="506"/>
      <c r="F130" s="97"/>
      <c r="G130" s="492"/>
      <c r="H130" s="492"/>
      <c r="I130" s="64">
        <v>92</v>
      </c>
      <c r="J130" s="60" t="s">
        <v>331</v>
      </c>
      <c r="K130" s="229" t="s">
        <v>332</v>
      </c>
      <c r="L130" s="210" t="s">
        <v>263</v>
      </c>
      <c r="M130" s="210">
        <v>1</v>
      </c>
      <c r="N130" s="215" t="s">
        <v>69</v>
      </c>
      <c r="O130" s="218">
        <v>0</v>
      </c>
      <c r="P130" s="216">
        <v>6</v>
      </c>
      <c r="Q130" s="216">
        <v>1</v>
      </c>
      <c r="R130" s="216">
        <v>2</v>
      </c>
      <c r="S130" s="216">
        <v>2</v>
      </c>
      <c r="T130" s="216">
        <v>1</v>
      </c>
      <c r="U130" s="230"/>
      <c r="V130" s="64">
        <v>4</v>
      </c>
      <c r="W130" s="126" t="s">
        <v>110</v>
      </c>
      <c r="X130" s="176"/>
      <c r="Y130" s="176"/>
      <c r="Z130" s="176"/>
      <c r="AA130" s="176"/>
      <c r="AB130" s="176"/>
      <c r="AC130" s="176"/>
      <c r="AD130" s="176"/>
      <c r="AE130" s="176"/>
      <c r="AF130" s="176"/>
      <c r="AG130" s="69">
        <f t="shared" si="172"/>
        <v>0</v>
      </c>
      <c r="AH130" s="78"/>
      <c r="AI130" s="78"/>
      <c r="AJ130" s="78"/>
      <c r="AK130" s="78"/>
      <c r="AL130" s="78"/>
      <c r="AM130" s="78"/>
      <c r="AN130" s="78"/>
      <c r="AO130" s="78"/>
      <c r="AP130" s="78"/>
      <c r="AQ130" s="71">
        <f t="shared" si="173"/>
        <v>0</v>
      </c>
      <c r="AR130" s="511"/>
      <c r="AS130" s="511"/>
      <c r="AT130" s="511"/>
      <c r="AU130" s="511"/>
      <c r="AV130" s="511"/>
      <c r="AW130" s="511"/>
      <c r="AX130" s="511"/>
      <c r="AY130" s="511"/>
      <c r="AZ130" s="511"/>
      <c r="BA130" s="511">
        <f t="shared" si="176"/>
        <v>0</v>
      </c>
      <c r="BB130" s="78"/>
      <c r="BC130" s="78"/>
      <c r="BD130" s="78"/>
      <c r="BE130" s="78"/>
      <c r="BF130" s="78"/>
      <c r="BG130" s="78"/>
      <c r="BH130" s="78"/>
      <c r="BI130" s="78"/>
      <c r="BJ130" s="78"/>
      <c r="BK130" s="78">
        <f t="shared" si="174"/>
        <v>0</v>
      </c>
      <c r="BL130" s="603">
        <f t="shared" si="175"/>
        <v>0</v>
      </c>
    </row>
    <row r="131" spans="1:65" ht="24.75" customHeight="1" x14ac:dyDescent="0.2">
      <c r="A131" s="56"/>
      <c r="B131" s="56"/>
      <c r="C131" s="124"/>
      <c r="D131" s="124"/>
      <c r="E131" s="44">
        <v>21</v>
      </c>
      <c r="F131" s="45" t="s">
        <v>333</v>
      </c>
      <c r="G131" s="44"/>
      <c r="H131" s="175"/>
      <c r="I131" s="44"/>
      <c r="J131" s="175"/>
      <c r="K131" s="84"/>
      <c r="L131" s="47"/>
      <c r="M131" s="47"/>
      <c r="N131" s="85"/>
      <c r="O131" s="84"/>
      <c r="P131" s="84"/>
      <c r="Q131" s="86"/>
      <c r="R131" s="84"/>
      <c r="S131" s="84"/>
      <c r="T131" s="47"/>
      <c r="U131" s="87"/>
      <c r="V131" s="47"/>
      <c r="W131" s="47"/>
      <c r="X131" s="88">
        <f t="shared" ref="X131:AF131" si="177">SUM(X132:X135)</f>
        <v>0</v>
      </c>
      <c r="Y131" s="88">
        <f t="shared" si="177"/>
        <v>0</v>
      </c>
      <c r="Z131" s="88">
        <f t="shared" si="177"/>
        <v>25000000</v>
      </c>
      <c r="AA131" s="88">
        <f t="shared" si="177"/>
        <v>0</v>
      </c>
      <c r="AB131" s="88">
        <f t="shared" si="177"/>
        <v>0</v>
      </c>
      <c r="AC131" s="88">
        <f t="shared" si="177"/>
        <v>0</v>
      </c>
      <c r="AD131" s="88">
        <f t="shared" si="177"/>
        <v>250000000</v>
      </c>
      <c r="AE131" s="88">
        <f t="shared" si="177"/>
        <v>0</v>
      </c>
      <c r="AF131" s="88">
        <f t="shared" si="177"/>
        <v>0</v>
      </c>
      <c r="AG131" s="89">
        <f>SUM(AG132:AG135)</f>
        <v>275000000</v>
      </c>
      <c r="AH131" s="88">
        <f t="shared" ref="AH131:AQ131" si="178">SUM(AH132:AH135)</f>
        <v>0</v>
      </c>
      <c r="AI131" s="88">
        <f t="shared" si="178"/>
        <v>0</v>
      </c>
      <c r="AJ131" s="88">
        <f t="shared" si="178"/>
        <v>30000000</v>
      </c>
      <c r="AK131" s="88">
        <f t="shared" si="178"/>
        <v>0</v>
      </c>
      <c r="AL131" s="88">
        <f t="shared" si="178"/>
        <v>0</v>
      </c>
      <c r="AM131" s="88">
        <f t="shared" si="178"/>
        <v>0</v>
      </c>
      <c r="AN131" s="88">
        <f t="shared" si="178"/>
        <v>257500000</v>
      </c>
      <c r="AO131" s="88">
        <f t="shared" si="178"/>
        <v>0</v>
      </c>
      <c r="AP131" s="88">
        <f t="shared" si="178"/>
        <v>0</v>
      </c>
      <c r="AQ131" s="88">
        <f t="shared" si="178"/>
        <v>287500000</v>
      </c>
      <c r="AR131" s="90"/>
      <c r="AS131" s="90"/>
      <c r="AT131" s="90"/>
      <c r="AU131" s="90"/>
      <c r="AV131" s="90"/>
      <c r="AW131" s="90"/>
      <c r="AX131" s="90"/>
      <c r="AY131" s="90"/>
      <c r="AZ131" s="90"/>
      <c r="BA131" s="88">
        <f t="shared" ref="BA131" si="179">SUM(BA132:BA135)</f>
        <v>280225000</v>
      </c>
      <c r="BB131" s="90"/>
      <c r="BC131" s="90"/>
      <c r="BD131" s="90"/>
      <c r="BE131" s="90"/>
      <c r="BF131" s="90"/>
      <c r="BG131" s="90"/>
      <c r="BH131" s="90"/>
      <c r="BI131" s="90"/>
      <c r="BJ131" s="90"/>
      <c r="BK131" s="88">
        <f t="shared" ref="BK131:BL131" si="180">SUM(BK132:BK135)</f>
        <v>283181750</v>
      </c>
      <c r="BL131" s="88">
        <f t="shared" si="180"/>
        <v>1125906750</v>
      </c>
    </row>
    <row r="132" spans="1:65" ht="51.75" customHeight="1" x14ac:dyDescent="0.2">
      <c r="A132" s="56">
        <v>95</v>
      </c>
      <c r="B132" s="56">
        <v>3</v>
      </c>
      <c r="C132" s="124"/>
      <c r="D132" s="124"/>
      <c r="E132" s="81">
        <v>16</v>
      </c>
      <c r="F132" s="57" t="s">
        <v>334</v>
      </c>
      <c r="G132" s="65">
        <v>45</v>
      </c>
      <c r="H132" s="65">
        <v>90</v>
      </c>
      <c r="I132" s="59">
        <v>93</v>
      </c>
      <c r="J132" s="60" t="s">
        <v>335</v>
      </c>
      <c r="K132" s="229" t="s">
        <v>336</v>
      </c>
      <c r="L132" s="210" t="s">
        <v>263</v>
      </c>
      <c r="M132" s="210">
        <v>1</v>
      </c>
      <c r="N132" s="482" t="s">
        <v>69</v>
      </c>
      <c r="O132" s="218" t="s">
        <v>49</v>
      </c>
      <c r="P132" s="483">
        <v>36</v>
      </c>
      <c r="Q132" s="216">
        <v>4</v>
      </c>
      <c r="R132" s="216">
        <v>18</v>
      </c>
      <c r="S132" s="216">
        <v>31.5</v>
      </c>
      <c r="T132" s="216">
        <v>36</v>
      </c>
      <c r="U132" s="230"/>
      <c r="V132" s="64">
        <v>4</v>
      </c>
      <c r="W132" s="64" t="s">
        <v>110</v>
      </c>
      <c r="X132" s="176"/>
      <c r="Y132" s="176"/>
      <c r="Z132" s="176"/>
      <c r="AA132" s="176"/>
      <c r="AB132" s="176"/>
      <c r="AC132" s="176"/>
      <c r="AD132" s="176"/>
      <c r="AE132" s="176"/>
      <c r="AF132" s="176"/>
      <c r="AG132" s="69">
        <f>+X132+Y132+Z132+AA132+AB132+AC132+AD132+AE132+AF132</f>
        <v>0</v>
      </c>
      <c r="AH132" s="78"/>
      <c r="AI132" s="78"/>
      <c r="AJ132" s="78"/>
      <c r="AK132" s="78"/>
      <c r="AL132" s="78"/>
      <c r="AM132" s="78"/>
      <c r="AN132" s="78"/>
      <c r="AO132" s="78"/>
      <c r="AP132" s="78"/>
      <c r="AQ132" s="71">
        <f>AH132+AI132+AJ132+AK132+AL132+AM132+AN132+AO132+AP132</f>
        <v>0</v>
      </c>
      <c r="AR132" s="511"/>
      <c r="AS132" s="511"/>
      <c r="AT132" s="511"/>
      <c r="AU132" s="511"/>
      <c r="AV132" s="511"/>
      <c r="AW132" s="511"/>
      <c r="AX132" s="511"/>
      <c r="AY132" s="511"/>
      <c r="AZ132" s="511"/>
      <c r="BA132" s="511">
        <f>SUM(AR132:AZ132)</f>
        <v>0</v>
      </c>
      <c r="BB132" s="78"/>
      <c r="BC132" s="78"/>
      <c r="BD132" s="78"/>
      <c r="BE132" s="78"/>
      <c r="BF132" s="78"/>
      <c r="BG132" s="78"/>
      <c r="BH132" s="78"/>
      <c r="BI132" s="78"/>
      <c r="BJ132" s="78"/>
      <c r="BK132" s="78">
        <f>SUM(BB132:BJ132)</f>
        <v>0</v>
      </c>
      <c r="BL132" s="603">
        <f>AG132+AQ132+BA132+BK132</f>
        <v>0</v>
      </c>
    </row>
    <row r="133" spans="1:65" ht="51.75" customHeight="1" x14ac:dyDescent="0.2">
      <c r="A133" s="74">
        <v>96</v>
      </c>
      <c r="B133" s="56">
        <v>3</v>
      </c>
      <c r="C133" s="124"/>
      <c r="D133" s="124"/>
      <c r="E133" s="81">
        <v>17</v>
      </c>
      <c r="F133" s="234" t="s">
        <v>296</v>
      </c>
      <c r="G133" s="235" t="s">
        <v>297</v>
      </c>
      <c r="H133" s="236">
        <v>0.5</v>
      </c>
      <c r="I133" s="59">
        <v>94</v>
      </c>
      <c r="J133" s="60" t="s">
        <v>337</v>
      </c>
      <c r="K133" s="229" t="s">
        <v>338</v>
      </c>
      <c r="L133" s="210" t="s">
        <v>263</v>
      </c>
      <c r="M133" s="210">
        <v>1</v>
      </c>
      <c r="N133" s="482" t="s">
        <v>69</v>
      </c>
      <c r="O133" s="218">
        <v>70</v>
      </c>
      <c r="P133" s="483">
        <v>140</v>
      </c>
      <c r="Q133" s="216">
        <v>79</v>
      </c>
      <c r="R133" s="216">
        <v>105</v>
      </c>
      <c r="S133" s="216">
        <v>131</v>
      </c>
      <c r="T133" s="216">
        <v>140</v>
      </c>
      <c r="U133" s="211">
        <f>AG133/$AG$131</f>
        <v>0.88181818181818183</v>
      </c>
      <c r="V133" s="64">
        <v>4</v>
      </c>
      <c r="W133" s="64" t="s">
        <v>110</v>
      </c>
      <c r="X133" s="176"/>
      <c r="Y133" s="176"/>
      <c r="Z133" s="176"/>
      <c r="AA133" s="176"/>
      <c r="AB133" s="176"/>
      <c r="AC133" s="176"/>
      <c r="AD133" s="176">
        <v>242500000</v>
      </c>
      <c r="AE133" s="176"/>
      <c r="AF133" s="176"/>
      <c r="AG133" s="69">
        <f>+X133+Y133+Z133+AA133+AB133+AC133+AD133+AE133+AF133</f>
        <v>242500000</v>
      </c>
      <c r="AH133" s="78"/>
      <c r="AI133" s="78"/>
      <c r="AJ133" s="78"/>
      <c r="AK133" s="78"/>
      <c r="AL133" s="78"/>
      <c r="AM133" s="78"/>
      <c r="AN133" s="78">
        <v>253000000</v>
      </c>
      <c r="AO133" s="78"/>
      <c r="AP133" s="78"/>
      <c r="AQ133" s="71">
        <f>AH133+AI133+AJ133+AK133+AL133+AM133+AN133+AO133+AP133</f>
        <v>253000000</v>
      </c>
      <c r="AR133" s="511"/>
      <c r="AS133" s="511"/>
      <c r="AT133" s="511"/>
      <c r="AU133" s="511"/>
      <c r="AV133" s="511"/>
      <c r="AW133" s="511"/>
      <c r="AX133" s="511">
        <v>240000000</v>
      </c>
      <c r="AY133" s="511"/>
      <c r="AZ133" s="511"/>
      <c r="BA133" s="511">
        <f>SUM(AR133:AZ133)</f>
        <v>240000000</v>
      </c>
      <c r="BB133" s="78"/>
      <c r="BC133" s="78"/>
      <c r="BD133" s="78"/>
      <c r="BE133" s="78"/>
      <c r="BF133" s="78"/>
      <c r="BG133" s="78"/>
      <c r="BH133" s="78">
        <v>249700000</v>
      </c>
      <c r="BI133" s="78"/>
      <c r="BJ133" s="78"/>
      <c r="BK133" s="78">
        <f>SUM(BB133:BJ133)</f>
        <v>249700000</v>
      </c>
      <c r="BL133" s="603">
        <f>AG133+AQ133+BA133+BK133</f>
        <v>985200000</v>
      </c>
    </row>
    <row r="134" spans="1:65" ht="51.75" customHeight="1" x14ac:dyDescent="0.2">
      <c r="A134" s="56">
        <v>97</v>
      </c>
      <c r="B134" s="56">
        <v>3</v>
      </c>
      <c r="C134" s="124"/>
      <c r="D134" s="124"/>
      <c r="E134" s="81">
        <v>18</v>
      </c>
      <c r="F134" s="57" t="s">
        <v>300</v>
      </c>
      <c r="G134" s="65">
        <v>6</v>
      </c>
      <c r="H134" s="65">
        <v>12</v>
      </c>
      <c r="I134" s="59">
        <v>95</v>
      </c>
      <c r="J134" s="60" t="s">
        <v>339</v>
      </c>
      <c r="K134" s="229" t="s">
        <v>340</v>
      </c>
      <c r="L134" s="210" t="s">
        <v>263</v>
      </c>
      <c r="M134" s="210">
        <v>1</v>
      </c>
      <c r="N134" s="215" t="s">
        <v>54</v>
      </c>
      <c r="O134" s="218">
        <v>0</v>
      </c>
      <c r="P134" s="216">
        <v>500</v>
      </c>
      <c r="Q134" s="216">
        <v>500</v>
      </c>
      <c r="R134" s="216">
        <v>500</v>
      </c>
      <c r="S134" s="216">
        <v>500</v>
      </c>
      <c r="T134" s="216">
        <v>500</v>
      </c>
      <c r="U134" s="211">
        <f>AG134/$AG$131</f>
        <v>6.363636363636363E-2</v>
      </c>
      <c r="V134" s="64">
        <v>4</v>
      </c>
      <c r="W134" s="64" t="s">
        <v>110</v>
      </c>
      <c r="X134" s="176"/>
      <c r="Y134" s="176"/>
      <c r="Z134" s="176">
        <v>10000000</v>
      </c>
      <c r="AA134" s="176"/>
      <c r="AB134" s="176"/>
      <c r="AC134" s="176"/>
      <c r="AD134" s="176">
        <v>7500000</v>
      </c>
      <c r="AE134" s="176"/>
      <c r="AF134" s="176"/>
      <c r="AG134" s="69">
        <f>+X134+Y134+Z134+AA134+AB134+AC134+AD134+AE134+AF134</f>
        <v>17500000</v>
      </c>
      <c r="AH134" s="78"/>
      <c r="AI134" s="78"/>
      <c r="AJ134" s="78">
        <f>18200000-4500000</f>
        <v>13700000</v>
      </c>
      <c r="AK134" s="78"/>
      <c r="AL134" s="78"/>
      <c r="AM134" s="78"/>
      <c r="AN134" s="78">
        <v>4500000</v>
      </c>
      <c r="AO134" s="78"/>
      <c r="AP134" s="78"/>
      <c r="AQ134" s="71">
        <f>AH134+AI134+AJ134+AK134+AL134+AM134+AN134+AO134+AP134</f>
        <v>18200000</v>
      </c>
      <c r="AR134" s="511"/>
      <c r="AS134" s="511"/>
      <c r="AT134" s="511">
        <f>17800000-3000000</f>
        <v>14800000</v>
      </c>
      <c r="AU134" s="511"/>
      <c r="AV134" s="511"/>
      <c r="AW134" s="511"/>
      <c r="AX134" s="511">
        <v>3000000</v>
      </c>
      <c r="AY134" s="511"/>
      <c r="AZ134" s="511"/>
      <c r="BA134" s="511">
        <f>SUM(AR134:AZ134)</f>
        <v>17800000</v>
      </c>
      <c r="BB134" s="78"/>
      <c r="BC134" s="78"/>
      <c r="BD134" s="78"/>
      <c r="BE134" s="78"/>
      <c r="BF134" s="78"/>
      <c r="BG134" s="78"/>
      <c r="BH134" s="78">
        <v>18020000</v>
      </c>
      <c r="BI134" s="78"/>
      <c r="BJ134" s="78"/>
      <c r="BK134" s="78">
        <f>SUM(BB134:BJ134)</f>
        <v>18020000</v>
      </c>
      <c r="BL134" s="603">
        <f>AG134+AQ134+BA134+BK134</f>
        <v>71520000</v>
      </c>
    </row>
    <row r="135" spans="1:65" ht="51.75" customHeight="1" x14ac:dyDescent="0.2">
      <c r="A135" s="74">
        <v>98</v>
      </c>
      <c r="B135" s="56">
        <v>3</v>
      </c>
      <c r="C135" s="124"/>
      <c r="D135" s="124"/>
      <c r="E135" s="506">
        <v>19</v>
      </c>
      <c r="F135" s="107" t="s">
        <v>303</v>
      </c>
      <c r="G135" s="149" t="s">
        <v>304</v>
      </c>
      <c r="H135" s="193" t="s">
        <v>305</v>
      </c>
      <c r="I135" s="237">
        <v>96</v>
      </c>
      <c r="J135" s="60" t="s">
        <v>341</v>
      </c>
      <c r="K135" s="229" t="s">
        <v>342</v>
      </c>
      <c r="L135" s="210" t="s">
        <v>263</v>
      </c>
      <c r="M135" s="210">
        <v>1</v>
      </c>
      <c r="N135" s="482" t="s">
        <v>69</v>
      </c>
      <c r="O135" s="486">
        <v>0</v>
      </c>
      <c r="P135" s="483">
        <v>6</v>
      </c>
      <c r="Q135" s="216">
        <v>1</v>
      </c>
      <c r="R135" s="216">
        <v>3</v>
      </c>
      <c r="S135" s="216">
        <v>5</v>
      </c>
      <c r="T135" s="216">
        <v>6</v>
      </c>
      <c r="U135" s="211">
        <f>AG135/$AG$131</f>
        <v>5.4545454545454543E-2</v>
      </c>
      <c r="V135" s="64">
        <v>4</v>
      </c>
      <c r="W135" s="64" t="s">
        <v>110</v>
      </c>
      <c r="X135" s="176"/>
      <c r="Y135" s="176"/>
      <c r="Z135" s="176">
        <v>15000000</v>
      </c>
      <c r="AA135" s="176"/>
      <c r="AB135" s="176"/>
      <c r="AC135" s="176"/>
      <c r="AD135" s="176"/>
      <c r="AE135" s="176"/>
      <c r="AF135" s="176"/>
      <c r="AG135" s="69">
        <f>+X135+Y135+Z135+AA135+AB135+AC135+AD135+AE135+AF135</f>
        <v>15000000</v>
      </c>
      <c r="AH135" s="78"/>
      <c r="AI135" s="78"/>
      <c r="AJ135" s="78">
        <v>16300000</v>
      </c>
      <c r="AK135" s="78"/>
      <c r="AL135" s="78"/>
      <c r="AM135" s="78"/>
      <c r="AN135" s="78"/>
      <c r="AO135" s="78"/>
      <c r="AP135" s="78"/>
      <c r="AQ135" s="71">
        <f>AH135+AI135+AJ135+AK135+AL135+AM135+AN135+AO135+AP135</f>
        <v>16300000</v>
      </c>
      <c r="AR135" s="511"/>
      <c r="AS135" s="511"/>
      <c r="AT135" s="511">
        <v>200000</v>
      </c>
      <c r="AU135" s="511"/>
      <c r="AV135" s="511"/>
      <c r="AW135" s="511"/>
      <c r="AX135" s="511">
        <v>22225000</v>
      </c>
      <c r="AY135" s="511"/>
      <c r="AZ135" s="511"/>
      <c r="BA135" s="511">
        <f>SUM(AR135:AZ135)</f>
        <v>22425000</v>
      </c>
      <c r="BB135" s="78"/>
      <c r="BC135" s="78"/>
      <c r="BD135" s="78">
        <v>10000000</v>
      </c>
      <c r="BE135" s="78"/>
      <c r="BF135" s="78"/>
      <c r="BG135" s="78"/>
      <c r="BH135" s="78">
        <v>5461750</v>
      </c>
      <c r="BI135" s="78"/>
      <c r="BJ135" s="78"/>
      <c r="BK135" s="78">
        <f>SUM(BB135:BJ135)</f>
        <v>15461750</v>
      </c>
      <c r="BL135" s="603">
        <f>AG135+AQ135+BA135+BK135</f>
        <v>69186750</v>
      </c>
    </row>
    <row r="136" spans="1:65" ht="24.75" customHeight="1" x14ac:dyDescent="0.2">
      <c r="A136" s="74"/>
      <c r="B136" s="56"/>
      <c r="C136" s="124"/>
      <c r="D136" s="124"/>
      <c r="E136" s="44">
        <v>22</v>
      </c>
      <c r="F136" s="45" t="s">
        <v>343</v>
      </c>
      <c r="G136" s="47"/>
      <c r="H136" s="84"/>
      <c r="I136" s="47"/>
      <c r="J136" s="84"/>
      <c r="K136" s="84"/>
      <c r="L136" s="47"/>
      <c r="M136" s="47"/>
      <c r="N136" s="85"/>
      <c r="O136" s="84"/>
      <c r="P136" s="84"/>
      <c r="Q136" s="86"/>
      <c r="R136" s="84"/>
      <c r="S136" s="84"/>
      <c r="T136" s="47"/>
      <c r="U136" s="87"/>
      <c r="V136" s="47"/>
      <c r="W136" s="47"/>
      <c r="X136" s="88">
        <f t="shared" ref="X136:AG136" si="181">SUM(X137)</f>
        <v>0</v>
      </c>
      <c r="Y136" s="88">
        <f t="shared" si="181"/>
        <v>0</v>
      </c>
      <c r="Z136" s="88">
        <f t="shared" si="181"/>
        <v>0</v>
      </c>
      <c r="AA136" s="88">
        <f t="shared" si="181"/>
        <v>0</v>
      </c>
      <c r="AB136" s="88">
        <f t="shared" si="181"/>
        <v>0</v>
      </c>
      <c r="AC136" s="88">
        <f t="shared" si="181"/>
        <v>0</v>
      </c>
      <c r="AD136" s="88">
        <f t="shared" si="181"/>
        <v>110000000</v>
      </c>
      <c r="AE136" s="88">
        <f t="shared" si="181"/>
        <v>0</v>
      </c>
      <c r="AF136" s="88">
        <f t="shared" si="181"/>
        <v>0</v>
      </c>
      <c r="AG136" s="88">
        <f t="shared" si="181"/>
        <v>110000000</v>
      </c>
      <c r="AH136" s="88">
        <f t="shared" ref="AH136:AQ136" si="182">SUM(AH137)</f>
        <v>0</v>
      </c>
      <c r="AI136" s="88">
        <f t="shared" si="182"/>
        <v>0</v>
      </c>
      <c r="AJ136" s="88">
        <f t="shared" si="182"/>
        <v>0</v>
      </c>
      <c r="AK136" s="88">
        <f t="shared" si="182"/>
        <v>0</v>
      </c>
      <c r="AL136" s="88">
        <f t="shared" si="182"/>
        <v>0</v>
      </c>
      <c r="AM136" s="88">
        <f t="shared" si="182"/>
        <v>0</v>
      </c>
      <c r="AN136" s="88">
        <f t="shared" si="182"/>
        <v>113300000</v>
      </c>
      <c r="AO136" s="88">
        <f t="shared" si="182"/>
        <v>0</v>
      </c>
      <c r="AP136" s="88">
        <f t="shared" si="182"/>
        <v>0</v>
      </c>
      <c r="AQ136" s="88">
        <f t="shared" si="182"/>
        <v>113300000</v>
      </c>
      <c r="AR136" s="90"/>
      <c r="AS136" s="90"/>
      <c r="AT136" s="90"/>
      <c r="AU136" s="90"/>
      <c r="AV136" s="90"/>
      <c r="AW136" s="90"/>
      <c r="AX136" s="90"/>
      <c r="AY136" s="90"/>
      <c r="AZ136" s="90"/>
      <c r="BA136" s="88">
        <f t="shared" ref="BA136" si="183">SUM(BA137)</f>
        <v>116699000</v>
      </c>
      <c r="BB136" s="90"/>
      <c r="BC136" s="90"/>
      <c r="BD136" s="90"/>
      <c r="BE136" s="90"/>
      <c r="BF136" s="90"/>
      <c r="BG136" s="90"/>
      <c r="BH136" s="90"/>
      <c r="BI136" s="90"/>
      <c r="BJ136" s="90"/>
      <c r="BK136" s="88">
        <f t="shared" ref="BK136:BL136" si="184">SUM(BK137)</f>
        <v>120199970</v>
      </c>
      <c r="BL136" s="88">
        <f t="shared" si="184"/>
        <v>460198970</v>
      </c>
    </row>
    <row r="137" spans="1:65" ht="99" customHeight="1" x14ac:dyDescent="0.2">
      <c r="A137" s="56">
        <v>99</v>
      </c>
      <c r="B137" s="56">
        <v>3</v>
      </c>
      <c r="C137" s="124"/>
      <c r="D137" s="124"/>
      <c r="E137" s="65" t="s">
        <v>930</v>
      </c>
      <c r="F137" s="57" t="s">
        <v>334</v>
      </c>
      <c r="G137" s="65">
        <v>45</v>
      </c>
      <c r="H137" s="65">
        <v>90</v>
      </c>
      <c r="I137" s="549">
        <v>97</v>
      </c>
      <c r="J137" s="580" t="s">
        <v>344</v>
      </c>
      <c r="K137" s="581" t="s">
        <v>345</v>
      </c>
      <c r="L137" s="582" t="s">
        <v>263</v>
      </c>
      <c r="M137" s="567">
        <v>1</v>
      </c>
      <c r="N137" s="568" t="s">
        <v>69</v>
      </c>
      <c r="O137" s="569" t="s">
        <v>49</v>
      </c>
      <c r="P137" s="568">
        <v>52</v>
      </c>
      <c r="Q137" s="570">
        <v>6.5</v>
      </c>
      <c r="R137" s="559">
        <v>26</v>
      </c>
      <c r="S137" s="559">
        <v>45.5</v>
      </c>
      <c r="T137" s="559">
        <v>52</v>
      </c>
      <c r="U137" s="548">
        <f>AG137/AG136</f>
        <v>1</v>
      </c>
      <c r="V137" s="549">
        <v>4</v>
      </c>
      <c r="W137" s="549" t="s">
        <v>110</v>
      </c>
      <c r="X137" s="554"/>
      <c r="Y137" s="554"/>
      <c r="Z137" s="554"/>
      <c r="AA137" s="554"/>
      <c r="AB137" s="554"/>
      <c r="AC137" s="554"/>
      <c r="AD137" s="554">
        <v>110000000</v>
      </c>
      <c r="AE137" s="554"/>
      <c r="AF137" s="554"/>
      <c r="AG137" s="414">
        <f>+X137+Y137+Z137+AA137+AB137+AC137+AD137+AE137+AF137</f>
        <v>110000000</v>
      </c>
      <c r="AH137" s="571"/>
      <c r="AI137" s="571"/>
      <c r="AJ137" s="571"/>
      <c r="AK137" s="571"/>
      <c r="AL137" s="571"/>
      <c r="AM137" s="571"/>
      <c r="AN137" s="571">
        <v>113300000</v>
      </c>
      <c r="AO137" s="571"/>
      <c r="AP137" s="571"/>
      <c r="AQ137" s="571">
        <f>AH137+AI137+AJ137+AK137+AL137+AM137+AN137+AO137+AP137</f>
        <v>113300000</v>
      </c>
      <c r="AR137" s="571"/>
      <c r="AS137" s="571"/>
      <c r="AT137" s="571"/>
      <c r="AU137" s="543"/>
      <c r="AV137" s="571"/>
      <c r="AW137" s="571"/>
      <c r="AX137" s="571">
        <v>116699000</v>
      </c>
      <c r="AY137" s="571"/>
      <c r="AZ137" s="571"/>
      <c r="BA137" s="571">
        <f>SUM(AR137:AZ137)</f>
        <v>116699000</v>
      </c>
      <c r="BB137" s="571"/>
      <c r="BC137" s="571"/>
      <c r="BD137" s="571"/>
      <c r="BE137" s="543"/>
      <c r="BF137" s="571"/>
      <c r="BG137" s="571"/>
      <c r="BH137" s="571">
        <v>120199970</v>
      </c>
      <c r="BI137" s="571"/>
      <c r="BJ137" s="571"/>
      <c r="BK137" s="571">
        <f>SUM(BB137:BJ137)</f>
        <v>120199970</v>
      </c>
      <c r="BL137" s="590">
        <f>AG137+AQ137+BA137+BK137</f>
        <v>460198970</v>
      </c>
    </row>
    <row r="138" spans="1:65" ht="24.75" customHeight="1" x14ac:dyDescent="0.2">
      <c r="A138" s="56"/>
      <c r="B138" s="56"/>
      <c r="C138" s="124"/>
      <c r="D138" s="30">
        <v>7</v>
      </c>
      <c r="E138" s="122" t="s">
        <v>346</v>
      </c>
      <c r="F138" s="35"/>
      <c r="G138" s="35"/>
      <c r="H138" s="35"/>
      <c r="I138" s="34"/>
      <c r="J138" s="35"/>
      <c r="K138" s="35"/>
      <c r="L138" s="36"/>
      <c r="M138" s="34"/>
      <c r="N138" s="37"/>
      <c r="O138" s="35"/>
      <c r="P138" s="35"/>
      <c r="Q138" s="38"/>
      <c r="R138" s="35"/>
      <c r="S138" s="35"/>
      <c r="T138" s="34"/>
      <c r="U138" s="123"/>
      <c r="V138" s="34"/>
      <c r="W138" s="34"/>
      <c r="X138" s="40">
        <f t="shared" ref="X138:AF138" si="185">X139+X145</f>
        <v>0</v>
      </c>
      <c r="Y138" s="40">
        <f t="shared" si="185"/>
        <v>0</v>
      </c>
      <c r="Z138" s="40">
        <f t="shared" si="185"/>
        <v>80000000</v>
      </c>
      <c r="AA138" s="40">
        <f t="shared" si="185"/>
        <v>0</v>
      </c>
      <c r="AB138" s="40">
        <f t="shared" si="185"/>
        <v>0</v>
      </c>
      <c r="AC138" s="40">
        <f t="shared" si="185"/>
        <v>0</v>
      </c>
      <c r="AD138" s="40">
        <f t="shared" si="185"/>
        <v>200000000</v>
      </c>
      <c r="AE138" s="40">
        <f t="shared" si="185"/>
        <v>0</v>
      </c>
      <c r="AF138" s="40">
        <f t="shared" si="185"/>
        <v>4000000000</v>
      </c>
      <c r="AG138" s="41">
        <f>AG139+AG145</f>
        <v>4280000000</v>
      </c>
      <c r="AH138" s="40">
        <f t="shared" ref="AH138:AQ138" si="186">AH139+AH145</f>
        <v>0</v>
      </c>
      <c r="AI138" s="40">
        <f t="shared" si="186"/>
        <v>0</v>
      </c>
      <c r="AJ138" s="40">
        <f t="shared" si="186"/>
        <v>90000000</v>
      </c>
      <c r="AK138" s="40">
        <f t="shared" si="186"/>
        <v>0</v>
      </c>
      <c r="AL138" s="40">
        <f t="shared" si="186"/>
        <v>0</v>
      </c>
      <c r="AM138" s="40">
        <f t="shared" si="186"/>
        <v>0</v>
      </c>
      <c r="AN138" s="40">
        <f t="shared" si="186"/>
        <v>206000000</v>
      </c>
      <c r="AO138" s="40">
        <f t="shared" si="186"/>
        <v>0</v>
      </c>
      <c r="AP138" s="40">
        <f t="shared" si="186"/>
        <v>4000000000</v>
      </c>
      <c r="AQ138" s="40">
        <f t="shared" si="186"/>
        <v>4296000000</v>
      </c>
      <c r="AR138" s="42"/>
      <c r="AS138" s="42"/>
      <c r="AT138" s="42"/>
      <c r="AU138" s="42"/>
      <c r="AV138" s="42"/>
      <c r="AW138" s="42"/>
      <c r="AX138" s="42"/>
      <c r="AY138" s="42"/>
      <c r="AZ138" s="42"/>
      <c r="BA138" s="40">
        <f>BA139+BA145</f>
        <v>4252180000</v>
      </c>
      <c r="BB138" s="42"/>
      <c r="BC138" s="42"/>
      <c r="BD138" s="42"/>
      <c r="BE138" s="42"/>
      <c r="BF138" s="42"/>
      <c r="BG138" s="42"/>
      <c r="BH138" s="42"/>
      <c r="BI138" s="42"/>
      <c r="BJ138" s="42"/>
      <c r="BK138" s="40">
        <f t="shared" ref="BK138:BL138" si="187">BK139+BK145</f>
        <v>5238545400.0033331</v>
      </c>
      <c r="BL138" s="40">
        <f t="shared" si="187"/>
        <v>18066725400.003334</v>
      </c>
    </row>
    <row r="139" spans="1:65" ht="24.75" customHeight="1" x14ac:dyDescent="0.2">
      <c r="A139" s="56"/>
      <c r="B139" s="56"/>
      <c r="C139" s="124"/>
      <c r="D139" s="417"/>
      <c r="E139" s="44">
        <v>23</v>
      </c>
      <c r="F139" s="45" t="s">
        <v>347</v>
      </c>
      <c r="G139" s="83"/>
      <c r="H139" s="48"/>
      <c r="I139" s="47"/>
      <c r="J139" s="48"/>
      <c r="K139" s="48"/>
      <c r="L139" s="47"/>
      <c r="M139" s="49"/>
      <c r="N139" s="50"/>
      <c r="O139" s="48"/>
      <c r="P139" s="48"/>
      <c r="Q139" s="51"/>
      <c r="R139" s="48"/>
      <c r="S139" s="48"/>
      <c r="T139" s="49"/>
      <c r="U139" s="125"/>
      <c r="V139" s="49"/>
      <c r="W139" s="49"/>
      <c r="X139" s="53">
        <f t="shared" ref="X139:AF139" si="188">SUM(X140:X144)</f>
        <v>0</v>
      </c>
      <c r="Y139" s="53">
        <f t="shared" si="188"/>
        <v>0</v>
      </c>
      <c r="Z139" s="53">
        <f t="shared" si="188"/>
        <v>0</v>
      </c>
      <c r="AA139" s="53">
        <f t="shared" si="188"/>
        <v>0</v>
      </c>
      <c r="AB139" s="53">
        <f t="shared" si="188"/>
        <v>0</v>
      </c>
      <c r="AC139" s="53">
        <f t="shared" si="188"/>
        <v>0</v>
      </c>
      <c r="AD139" s="53">
        <f t="shared" si="188"/>
        <v>100000000</v>
      </c>
      <c r="AE139" s="53">
        <f t="shared" si="188"/>
        <v>0</v>
      </c>
      <c r="AF139" s="53">
        <f t="shared" si="188"/>
        <v>4000000000</v>
      </c>
      <c r="AG139" s="54">
        <f>SUM(AG140:AG144)</f>
        <v>4100000000</v>
      </c>
      <c r="AH139" s="53">
        <f t="shared" ref="AH139:AQ139" si="189">SUM(AH140:AH144)</f>
        <v>0</v>
      </c>
      <c r="AI139" s="53">
        <f t="shared" si="189"/>
        <v>0</v>
      </c>
      <c r="AJ139" s="53">
        <f t="shared" si="189"/>
        <v>0</v>
      </c>
      <c r="AK139" s="53">
        <f t="shared" si="189"/>
        <v>0</v>
      </c>
      <c r="AL139" s="53">
        <f t="shared" si="189"/>
        <v>0</v>
      </c>
      <c r="AM139" s="53">
        <f t="shared" si="189"/>
        <v>0</v>
      </c>
      <c r="AN139" s="53">
        <f t="shared" si="189"/>
        <v>103000000</v>
      </c>
      <c r="AO139" s="53">
        <f t="shared" si="189"/>
        <v>0</v>
      </c>
      <c r="AP139" s="53">
        <f t="shared" si="189"/>
        <v>4000000000</v>
      </c>
      <c r="AQ139" s="53">
        <f t="shared" si="189"/>
        <v>4103000000</v>
      </c>
      <c r="AR139" s="55"/>
      <c r="AS139" s="55"/>
      <c r="AT139" s="55"/>
      <c r="AU139" s="55"/>
      <c r="AV139" s="55"/>
      <c r="AW139" s="55"/>
      <c r="AX139" s="55"/>
      <c r="AY139" s="55"/>
      <c r="AZ139" s="55"/>
      <c r="BA139" s="53">
        <f t="shared" ref="BA139" si="190">SUM(BA140:BA144)</f>
        <v>4106090000</v>
      </c>
      <c r="BB139" s="55"/>
      <c r="BC139" s="55"/>
      <c r="BD139" s="55"/>
      <c r="BE139" s="55"/>
      <c r="BF139" s="55"/>
      <c r="BG139" s="55"/>
      <c r="BH139" s="55"/>
      <c r="BI139" s="55"/>
      <c r="BJ139" s="55"/>
      <c r="BK139" s="53">
        <f t="shared" ref="BK139:BL139" si="191">SUM(BK140:BK144)</f>
        <v>5109272700</v>
      </c>
      <c r="BL139" s="53">
        <f t="shared" si="191"/>
        <v>17418362700</v>
      </c>
    </row>
    <row r="140" spans="1:65" ht="83.25" customHeight="1" x14ac:dyDescent="0.2">
      <c r="A140" s="74">
        <v>100</v>
      </c>
      <c r="B140" s="56">
        <v>3</v>
      </c>
      <c r="C140" s="124"/>
      <c r="D140" s="124"/>
      <c r="E140" s="510">
        <v>16</v>
      </c>
      <c r="F140" s="516" t="s">
        <v>334</v>
      </c>
      <c r="G140" s="491">
        <v>45</v>
      </c>
      <c r="H140" s="491">
        <v>90</v>
      </c>
      <c r="I140" s="59">
        <v>98</v>
      </c>
      <c r="J140" s="60" t="s">
        <v>348</v>
      </c>
      <c r="K140" s="229" t="s">
        <v>349</v>
      </c>
      <c r="L140" s="210" t="s">
        <v>263</v>
      </c>
      <c r="M140" s="210">
        <v>1</v>
      </c>
      <c r="N140" s="215" t="s">
        <v>54</v>
      </c>
      <c r="O140" s="218">
        <v>60</v>
      </c>
      <c r="P140" s="216">
        <v>55</v>
      </c>
      <c r="Q140" s="216">
        <v>55</v>
      </c>
      <c r="R140" s="216">
        <v>55</v>
      </c>
      <c r="S140" s="216">
        <v>55</v>
      </c>
      <c r="T140" s="216">
        <v>55</v>
      </c>
      <c r="U140" s="211">
        <f>AG140/$AG$139</f>
        <v>4.8780487804878049E-3</v>
      </c>
      <c r="V140" s="64">
        <v>4</v>
      </c>
      <c r="W140" s="126" t="s">
        <v>110</v>
      </c>
      <c r="X140" s="176"/>
      <c r="Y140" s="176"/>
      <c r="Z140" s="176"/>
      <c r="AA140" s="176"/>
      <c r="AB140" s="176"/>
      <c r="AC140" s="176"/>
      <c r="AD140" s="96">
        <v>20000000</v>
      </c>
      <c r="AE140" s="176"/>
      <c r="AF140" s="176"/>
      <c r="AG140" s="69">
        <f>+X140+Y140+Z140+AA140+AB140+AC140+AD140+AE140+AF140</f>
        <v>20000000</v>
      </c>
      <c r="AH140" s="78"/>
      <c r="AI140" s="78"/>
      <c r="AJ140" s="78"/>
      <c r="AK140" s="78"/>
      <c r="AL140" s="78"/>
      <c r="AM140" s="78"/>
      <c r="AN140" s="78">
        <v>20600000</v>
      </c>
      <c r="AO140" s="78"/>
      <c r="AP140" s="78"/>
      <c r="AQ140" s="71">
        <f>AH140+AI140+AJ140+AK140+AL140+AM140+AN140+AO140+AP140</f>
        <v>20600000</v>
      </c>
      <c r="AR140" s="78"/>
      <c r="AS140" s="78"/>
      <c r="AT140" s="78"/>
      <c r="AU140" s="78"/>
      <c r="AV140" s="78"/>
      <c r="AW140" s="78"/>
      <c r="AX140" s="78">
        <v>21200000</v>
      </c>
      <c r="AY140" s="78"/>
      <c r="AZ140" s="78"/>
      <c r="BA140" s="78">
        <f>SUM(AR140:AZ140)</f>
        <v>21200000</v>
      </c>
      <c r="BB140" s="78"/>
      <c r="BC140" s="78"/>
      <c r="BD140" s="78"/>
      <c r="BE140" s="78"/>
      <c r="BF140" s="78"/>
      <c r="BG140" s="78"/>
      <c r="BH140" s="78">
        <v>21850000</v>
      </c>
      <c r="BI140" s="78"/>
      <c r="BJ140" s="78"/>
      <c r="BK140" s="78">
        <f>SUM(BB140:BJ140)</f>
        <v>21850000</v>
      </c>
      <c r="BL140" s="603">
        <f>AG140+AQ140+BA140+BK140</f>
        <v>83650000</v>
      </c>
    </row>
    <row r="141" spans="1:65" ht="78.75" customHeight="1" x14ac:dyDescent="0.2">
      <c r="A141" s="56">
        <v>101</v>
      </c>
      <c r="B141" s="56">
        <v>3</v>
      </c>
      <c r="C141" s="124"/>
      <c r="D141" s="128"/>
      <c r="E141" s="531"/>
      <c r="F141" s="238"/>
      <c r="G141" s="130"/>
      <c r="H141" s="130"/>
      <c r="I141" s="64">
        <v>99</v>
      </c>
      <c r="J141" s="60" t="s">
        <v>350</v>
      </c>
      <c r="K141" s="229" t="s">
        <v>351</v>
      </c>
      <c r="L141" s="210" t="s">
        <v>263</v>
      </c>
      <c r="M141" s="210">
        <v>1</v>
      </c>
      <c r="N141" s="215" t="s">
        <v>54</v>
      </c>
      <c r="O141" s="218">
        <v>76</v>
      </c>
      <c r="P141" s="216">
        <v>150</v>
      </c>
      <c r="Q141" s="216">
        <v>150</v>
      </c>
      <c r="R141" s="216">
        <v>150</v>
      </c>
      <c r="S141" s="216">
        <v>150</v>
      </c>
      <c r="T141" s="216">
        <v>150</v>
      </c>
      <c r="U141" s="211">
        <f>AG141/$AG$139</f>
        <v>9.7560975609756097E-3</v>
      </c>
      <c r="V141" s="64">
        <v>4</v>
      </c>
      <c r="W141" s="126" t="s">
        <v>110</v>
      </c>
      <c r="X141" s="176"/>
      <c r="Y141" s="176"/>
      <c r="Z141" s="176"/>
      <c r="AA141" s="176"/>
      <c r="AB141" s="176"/>
      <c r="AC141" s="176"/>
      <c r="AD141" s="96">
        <v>40000000</v>
      </c>
      <c r="AE141" s="176"/>
      <c r="AF141" s="176"/>
      <c r="AG141" s="69">
        <f>+X141+Y141+Z141+AA141+AB141+AC141+AD141+AE141+AF141</f>
        <v>40000000</v>
      </c>
      <c r="AH141" s="78"/>
      <c r="AI141" s="78"/>
      <c r="AJ141" s="78"/>
      <c r="AK141" s="78"/>
      <c r="AL141" s="78"/>
      <c r="AM141" s="78"/>
      <c r="AN141" s="78">
        <v>41200000</v>
      </c>
      <c r="AO141" s="78"/>
      <c r="AP141" s="78"/>
      <c r="AQ141" s="71">
        <f>AH141+AI141+AJ141+AK141+AL141+AM141+AN141+AO141+AP141</f>
        <v>41200000</v>
      </c>
      <c r="AR141" s="78"/>
      <c r="AS141" s="78"/>
      <c r="AT141" s="78"/>
      <c r="AU141" s="78"/>
      <c r="AV141" s="78"/>
      <c r="AW141" s="78"/>
      <c r="AX141" s="78">
        <v>42400000</v>
      </c>
      <c r="AY141" s="78"/>
      <c r="AZ141" s="78"/>
      <c r="BA141" s="78">
        <f>SUM(AR141:AZ141)</f>
        <v>42400000</v>
      </c>
      <c r="BB141" s="78"/>
      <c r="BC141" s="78"/>
      <c r="BD141" s="78"/>
      <c r="BE141" s="78"/>
      <c r="BF141" s="78"/>
      <c r="BG141" s="78"/>
      <c r="BH141" s="78">
        <v>43700000</v>
      </c>
      <c r="BI141" s="78"/>
      <c r="BJ141" s="78"/>
      <c r="BK141" s="78">
        <f>SUM(BB141:BJ141)</f>
        <v>43700000</v>
      </c>
      <c r="BL141" s="603">
        <f>AG141+AQ141+BA141+BK141</f>
        <v>167300000</v>
      </c>
    </row>
    <row r="142" spans="1:65" ht="78.75" customHeight="1" x14ac:dyDescent="0.2">
      <c r="A142" s="56"/>
      <c r="B142" s="56">
        <v>3</v>
      </c>
      <c r="C142" s="124"/>
      <c r="D142" s="124"/>
      <c r="E142" s="506">
        <v>17</v>
      </c>
      <c r="F142" s="225" t="s">
        <v>296</v>
      </c>
      <c r="G142" s="226" t="s">
        <v>297</v>
      </c>
      <c r="H142" s="227">
        <v>0.5</v>
      </c>
      <c r="I142" s="59">
        <v>100</v>
      </c>
      <c r="J142" s="60" t="s">
        <v>352</v>
      </c>
      <c r="K142" s="229" t="s">
        <v>353</v>
      </c>
      <c r="L142" s="210" t="s">
        <v>263</v>
      </c>
      <c r="M142" s="210">
        <v>1</v>
      </c>
      <c r="N142" s="215" t="s">
        <v>54</v>
      </c>
      <c r="O142" s="218">
        <v>0</v>
      </c>
      <c r="P142" s="216">
        <v>6</v>
      </c>
      <c r="Q142" s="216">
        <v>6</v>
      </c>
      <c r="R142" s="216">
        <v>6</v>
      </c>
      <c r="S142" s="216">
        <v>6</v>
      </c>
      <c r="T142" s="216">
        <v>6</v>
      </c>
      <c r="U142" s="211">
        <f>AG142/$AG$139</f>
        <v>0.97560975609756095</v>
      </c>
      <c r="V142" s="64">
        <v>4</v>
      </c>
      <c r="W142" s="126" t="s">
        <v>110</v>
      </c>
      <c r="X142" s="176"/>
      <c r="Y142" s="176"/>
      <c r="Z142" s="176"/>
      <c r="AA142" s="176"/>
      <c r="AB142" s="176"/>
      <c r="AC142" s="176"/>
      <c r="AD142" s="176"/>
      <c r="AE142" s="176"/>
      <c r="AF142" s="176">
        <v>4000000000</v>
      </c>
      <c r="AG142" s="69">
        <f>+X142+Y142+Z142+AA142+AB142+AC142+AD142+AE142+AF142</f>
        <v>4000000000</v>
      </c>
      <c r="AH142" s="78"/>
      <c r="AI142" s="78"/>
      <c r="AJ142" s="78"/>
      <c r="AK142" s="78"/>
      <c r="AL142" s="78"/>
      <c r="AM142" s="78"/>
      <c r="AN142" s="78"/>
      <c r="AO142" s="78"/>
      <c r="AP142" s="78">
        <v>4000000000</v>
      </c>
      <c r="AQ142" s="71">
        <f>AH142+AI142+AJ142+AK142+AL142+AM142+AN142+AO142+AP142</f>
        <v>4000000000</v>
      </c>
      <c r="AR142" s="78"/>
      <c r="AS142" s="78"/>
      <c r="AT142" s="78"/>
      <c r="AU142" s="78"/>
      <c r="AV142" s="78"/>
      <c r="AW142" s="78"/>
      <c r="AX142" s="78"/>
      <c r="AY142" s="78"/>
      <c r="AZ142" s="78">
        <v>4000000000</v>
      </c>
      <c r="BA142" s="78">
        <f>SUM(AR142:AZ142)</f>
        <v>4000000000</v>
      </c>
      <c r="BB142" s="78"/>
      <c r="BC142" s="78"/>
      <c r="BD142" s="78"/>
      <c r="BE142" s="78"/>
      <c r="BF142" s="78"/>
      <c r="BG142" s="78"/>
      <c r="BH142" s="78"/>
      <c r="BI142" s="78"/>
      <c r="BJ142" s="78">
        <v>5000000000</v>
      </c>
      <c r="BK142" s="78">
        <f>SUM(BB142:BJ142)</f>
        <v>5000000000</v>
      </c>
      <c r="BL142" s="603">
        <f>AG142+AQ142+BA142+BK142</f>
        <v>17000000000</v>
      </c>
    </row>
    <row r="143" spans="1:65" ht="78.75" customHeight="1" x14ac:dyDescent="0.2">
      <c r="A143" s="74">
        <v>102</v>
      </c>
      <c r="B143" s="56">
        <v>3</v>
      </c>
      <c r="C143" s="124"/>
      <c r="D143" s="124"/>
      <c r="E143" s="81">
        <v>18</v>
      </c>
      <c r="F143" s="57" t="s">
        <v>300</v>
      </c>
      <c r="G143" s="65">
        <v>6</v>
      </c>
      <c r="H143" s="65">
        <v>12</v>
      </c>
      <c r="I143" s="59">
        <v>101</v>
      </c>
      <c r="J143" s="60" t="s">
        <v>354</v>
      </c>
      <c r="K143" s="229" t="s">
        <v>355</v>
      </c>
      <c r="L143" s="210" t="s">
        <v>263</v>
      </c>
      <c r="M143" s="210">
        <v>1</v>
      </c>
      <c r="N143" s="215" t="s">
        <v>54</v>
      </c>
      <c r="O143" s="218">
        <v>0</v>
      </c>
      <c r="P143" s="216">
        <v>54</v>
      </c>
      <c r="Q143" s="216">
        <v>54</v>
      </c>
      <c r="R143" s="216">
        <v>54</v>
      </c>
      <c r="S143" s="216">
        <v>54</v>
      </c>
      <c r="T143" s="216">
        <v>54</v>
      </c>
      <c r="U143" s="211">
        <f>AG143/$AG$139</f>
        <v>8.5365853658536592E-3</v>
      </c>
      <c r="V143" s="64">
        <v>4</v>
      </c>
      <c r="W143" s="126" t="s">
        <v>110</v>
      </c>
      <c r="X143" s="176"/>
      <c r="Y143" s="176"/>
      <c r="Z143" s="176"/>
      <c r="AA143" s="176"/>
      <c r="AB143" s="176"/>
      <c r="AC143" s="176"/>
      <c r="AD143" s="96">
        <v>35000000</v>
      </c>
      <c r="AE143" s="176"/>
      <c r="AF143" s="176"/>
      <c r="AG143" s="69">
        <f>+X143+Y143+Z143+AA143+AB143+AC143+AD143+AE143+AF143</f>
        <v>35000000</v>
      </c>
      <c r="AH143" s="78"/>
      <c r="AI143" s="78"/>
      <c r="AJ143" s="78"/>
      <c r="AK143" s="78"/>
      <c r="AL143" s="78"/>
      <c r="AM143" s="78"/>
      <c r="AN143" s="78">
        <v>36050000</v>
      </c>
      <c r="AO143" s="78"/>
      <c r="AP143" s="78"/>
      <c r="AQ143" s="71">
        <f>AH143+AI143+AJ143+AK143+AL143+AM143+AN143+AO143+AP143</f>
        <v>36050000</v>
      </c>
      <c r="AR143" s="78"/>
      <c r="AS143" s="78"/>
      <c r="AT143" s="78"/>
      <c r="AU143" s="78"/>
      <c r="AV143" s="78"/>
      <c r="AW143" s="78"/>
      <c r="AX143" s="78">
        <v>37000000</v>
      </c>
      <c r="AY143" s="78"/>
      <c r="AZ143" s="78"/>
      <c r="BA143" s="78">
        <f>SUM(AR143:AZ143)</f>
        <v>37000000</v>
      </c>
      <c r="BB143" s="78"/>
      <c r="BC143" s="78"/>
      <c r="BD143" s="78"/>
      <c r="BE143" s="78"/>
      <c r="BF143" s="78"/>
      <c r="BG143" s="78"/>
      <c r="BH143" s="78">
        <v>38245000</v>
      </c>
      <c r="BI143" s="78"/>
      <c r="BJ143" s="78"/>
      <c r="BK143" s="78">
        <f>SUM(BB143:BJ143)</f>
        <v>38245000</v>
      </c>
      <c r="BL143" s="603">
        <f>AG143+AQ143+BA143+BK143</f>
        <v>146295000</v>
      </c>
    </row>
    <row r="144" spans="1:65" ht="78.75" customHeight="1" x14ac:dyDescent="0.2">
      <c r="A144" s="56">
        <v>103</v>
      </c>
      <c r="B144" s="56">
        <v>3</v>
      </c>
      <c r="C144" s="124"/>
      <c r="D144" s="124"/>
      <c r="E144" s="506">
        <v>19</v>
      </c>
      <c r="F144" s="107" t="s">
        <v>303</v>
      </c>
      <c r="G144" s="149" t="s">
        <v>304</v>
      </c>
      <c r="H144" s="193" t="s">
        <v>305</v>
      </c>
      <c r="I144" s="59">
        <v>102</v>
      </c>
      <c r="J144" s="60" t="s">
        <v>356</v>
      </c>
      <c r="K144" s="229" t="s">
        <v>357</v>
      </c>
      <c r="L144" s="210" t="s">
        <v>263</v>
      </c>
      <c r="M144" s="210">
        <v>1</v>
      </c>
      <c r="N144" s="487" t="s">
        <v>69</v>
      </c>
      <c r="O144" s="218">
        <v>0</v>
      </c>
      <c r="P144" s="483">
        <v>7</v>
      </c>
      <c r="Q144" s="216">
        <v>1</v>
      </c>
      <c r="R144" s="216">
        <v>4</v>
      </c>
      <c r="S144" s="216">
        <v>6</v>
      </c>
      <c r="T144" s="216">
        <v>7</v>
      </c>
      <c r="U144" s="211">
        <f>AG144/$AG$139</f>
        <v>1.2195121951219512E-3</v>
      </c>
      <c r="V144" s="64">
        <v>4</v>
      </c>
      <c r="W144" s="126" t="s">
        <v>110</v>
      </c>
      <c r="X144" s="176"/>
      <c r="Y144" s="176"/>
      <c r="Z144" s="176"/>
      <c r="AA144" s="176"/>
      <c r="AB144" s="176"/>
      <c r="AC144" s="176"/>
      <c r="AD144" s="96">
        <v>5000000</v>
      </c>
      <c r="AE144" s="176"/>
      <c r="AF144" s="176"/>
      <c r="AG144" s="69">
        <f>+X144+Y144+Z144+AA144+AB144+AC144+AD144+AE144+AF144</f>
        <v>5000000</v>
      </c>
      <c r="AH144" s="78"/>
      <c r="AI144" s="78"/>
      <c r="AJ144" s="78"/>
      <c r="AK144" s="78"/>
      <c r="AL144" s="78"/>
      <c r="AM144" s="78"/>
      <c r="AN144" s="78">
        <v>5150000</v>
      </c>
      <c r="AO144" s="78"/>
      <c r="AP144" s="78"/>
      <c r="AQ144" s="71">
        <f>AH144+AI144+AJ144+AK144+AL144+AM144+AN144+AO144+AP144</f>
        <v>5150000</v>
      </c>
      <c r="AR144" s="78"/>
      <c r="AS144" s="78"/>
      <c r="AT144" s="78"/>
      <c r="AU144" s="78"/>
      <c r="AV144" s="78"/>
      <c r="AW144" s="78"/>
      <c r="AX144" s="78">
        <v>5490000</v>
      </c>
      <c r="AY144" s="78"/>
      <c r="AZ144" s="78"/>
      <c r="BA144" s="78">
        <f>SUM(AR144:AZ144)</f>
        <v>5490000</v>
      </c>
      <c r="BB144" s="78"/>
      <c r="BC144" s="78"/>
      <c r="BD144" s="78"/>
      <c r="BE144" s="78"/>
      <c r="BF144" s="78"/>
      <c r="BG144" s="78"/>
      <c r="BH144" s="78">
        <v>5477700</v>
      </c>
      <c r="BI144" s="78"/>
      <c r="BJ144" s="78"/>
      <c r="BK144" s="78">
        <f>SUM(BB144:BJ144)</f>
        <v>5477700</v>
      </c>
      <c r="BL144" s="603">
        <f>AG144+AQ144+BA144+BK144</f>
        <v>21117700</v>
      </c>
      <c r="BM144" s="3"/>
    </row>
    <row r="145" spans="1:79" ht="24.75" customHeight="1" x14ac:dyDescent="0.2">
      <c r="A145" s="56"/>
      <c r="B145" s="56"/>
      <c r="C145" s="124"/>
      <c r="D145" s="124"/>
      <c r="E145" s="44">
        <v>24</v>
      </c>
      <c r="F145" s="82" t="s">
        <v>358</v>
      </c>
      <c r="G145" s="108"/>
      <c r="H145" s="84"/>
      <c r="I145" s="47"/>
      <c r="J145" s="84"/>
      <c r="K145" s="84"/>
      <c r="L145" s="47"/>
      <c r="M145" s="47"/>
      <c r="N145" s="85"/>
      <c r="O145" s="84"/>
      <c r="P145" s="84"/>
      <c r="Q145" s="86"/>
      <c r="R145" s="84"/>
      <c r="S145" s="84"/>
      <c r="T145" s="84"/>
      <c r="U145" s="84" t="s">
        <v>61</v>
      </c>
      <c r="V145" s="84"/>
      <c r="W145" s="84"/>
      <c r="X145" s="459">
        <f>SUM(X146:X150)</f>
        <v>0</v>
      </c>
      <c r="Y145" s="459">
        <f t="shared" ref="Y145:AN145" si="192">SUM(Y146:Y150)</f>
        <v>0</v>
      </c>
      <c r="Z145" s="459">
        <f t="shared" si="192"/>
        <v>80000000</v>
      </c>
      <c r="AA145" s="459">
        <f t="shared" si="192"/>
        <v>0</v>
      </c>
      <c r="AB145" s="459">
        <f t="shared" si="192"/>
        <v>0</v>
      </c>
      <c r="AC145" s="459">
        <f t="shared" si="192"/>
        <v>0</v>
      </c>
      <c r="AD145" s="459">
        <f t="shared" si="192"/>
        <v>100000000</v>
      </c>
      <c r="AE145" s="459">
        <f t="shared" si="192"/>
        <v>0</v>
      </c>
      <c r="AF145" s="459">
        <f t="shared" si="192"/>
        <v>0</v>
      </c>
      <c r="AG145" s="459">
        <f t="shared" si="192"/>
        <v>180000000</v>
      </c>
      <c r="AH145" s="459">
        <f t="shared" si="192"/>
        <v>0</v>
      </c>
      <c r="AI145" s="459">
        <f t="shared" si="192"/>
        <v>0</v>
      </c>
      <c r="AJ145" s="459">
        <f t="shared" si="192"/>
        <v>90000000</v>
      </c>
      <c r="AK145" s="459">
        <f t="shared" si="192"/>
        <v>0</v>
      </c>
      <c r="AL145" s="459">
        <f t="shared" si="192"/>
        <v>0</v>
      </c>
      <c r="AM145" s="459">
        <f t="shared" si="192"/>
        <v>0</v>
      </c>
      <c r="AN145" s="459">
        <f t="shared" si="192"/>
        <v>103000000</v>
      </c>
      <c r="AO145" s="459">
        <f t="shared" ref="AO145:AQ145" si="193">SUM(AO146:AO150)</f>
        <v>0</v>
      </c>
      <c r="AP145" s="459">
        <f t="shared" si="193"/>
        <v>0</v>
      </c>
      <c r="AQ145" s="459">
        <f t="shared" si="193"/>
        <v>193000000</v>
      </c>
      <c r="AR145" s="84"/>
      <c r="AS145" s="84"/>
      <c r="AT145" s="84"/>
      <c r="AU145" s="84"/>
      <c r="AV145" s="84"/>
      <c r="AW145" s="84"/>
      <c r="AX145" s="84"/>
      <c r="AY145" s="84"/>
      <c r="AZ145" s="84"/>
      <c r="BA145" s="459">
        <f t="shared" ref="BA145" si="194">SUM(BA146:BA150)</f>
        <v>146090000</v>
      </c>
      <c r="BB145" s="84"/>
      <c r="BC145" s="84"/>
      <c r="BD145" s="84"/>
      <c r="BE145" s="84"/>
      <c r="BF145" s="84"/>
      <c r="BG145" s="84"/>
      <c r="BH145" s="84"/>
      <c r="BI145" s="84"/>
      <c r="BJ145" s="84"/>
      <c r="BK145" s="459">
        <f t="shared" ref="BK145:BL145" si="195">SUM(BK146:BK150)</f>
        <v>129272700.0033333</v>
      </c>
      <c r="BL145" s="610">
        <f t="shared" si="195"/>
        <v>648362700.00333333</v>
      </c>
    </row>
    <row r="146" spans="1:79" ht="74.25" customHeight="1" x14ac:dyDescent="0.2">
      <c r="A146" s="74">
        <v>104</v>
      </c>
      <c r="B146" s="56">
        <v>3</v>
      </c>
      <c r="C146" s="124"/>
      <c r="D146" s="124"/>
      <c r="E146" s="81">
        <v>16</v>
      </c>
      <c r="F146" s="57" t="s">
        <v>334</v>
      </c>
      <c r="G146" s="65">
        <v>45</v>
      </c>
      <c r="H146" s="65">
        <v>90</v>
      </c>
      <c r="I146" s="64">
        <v>103</v>
      </c>
      <c r="J146" s="60" t="s">
        <v>359</v>
      </c>
      <c r="K146" s="229" t="s">
        <v>360</v>
      </c>
      <c r="L146" s="210" t="s">
        <v>263</v>
      </c>
      <c r="M146" s="210">
        <v>1</v>
      </c>
      <c r="N146" s="482" t="s">
        <v>69</v>
      </c>
      <c r="O146" s="486">
        <v>3</v>
      </c>
      <c r="P146" s="483">
        <v>12</v>
      </c>
      <c r="Q146" s="483">
        <v>4</v>
      </c>
      <c r="R146" s="536">
        <v>3</v>
      </c>
      <c r="S146" s="216">
        <v>3</v>
      </c>
      <c r="T146" s="216">
        <v>2</v>
      </c>
      <c r="U146" s="211">
        <f t="shared" ref="U146:U149" si="196">AG146/$AG$139</f>
        <v>4.8780487804878049E-3</v>
      </c>
      <c r="V146" s="64">
        <v>4</v>
      </c>
      <c r="W146" s="126" t="s">
        <v>110</v>
      </c>
      <c r="X146" s="176"/>
      <c r="Y146" s="176"/>
      <c r="Z146" s="176"/>
      <c r="AA146" s="176"/>
      <c r="AB146" s="176"/>
      <c r="AC146" s="176"/>
      <c r="AD146" s="176">
        <v>20000000</v>
      </c>
      <c r="AE146" s="176"/>
      <c r="AF146" s="176"/>
      <c r="AG146" s="69">
        <f>+X146+Y146+Z146+AA146+AB146+AC146+AD146+AE146+AF146</f>
        <v>20000000</v>
      </c>
      <c r="AH146" s="78"/>
      <c r="AI146" s="78"/>
      <c r="AJ146" s="78"/>
      <c r="AK146" s="78"/>
      <c r="AL146" s="78"/>
      <c r="AM146" s="78"/>
      <c r="AN146" s="78">
        <v>21400000</v>
      </c>
      <c r="AO146" s="78"/>
      <c r="AP146" s="78"/>
      <c r="AQ146" s="71">
        <f>AH146+AI146+AJ146+AK146+AL146+AM146+AN146+AO146+AP146</f>
        <v>21400000</v>
      </c>
      <c r="AR146" s="78"/>
      <c r="AS146" s="78"/>
      <c r="AT146" s="78"/>
      <c r="AU146" s="78"/>
      <c r="AV146" s="78"/>
      <c r="AW146" s="78"/>
      <c r="AX146" s="78">
        <v>16200000</v>
      </c>
      <c r="AY146" s="78"/>
      <c r="AZ146" s="78"/>
      <c r="BA146" s="78">
        <f>SUM(AR146:AZ146)</f>
        <v>16200000</v>
      </c>
      <c r="BB146" s="78"/>
      <c r="BC146" s="78"/>
      <c r="BD146" s="78"/>
      <c r="BE146" s="78"/>
      <c r="BF146" s="78"/>
      <c r="BG146" s="78"/>
      <c r="BH146" s="78">
        <v>14300000</v>
      </c>
      <c r="BI146" s="78"/>
      <c r="BJ146" s="78"/>
      <c r="BK146" s="78">
        <f>SUM(BB146:BJ146)</f>
        <v>14300000</v>
      </c>
      <c r="BL146" s="603">
        <f>AG146+AQ146+BA146+BK146</f>
        <v>71900000</v>
      </c>
      <c r="BM146" s="3"/>
    </row>
    <row r="147" spans="1:79" ht="120.75" customHeight="1" x14ac:dyDescent="0.2">
      <c r="A147" s="56">
        <v>105</v>
      </c>
      <c r="B147" s="56">
        <v>3</v>
      </c>
      <c r="C147" s="124"/>
      <c r="D147" s="124"/>
      <c r="E147" s="79"/>
      <c r="F147" s="107"/>
      <c r="G147" s="490"/>
      <c r="H147" s="490"/>
      <c r="I147" s="64">
        <v>104</v>
      </c>
      <c r="J147" s="60" t="s">
        <v>361</v>
      </c>
      <c r="K147" s="229" t="s">
        <v>362</v>
      </c>
      <c r="L147" s="210" t="s">
        <v>263</v>
      </c>
      <c r="M147" s="210">
        <v>1</v>
      </c>
      <c r="N147" s="482" t="s">
        <v>69</v>
      </c>
      <c r="O147" s="486">
        <v>4</v>
      </c>
      <c r="P147" s="483">
        <v>50</v>
      </c>
      <c r="Q147" s="483">
        <v>10</v>
      </c>
      <c r="R147" s="216">
        <v>27</v>
      </c>
      <c r="S147" s="216">
        <v>44</v>
      </c>
      <c r="T147" s="216">
        <v>50</v>
      </c>
      <c r="U147" s="211">
        <f t="shared" si="196"/>
        <v>7.3170731707317077E-3</v>
      </c>
      <c r="V147" s="64">
        <v>4</v>
      </c>
      <c r="W147" s="126" t="s">
        <v>110</v>
      </c>
      <c r="X147" s="176"/>
      <c r="Y147" s="176"/>
      <c r="Z147" s="176"/>
      <c r="AA147" s="176"/>
      <c r="AB147" s="176"/>
      <c r="AC147" s="176"/>
      <c r="AD147" s="176">
        <v>30000000</v>
      </c>
      <c r="AE147" s="176"/>
      <c r="AF147" s="176"/>
      <c r="AG147" s="69">
        <f>+X147+Y147+Z147+AA147+AB147+AC147+AD147+AE147+AF147</f>
        <v>30000000</v>
      </c>
      <c r="AH147" s="78"/>
      <c r="AI147" s="78"/>
      <c r="AJ147" s="78"/>
      <c r="AK147" s="78"/>
      <c r="AL147" s="78"/>
      <c r="AM147" s="78"/>
      <c r="AN147" s="78">
        <v>32100000</v>
      </c>
      <c r="AO147" s="78"/>
      <c r="AP147" s="78"/>
      <c r="AQ147" s="71">
        <f>AH147+AI147+AJ147+AK147+AL147+AM147+AN147+AO147+AP147</f>
        <v>32100000</v>
      </c>
      <c r="AR147" s="78"/>
      <c r="AS147" s="78"/>
      <c r="AT147" s="78"/>
      <c r="AU147" s="78"/>
      <c r="AV147" s="78"/>
      <c r="AW147" s="78"/>
      <c r="AX147" s="78">
        <v>24300000</v>
      </c>
      <c r="AY147" s="78"/>
      <c r="AZ147" s="78"/>
      <c r="BA147" s="78">
        <f>SUM(AR147:AZ147)</f>
        <v>24300000</v>
      </c>
      <c r="BB147" s="78"/>
      <c r="BC147" s="78"/>
      <c r="BD147" s="78"/>
      <c r="BE147" s="78"/>
      <c r="BF147" s="78"/>
      <c r="BG147" s="78"/>
      <c r="BH147" s="78">
        <v>21500000</v>
      </c>
      <c r="BI147" s="78"/>
      <c r="BJ147" s="78"/>
      <c r="BK147" s="78">
        <f>SUM(BB147:BJ147)</f>
        <v>21500000</v>
      </c>
      <c r="BL147" s="603">
        <f>AG147+AQ147+BA147+BK147</f>
        <v>107900000</v>
      </c>
    </row>
    <row r="148" spans="1:79" ht="62.25" customHeight="1" x14ac:dyDescent="0.2">
      <c r="A148" s="74">
        <v>106</v>
      </c>
      <c r="B148" s="56">
        <v>3</v>
      </c>
      <c r="C148" s="124"/>
      <c r="D148" s="124"/>
      <c r="E148" s="506">
        <v>17</v>
      </c>
      <c r="F148" s="225" t="s">
        <v>296</v>
      </c>
      <c r="G148" s="226" t="s">
        <v>297</v>
      </c>
      <c r="H148" s="227">
        <v>0.5</v>
      </c>
      <c r="I148" s="64">
        <v>105</v>
      </c>
      <c r="J148" s="60" t="s">
        <v>363</v>
      </c>
      <c r="K148" s="229" t="s">
        <v>362</v>
      </c>
      <c r="L148" s="210" t="s">
        <v>263</v>
      </c>
      <c r="M148" s="210">
        <v>1</v>
      </c>
      <c r="N148" s="215" t="s">
        <v>54</v>
      </c>
      <c r="O148" s="218">
        <v>43</v>
      </c>
      <c r="P148" s="216">
        <v>47</v>
      </c>
      <c r="Q148" s="216">
        <v>47</v>
      </c>
      <c r="R148" s="216">
        <v>47</v>
      </c>
      <c r="S148" s="216">
        <v>47</v>
      </c>
      <c r="T148" s="216">
        <v>47</v>
      </c>
      <c r="U148" s="211">
        <f t="shared" si="196"/>
        <v>7.3170731707317077E-3</v>
      </c>
      <c r="V148" s="64">
        <v>4</v>
      </c>
      <c r="W148" s="126" t="s">
        <v>110</v>
      </c>
      <c r="X148" s="176"/>
      <c r="Y148" s="176"/>
      <c r="Z148" s="176">
        <v>30000000</v>
      </c>
      <c r="AA148" s="176"/>
      <c r="AB148" s="176"/>
      <c r="AC148" s="176"/>
      <c r="AD148" s="176"/>
      <c r="AE148" s="176"/>
      <c r="AF148" s="176"/>
      <c r="AG148" s="69">
        <f>+X148+Y148+Z148+AA148+AB148+AC148+AD148+AE148+AF148</f>
        <v>30000000</v>
      </c>
      <c r="AH148" s="78"/>
      <c r="AI148" s="78"/>
      <c r="AJ148" s="78">
        <v>32100000</v>
      </c>
      <c r="AK148" s="78"/>
      <c r="AL148" s="78"/>
      <c r="AM148" s="78"/>
      <c r="AN148" s="78"/>
      <c r="AO148" s="78"/>
      <c r="AP148" s="78"/>
      <c r="AQ148" s="71">
        <f>AH148+AI148+AJ148+AK148+AL148+AM148+AN148+AO148+AP148</f>
        <v>32100000</v>
      </c>
      <c r="AR148" s="78"/>
      <c r="AS148" s="78"/>
      <c r="AT148" s="78"/>
      <c r="AU148" s="78"/>
      <c r="AV148" s="78"/>
      <c r="AW148" s="78"/>
      <c r="AX148" s="78">
        <v>24300000</v>
      </c>
      <c r="AY148" s="78"/>
      <c r="AZ148" s="78"/>
      <c r="BA148" s="78">
        <f>SUM(AR148:AZ148)</f>
        <v>24300000</v>
      </c>
      <c r="BB148" s="78"/>
      <c r="BC148" s="78"/>
      <c r="BD148" s="78"/>
      <c r="BE148" s="78"/>
      <c r="BF148" s="78"/>
      <c r="BG148" s="78"/>
      <c r="BH148" s="78">
        <v>21500000</v>
      </c>
      <c r="BI148" s="78"/>
      <c r="BJ148" s="78"/>
      <c r="BK148" s="78">
        <f>SUM(BB148:BJ148)</f>
        <v>21500000</v>
      </c>
      <c r="BL148" s="603">
        <f>AG148+AQ148+BA148+BK148</f>
        <v>107900000</v>
      </c>
    </row>
    <row r="149" spans="1:79" ht="92.25" customHeight="1" x14ac:dyDescent="0.2">
      <c r="A149" s="74"/>
      <c r="B149" s="56"/>
      <c r="C149" s="124"/>
      <c r="D149" s="124"/>
      <c r="E149" s="81">
        <v>18</v>
      </c>
      <c r="F149" s="57" t="s">
        <v>300</v>
      </c>
      <c r="G149" s="65">
        <v>6</v>
      </c>
      <c r="H149" s="65">
        <v>12</v>
      </c>
      <c r="I149" s="64">
        <v>106</v>
      </c>
      <c r="J149" s="60" t="s">
        <v>364</v>
      </c>
      <c r="K149" s="229" t="s">
        <v>365</v>
      </c>
      <c r="L149" s="210" t="s">
        <v>263</v>
      </c>
      <c r="M149" s="210">
        <v>1</v>
      </c>
      <c r="N149" s="215" t="s">
        <v>54</v>
      </c>
      <c r="O149" s="218">
        <v>0</v>
      </c>
      <c r="P149" s="216">
        <v>1</v>
      </c>
      <c r="Q149" s="216">
        <v>1</v>
      </c>
      <c r="R149" s="216">
        <v>1</v>
      </c>
      <c r="S149" s="216">
        <v>0.875</v>
      </c>
      <c r="T149" s="216">
        <v>1</v>
      </c>
      <c r="U149" s="211">
        <f t="shared" si="196"/>
        <v>1.2195121951219513E-2</v>
      </c>
      <c r="V149" s="64">
        <v>4</v>
      </c>
      <c r="W149" s="126" t="s">
        <v>110</v>
      </c>
      <c r="X149" s="176"/>
      <c r="Y149" s="176"/>
      <c r="Z149" s="176">
        <v>50000000</v>
      </c>
      <c r="AA149" s="176"/>
      <c r="AB149" s="176"/>
      <c r="AC149" s="176"/>
      <c r="AD149" s="176"/>
      <c r="AE149" s="176"/>
      <c r="AF149" s="176"/>
      <c r="AG149" s="69">
        <f>+X149+Y149+Z149+AA149+AB149+AC149+AD149+AE149+AF149</f>
        <v>50000000</v>
      </c>
      <c r="AH149" s="78"/>
      <c r="AI149" s="78"/>
      <c r="AJ149" s="78">
        <v>53600000</v>
      </c>
      <c r="AK149" s="78"/>
      <c r="AL149" s="78"/>
      <c r="AM149" s="78"/>
      <c r="AN149" s="78"/>
      <c r="AO149" s="78"/>
      <c r="AP149" s="78"/>
      <c r="AQ149" s="71">
        <f>AH149+AI149+AJ149+AK149+AL149+AM149+AN149+AO149+AP149</f>
        <v>53600000</v>
      </c>
      <c r="AR149" s="78"/>
      <c r="AS149" s="78"/>
      <c r="AT149" s="78"/>
      <c r="AU149" s="78"/>
      <c r="AV149" s="78"/>
      <c r="AW149" s="78"/>
      <c r="AX149" s="78">
        <v>40500000</v>
      </c>
      <c r="AY149" s="78"/>
      <c r="AZ149" s="78"/>
      <c r="BA149" s="78">
        <f>SUM(AR149:AZ149)</f>
        <v>40500000</v>
      </c>
      <c r="BB149" s="78"/>
      <c r="BC149" s="78"/>
      <c r="BD149" s="78"/>
      <c r="BE149" s="78"/>
      <c r="BF149" s="78"/>
      <c r="BG149" s="78"/>
      <c r="BH149" s="78">
        <v>35900000</v>
      </c>
      <c r="BI149" s="78"/>
      <c r="BJ149" s="78"/>
      <c r="BK149" s="78">
        <f>SUM(BB149:BJ149)</f>
        <v>35900000</v>
      </c>
      <c r="BL149" s="603">
        <f>AG149+AQ149+BA149+BK149</f>
        <v>180000000</v>
      </c>
    </row>
    <row r="150" spans="1:79" ht="92.25" customHeight="1" x14ac:dyDescent="0.2">
      <c r="A150" s="56">
        <v>107</v>
      </c>
      <c r="B150" s="56">
        <v>3</v>
      </c>
      <c r="C150" s="124"/>
      <c r="D150" s="183"/>
      <c r="E150" s="506">
        <v>19</v>
      </c>
      <c r="F150" s="107" t="s">
        <v>303</v>
      </c>
      <c r="G150" s="149" t="s">
        <v>304</v>
      </c>
      <c r="H150" s="193" t="s">
        <v>305</v>
      </c>
      <c r="I150" s="59">
        <v>107</v>
      </c>
      <c r="J150" s="60" t="s">
        <v>366</v>
      </c>
      <c r="K150" s="57" t="s">
        <v>367</v>
      </c>
      <c r="L150" s="210" t="s">
        <v>263</v>
      </c>
      <c r="M150" s="210">
        <v>1</v>
      </c>
      <c r="N150" s="240" t="s">
        <v>54</v>
      </c>
      <c r="O150" s="64">
        <v>1</v>
      </c>
      <c r="P150" s="64">
        <v>1</v>
      </c>
      <c r="Q150" s="187">
        <v>1</v>
      </c>
      <c r="R150" s="187">
        <v>1</v>
      </c>
      <c r="S150" s="187">
        <v>1</v>
      </c>
      <c r="T150" s="187">
        <v>1</v>
      </c>
      <c r="U150" s="239">
        <f>AG150/$AG$145</f>
        <v>0.27777777777777779</v>
      </c>
      <c r="V150" s="64">
        <v>4</v>
      </c>
      <c r="W150" s="126" t="s">
        <v>110</v>
      </c>
      <c r="X150" s="176"/>
      <c r="Y150" s="176"/>
      <c r="Z150" s="176"/>
      <c r="AA150" s="176"/>
      <c r="AB150" s="176"/>
      <c r="AC150" s="176"/>
      <c r="AD150" s="176">
        <v>50000000</v>
      </c>
      <c r="AE150" s="176"/>
      <c r="AF150" s="176"/>
      <c r="AG150" s="69">
        <f>+X150+Y150+Z150+AA150+AB150+AC150+AD150+AE150+AF150</f>
        <v>50000000</v>
      </c>
      <c r="AH150" s="78"/>
      <c r="AI150" s="78"/>
      <c r="AJ150" s="78">
        <v>4300000</v>
      </c>
      <c r="AK150" s="78"/>
      <c r="AL150" s="78"/>
      <c r="AM150" s="78"/>
      <c r="AN150" s="78">
        <f>53800000-4300000</f>
        <v>49500000</v>
      </c>
      <c r="AO150" s="78"/>
      <c r="AP150" s="78"/>
      <c r="AQ150" s="71">
        <f>AH150+AI150+AJ150+AK150+AL150+AM150+AN150+AO150+AP150</f>
        <v>53800000</v>
      </c>
      <c r="AR150" s="78"/>
      <c r="AS150" s="78"/>
      <c r="AT150" s="78">
        <v>40000000</v>
      </c>
      <c r="AU150" s="78"/>
      <c r="AV150" s="78"/>
      <c r="AW150" s="78"/>
      <c r="AX150" s="78">
        <v>790000</v>
      </c>
      <c r="AY150" s="78"/>
      <c r="AZ150" s="78"/>
      <c r="BA150" s="78">
        <f>SUM(AR150:AZ150)</f>
        <v>40790000</v>
      </c>
      <c r="BB150" s="78"/>
      <c r="BC150" s="78"/>
      <c r="BD150" s="78">
        <v>20000000</v>
      </c>
      <c r="BE150" s="78"/>
      <c r="BF150" s="78"/>
      <c r="BG150" s="78"/>
      <c r="BH150" s="78">
        <v>16072700.0033333</v>
      </c>
      <c r="BI150" s="78"/>
      <c r="BJ150" s="78"/>
      <c r="BK150" s="78">
        <f>SUM(BB150:BJ150)</f>
        <v>36072700.0033333</v>
      </c>
      <c r="BL150" s="603">
        <f>AG150+AQ150+BA150+BK150</f>
        <v>180662700.0033333</v>
      </c>
    </row>
    <row r="151" spans="1:79" ht="24.75" customHeight="1" x14ac:dyDescent="0.2">
      <c r="A151" s="56"/>
      <c r="B151" s="56"/>
      <c r="C151" s="124"/>
      <c r="D151" s="30">
        <v>8</v>
      </c>
      <c r="E151" s="122" t="s">
        <v>368</v>
      </c>
      <c r="F151" s="33"/>
      <c r="G151" s="33"/>
      <c r="H151" s="33"/>
      <c r="I151" s="34"/>
      <c r="J151" s="35"/>
      <c r="K151" s="35"/>
      <c r="L151" s="36"/>
      <c r="M151" s="34"/>
      <c r="N151" s="37"/>
      <c r="O151" s="35"/>
      <c r="P151" s="35"/>
      <c r="Q151" s="38"/>
      <c r="R151" s="35"/>
      <c r="S151" s="35"/>
      <c r="T151" s="35"/>
      <c r="U151" s="35"/>
      <c r="V151" s="35"/>
      <c r="W151" s="35"/>
      <c r="X151" s="460">
        <f>X152+X155+X157+X159</f>
        <v>0</v>
      </c>
      <c r="Y151" s="460">
        <f t="shared" ref="Y151:AG151" si="197">Y152+Y155+Y157+Y159</f>
        <v>0</v>
      </c>
      <c r="Z151" s="460">
        <f t="shared" si="197"/>
        <v>110000000</v>
      </c>
      <c r="AA151" s="460">
        <f t="shared" si="197"/>
        <v>0</v>
      </c>
      <c r="AB151" s="460">
        <f t="shared" si="197"/>
        <v>0</v>
      </c>
      <c r="AC151" s="460">
        <f t="shared" si="197"/>
        <v>0</v>
      </c>
      <c r="AD151" s="460">
        <f t="shared" si="197"/>
        <v>13358299770</v>
      </c>
      <c r="AE151" s="460">
        <f t="shared" si="197"/>
        <v>0</v>
      </c>
      <c r="AF151" s="460">
        <f t="shared" si="197"/>
        <v>0</v>
      </c>
      <c r="AG151" s="460">
        <f t="shared" si="197"/>
        <v>13468299770</v>
      </c>
      <c r="AH151" s="460">
        <f t="shared" ref="AH151:AQ151" si="198">AH152+AH155+AH157+AH159</f>
        <v>0</v>
      </c>
      <c r="AI151" s="460">
        <f t="shared" si="198"/>
        <v>0</v>
      </c>
      <c r="AJ151" s="460">
        <f t="shared" si="198"/>
        <v>110000000</v>
      </c>
      <c r="AK151" s="460">
        <f t="shared" si="198"/>
        <v>0</v>
      </c>
      <c r="AL151" s="460">
        <f t="shared" si="198"/>
        <v>0</v>
      </c>
      <c r="AM151" s="460">
        <f t="shared" si="198"/>
        <v>0</v>
      </c>
      <c r="AN151" s="460">
        <f t="shared" si="198"/>
        <v>13708702903.85</v>
      </c>
      <c r="AO151" s="460">
        <f t="shared" si="198"/>
        <v>0</v>
      </c>
      <c r="AP151" s="460">
        <f t="shared" si="198"/>
        <v>0</v>
      </c>
      <c r="AQ151" s="460">
        <f t="shared" si="198"/>
        <v>13818702903.85</v>
      </c>
      <c r="AR151" s="35"/>
      <c r="AS151" s="35"/>
      <c r="AT151" s="35"/>
      <c r="AU151" s="35"/>
      <c r="AV151" s="35"/>
      <c r="AW151" s="35"/>
      <c r="AX151" s="35"/>
      <c r="AY151" s="35"/>
      <c r="AZ151" s="35"/>
      <c r="BA151" s="460">
        <f>BA152+BA155+BA157+BA159</f>
        <v>14159963990.9655</v>
      </c>
      <c r="BB151" s="35"/>
      <c r="BC151" s="35"/>
      <c r="BD151" s="35"/>
      <c r="BE151" s="35"/>
      <c r="BF151" s="35"/>
      <c r="BG151" s="35"/>
      <c r="BH151" s="35"/>
      <c r="BI151" s="35"/>
      <c r="BJ151" s="35"/>
      <c r="BK151" s="460">
        <f t="shared" ref="BK151" si="199">BK152+BK155+BK157+BK159</f>
        <v>14573562910.694469</v>
      </c>
      <c r="BL151" s="611">
        <f t="shared" ref="BL151" si="200">BL152+BL155+BL157+BL159</f>
        <v>56020529575.509972</v>
      </c>
    </row>
    <row r="152" spans="1:79" ht="24.75" customHeight="1" x14ac:dyDescent="0.2">
      <c r="A152" s="56"/>
      <c r="B152" s="56"/>
      <c r="C152" s="124"/>
      <c r="D152" s="417"/>
      <c r="E152" s="44">
        <v>25</v>
      </c>
      <c r="F152" s="45" t="s">
        <v>369</v>
      </c>
      <c r="G152" s="425"/>
      <c r="H152" s="156"/>
      <c r="I152" s="47"/>
      <c r="J152" s="48"/>
      <c r="K152" s="48"/>
      <c r="L152" s="47"/>
      <c r="M152" s="49"/>
      <c r="N152" s="50"/>
      <c r="O152" s="48"/>
      <c r="P152" s="48"/>
      <c r="Q152" s="51"/>
      <c r="R152" s="48"/>
      <c r="S152" s="48"/>
      <c r="T152" s="49"/>
      <c r="U152" s="125"/>
      <c r="V152" s="49"/>
      <c r="W152" s="49"/>
      <c r="X152" s="53">
        <f t="shared" ref="X152:AF152" si="201">SUM(X153:X154)</f>
        <v>0</v>
      </c>
      <c r="Y152" s="53">
        <f t="shared" si="201"/>
        <v>0</v>
      </c>
      <c r="Z152" s="53">
        <f t="shared" si="201"/>
        <v>80000000</v>
      </c>
      <c r="AA152" s="53">
        <f t="shared" si="201"/>
        <v>0</v>
      </c>
      <c r="AB152" s="53">
        <f t="shared" si="201"/>
        <v>0</v>
      </c>
      <c r="AC152" s="53">
        <f t="shared" si="201"/>
        <v>0</v>
      </c>
      <c r="AD152" s="53">
        <f t="shared" si="201"/>
        <v>0</v>
      </c>
      <c r="AE152" s="53">
        <f t="shared" si="201"/>
        <v>0</v>
      </c>
      <c r="AF152" s="53">
        <f t="shared" si="201"/>
        <v>0</v>
      </c>
      <c r="AG152" s="53">
        <f>SUM(AG153:AG154)</f>
        <v>80000000</v>
      </c>
      <c r="AH152" s="53">
        <f t="shared" ref="AH152:AQ152" si="202">SUM(AH153:AH154)</f>
        <v>0</v>
      </c>
      <c r="AI152" s="53">
        <f t="shared" si="202"/>
        <v>0</v>
      </c>
      <c r="AJ152" s="53">
        <f t="shared" si="202"/>
        <v>80000000</v>
      </c>
      <c r="AK152" s="53">
        <f t="shared" si="202"/>
        <v>0</v>
      </c>
      <c r="AL152" s="53">
        <f t="shared" si="202"/>
        <v>0</v>
      </c>
      <c r="AM152" s="53">
        <f t="shared" si="202"/>
        <v>0</v>
      </c>
      <c r="AN152" s="53">
        <f t="shared" si="202"/>
        <v>0</v>
      </c>
      <c r="AO152" s="53">
        <f t="shared" si="202"/>
        <v>0</v>
      </c>
      <c r="AP152" s="53">
        <f t="shared" si="202"/>
        <v>0</v>
      </c>
      <c r="AQ152" s="53">
        <f t="shared" si="202"/>
        <v>80000000</v>
      </c>
      <c r="AR152" s="55"/>
      <c r="AS152" s="55"/>
      <c r="AT152" s="55"/>
      <c r="AU152" s="55"/>
      <c r="AV152" s="55"/>
      <c r="AW152" s="55"/>
      <c r="AX152" s="55"/>
      <c r="AY152" s="55"/>
      <c r="AZ152" s="55"/>
      <c r="BA152" s="53">
        <f t="shared" ref="BA152" si="203">SUM(BA153:BA154)</f>
        <v>30000000</v>
      </c>
      <c r="BB152" s="55"/>
      <c r="BC152" s="55"/>
      <c r="BD152" s="55"/>
      <c r="BE152" s="55"/>
      <c r="BF152" s="55"/>
      <c r="BG152" s="55"/>
      <c r="BH152" s="55"/>
      <c r="BI152" s="55"/>
      <c r="BJ152" s="55"/>
      <c r="BK152" s="53">
        <f t="shared" ref="BK152" si="204">SUM(BK153:BK154)</f>
        <v>20000000</v>
      </c>
      <c r="BL152" s="53">
        <f t="shared" ref="BL152" si="205">SUM(BL153:BL154)</f>
        <v>210000000</v>
      </c>
    </row>
    <row r="153" spans="1:79" s="242" customFormat="1" ht="68.25" customHeight="1" x14ac:dyDescent="0.25">
      <c r="A153" s="56">
        <v>109</v>
      </c>
      <c r="B153" s="56">
        <v>3</v>
      </c>
      <c r="C153" s="124"/>
      <c r="D153" s="124"/>
      <c r="E153" s="81">
        <v>16</v>
      </c>
      <c r="F153" s="57" t="s">
        <v>370</v>
      </c>
      <c r="G153" s="81">
        <v>45</v>
      </c>
      <c r="H153" s="81">
        <v>90</v>
      </c>
      <c r="I153" s="64">
        <v>108</v>
      </c>
      <c r="J153" s="514" t="s">
        <v>371</v>
      </c>
      <c r="K153" s="514" t="s">
        <v>372</v>
      </c>
      <c r="L153" s="525" t="s">
        <v>263</v>
      </c>
      <c r="M153" s="525">
        <v>1</v>
      </c>
      <c r="N153" s="518" t="s">
        <v>54</v>
      </c>
      <c r="O153" s="525">
        <v>4</v>
      </c>
      <c r="P153" s="526">
        <v>4</v>
      </c>
      <c r="Q153" s="518">
        <v>4</v>
      </c>
      <c r="R153" s="518">
        <v>4</v>
      </c>
      <c r="S153" s="518">
        <v>4</v>
      </c>
      <c r="T153" s="518">
        <v>4</v>
      </c>
      <c r="U153" s="522">
        <f>AG153/$AG$152</f>
        <v>0.125</v>
      </c>
      <c r="V153" s="512">
        <v>16</v>
      </c>
      <c r="W153" s="512" t="s">
        <v>373</v>
      </c>
      <c r="X153" s="501"/>
      <c r="Y153" s="501"/>
      <c r="Z153" s="501">
        <v>10000000</v>
      </c>
      <c r="AA153" s="501"/>
      <c r="AB153" s="501"/>
      <c r="AC153" s="501"/>
      <c r="AD153" s="501"/>
      <c r="AE153" s="501"/>
      <c r="AF153" s="501"/>
      <c r="AG153" s="69">
        <f>+X153+Y153+Z153+AA153+AB153+AC153+AD153+AE153+AF153</f>
        <v>10000000</v>
      </c>
      <c r="AH153" s="493"/>
      <c r="AI153" s="493"/>
      <c r="AJ153" s="493">
        <v>10000000</v>
      </c>
      <c r="AK153" s="493"/>
      <c r="AL153" s="493"/>
      <c r="AM153" s="493"/>
      <c r="AN153" s="493"/>
      <c r="AO153" s="493"/>
      <c r="AP153" s="493"/>
      <c r="AQ153" s="71">
        <f>AH153+AI153+AJ153+AK153+AL153+AM153+AN153+AO153+AP153</f>
        <v>10000000</v>
      </c>
      <c r="AR153" s="493"/>
      <c r="AS153" s="493"/>
      <c r="AT153" s="493">
        <v>10000000</v>
      </c>
      <c r="AU153" s="493"/>
      <c r="AV153" s="493"/>
      <c r="AW153" s="493"/>
      <c r="AX153" s="493"/>
      <c r="AY153" s="493"/>
      <c r="AZ153" s="493"/>
      <c r="BA153" s="493">
        <f>SUM(AR153:AZ153)</f>
        <v>10000000</v>
      </c>
      <c r="BB153" s="493"/>
      <c r="BC153" s="493"/>
      <c r="BD153" s="493">
        <v>2500000</v>
      </c>
      <c r="BE153" s="493"/>
      <c r="BF153" s="493"/>
      <c r="BG153" s="493"/>
      <c r="BH153" s="493"/>
      <c r="BI153" s="493"/>
      <c r="BJ153" s="493"/>
      <c r="BK153" s="493">
        <f>SUM(BB153:BJ153)</f>
        <v>2500000</v>
      </c>
      <c r="BL153" s="603">
        <f>AG153+AQ153+BA153+BK153</f>
        <v>32500000</v>
      </c>
    </row>
    <row r="154" spans="1:79" s="242" customFormat="1" ht="68.25" customHeight="1" x14ac:dyDescent="0.2">
      <c r="A154" s="74">
        <v>110</v>
      </c>
      <c r="B154" s="56">
        <v>3</v>
      </c>
      <c r="C154" s="124"/>
      <c r="D154" s="124"/>
      <c r="E154" s="506">
        <v>16</v>
      </c>
      <c r="F154" s="517" t="s">
        <v>370</v>
      </c>
      <c r="G154" s="506">
        <v>45</v>
      </c>
      <c r="H154" s="506">
        <v>90</v>
      </c>
      <c r="I154" s="237">
        <v>109</v>
      </c>
      <c r="J154" s="60" t="s">
        <v>374</v>
      </c>
      <c r="K154" s="229" t="s">
        <v>375</v>
      </c>
      <c r="L154" s="210" t="s">
        <v>263</v>
      </c>
      <c r="M154" s="210">
        <v>1</v>
      </c>
      <c r="N154" s="526" t="s">
        <v>54</v>
      </c>
      <c r="O154" s="218">
        <v>0</v>
      </c>
      <c r="P154" s="216">
        <v>52</v>
      </c>
      <c r="Q154" s="216">
        <v>52</v>
      </c>
      <c r="R154" s="216">
        <v>52</v>
      </c>
      <c r="S154" s="216">
        <v>52</v>
      </c>
      <c r="T154" s="216">
        <v>52</v>
      </c>
      <c r="U154" s="522">
        <f>AG154/AG152</f>
        <v>0.875</v>
      </c>
      <c r="V154" s="237">
        <v>16</v>
      </c>
      <c r="W154" s="243" t="s">
        <v>373</v>
      </c>
      <c r="X154" s="426"/>
      <c r="Y154" s="426"/>
      <c r="Z154" s="106">
        <v>70000000</v>
      </c>
      <c r="AA154" s="427"/>
      <c r="AB154" s="426"/>
      <c r="AC154" s="426"/>
      <c r="AD154" s="426"/>
      <c r="AE154" s="426"/>
      <c r="AF154" s="426"/>
      <c r="AG154" s="69">
        <f>+X154+Y154+Z154+AA154+AB154+AC154+AD154+AE154+AF154</f>
        <v>70000000</v>
      </c>
      <c r="AH154" s="71"/>
      <c r="AI154" s="71"/>
      <c r="AJ154" s="244">
        <v>70000000</v>
      </c>
      <c r="AK154" s="71"/>
      <c r="AL154" s="71"/>
      <c r="AM154" s="71"/>
      <c r="AN154" s="71"/>
      <c r="AO154" s="71"/>
      <c r="AP154" s="71"/>
      <c r="AQ154" s="71">
        <f>AH154+AI154+AJ154+AK154+AL154+AM154+AN154+AO154+AP154</f>
        <v>70000000</v>
      </c>
      <c r="AR154" s="244"/>
      <c r="AS154" s="244"/>
      <c r="AT154" s="244">
        <v>20000000</v>
      </c>
      <c r="AU154" s="244"/>
      <c r="AV154" s="244"/>
      <c r="AW154" s="244"/>
      <c r="AX154" s="244"/>
      <c r="AY154" s="244"/>
      <c r="AZ154" s="244"/>
      <c r="BA154" s="244">
        <f>SUM(AR154:AZ154)</f>
        <v>20000000</v>
      </c>
      <c r="BB154" s="71"/>
      <c r="BC154" s="71"/>
      <c r="BD154" s="71">
        <v>17500000</v>
      </c>
      <c r="BE154" s="71"/>
      <c r="BF154" s="71"/>
      <c r="BG154" s="71"/>
      <c r="BH154" s="71"/>
      <c r="BI154" s="71"/>
      <c r="BJ154" s="71"/>
      <c r="BK154" s="71">
        <f>SUM(BB154:BJ154)</f>
        <v>17500000</v>
      </c>
      <c r="BL154" s="603">
        <f>AG154+AQ154+BA154+BK154</f>
        <v>177500000</v>
      </c>
    </row>
    <row r="155" spans="1:79" s="246" customFormat="1" ht="24.75" customHeight="1" x14ac:dyDescent="0.2">
      <c r="A155" s="151"/>
      <c r="B155" s="140"/>
      <c r="C155" s="124"/>
      <c r="D155" s="124"/>
      <c r="E155" s="428">
        <v>26</v>
      </c>
      <c r="F155" s="45" t="s">
        <v>376</v>
      </c>
      <c r="G155" s="83"/>
      <c r="H155" s="48"/>
      <c r="I155" s="47"/>
      <c r="J155" s="48"/>
      <c r="K155" s="156"/>
      <c r="L155" s="429"/>
      <c r="M155" s="430"/>
      <c r="N155" s="431"/>
      <c r="O155" s="156"/>
      <c r="P155" s="156"/>
      <c r="Q155" s="155"/>
      <c r="R155" s="156"/>
      <c r="S155" s="156"/>
      <c r="T155" s="430"/>
      <c r="U155" s="432"/>
      <c r="V155" s="430"/>
      <c r="W155" s="430"/>
      <c r="X155" s="53">
        <f t="shared" ref="X155:AF155" si="206">SUM(X156)</f>
        <v>0</v>
      </c>
      <c r="Y155" s="53">
        <f t="shared" si="206"/>
        <v>0</v>
      </c>
      <c r="Z155" s="53">
        <f t="shared" si="206"/>
        <v>0</v>
      </c>
      <c r="AA155" s="53">
        <f t="shared" si="206"/>
        <v>0</v>
      </c>
      <c r="AB155" s="53">
        <f t="shared" si="206"/>
        <v>0</v>
      </c>
      <c r="AC155" s="53">
        <f t="shared" si="206"/>
        <v>0</v>
      </c>
      <c r="AD155" s="53">
        <f t="shared" si="206"/>
        <v>1238299770</v>
      </c>
      <c r="AE155" s="53">
        <f t="shared" si="206"/>
        <v>0</v>
      </c>
      <c r="AF155" s="53">
        <f t="shared" si="206"/>
        <v>0</v>
      </c>
      <c r="AG155" s="54">
        <f>SUM(AG156)</f>
        <v>1238299770</v>
      </c>
      <c r="AH155" s="53">
        <f t="shared" ref="AH155:AQ155" si="207">SUM(AH156)</f>
        <v>0</v>
      </c>
      <c r="AI155" s="53">
        <f t="shared" si="207"/>
        <v>0</v>
      </c>
      <c r="AJ155" s="53">
        <f t="shared" si="207"/>
        <v>0</v>
      </c>
      <c r="AK155" s="53">
        <f t="shared" si="207"/>
        <v>0</v>
      </c>
      <c r="AL155" s="53">
        <f t="shared" si="207"/>
        <v>0</v>
      </c>
      <c r="AM155" s="53">
        <f t="shared" si="207"/>
        <v>0</v>
      </c>
      <c r="AN155" s="53">
        <f t="shared" si="207"/>
        <v>1225102903.8499999</v>
      </c>
      <c r="AO155" s="53">
        <f t="shared" si="207"/>
        <v>0</v>
      </c>
      <c r="AP155" s="53">
        <f t="shared" si="207"/>
        <v>0</v>
      </c>
      <c r="AQ155" s="53">
        <f t="shared" si="207"/>
        <v>1225102903.8499999</v>
      </c>
      <c r="AR155" s="55"/>
      <c r="AS155" s="55"/>
      <c r="AT155" s="55"/>
      <c r="AU155" s="55"/>
      <c r="AV155" s="55"/>
      <c r="AW155" s="55"/>
      <c r="AX155" s="55"/>
      <c r="AY155" s="55"/>
      <c r="AZ155" s="55"/>
      <c r="BA155" s="53">
        <f t="shared" ref="BA155" si="208">SUM(BA156)</f>
        <v>1261855990.9655001</v>
      </c>
      <c r="BB155" s="55"/>
      <c r="BC155" s="55"/>
      <c r="BD155" s="55"/>
      <c r="BE155" s="55"/>
      <c r="BF155" s="55"/>
      <c r="BG155" s="55"/>
      <c r="BH155" s="55"/>
      <c r="BI155" s="55"/>
      <c r="BJ155" s="55"/>
      <c r="BK155" s="53">
        <f t="shared" ref="BK155:BL155" si="209">SUM(BK156)</f>
        <v>1299711670.6944699</v>
      </c>
      <c r="BL155" s="53">
        <f t="shared" si="209"/>
        <v>5024970335.5099697</v>
      </c>
      <c r="BM155" s="245"/>
      <c r="BN155" s="245"/>
      <c r="BO155" s="245"/>
      <c r="BP155" s="245"/>
      <c r="BQ155" s="245"/>
      <c r="BR155" s="245"/>
      <c r="BS155" s="245"/>
      <c r="BT155" s="245"/>
      <c r="BU155" s="245"/>
      <c r="BV155" s="245"/>
      <c r="BW155" s="245"/>
      <c r="BX155" s="245"/>
      <c r="BY155" s="245"/>
      <c r="BZ155" s="245"/>
      <c r="CA155" s="245"/>
    </row>
    <row r="156" spans="1:79" s="242" customFormat="1" ht="51.75" customHeight="1" x14ac:dyDescent="0.25">
      <c r="A156" s="183">
        <v>111</v>
      </c>
      <c r="B156" s="183">
        <v>3</v>
      </c>
      <c r="C156" s="124"/>
      <c r="D156" s="124"/>
      <c r="E156" s="81">
        <v>16</v>
      </c>
      <c r="F156" s="57" t="s">
        <v>370</v>
      </c>
      <c r="G156" s="81">
        <v>45</v>
      </c>
      <c r="H156" s="81">
        <v>90</v>
      </c>
      <c r="I156" s="512">
        <v>110</v>
      </c>
      <c r="J156" s="514" t="s">
        <v>377</v>
      </c>
      <c r="K156" s="592" t="s">
        <v>378</v>
      </c>
      <c r="L156" s="525" t="s">
        <v>263</v>
      </c>
      <c r="M156" s="525">
        <v>1</v>
      </c>
      <c r="N156" s="526" t="s">
        <v>54</v>
      </c>
      <c r="O156" s="489">
        <v>180</v>
      </c>
      <c r="P156" s="530">
        <v>200</v>
      </c>
      <c r="Q156" s="526">
        <v>200</v>
      </c>
      <c r="R156" s="530">
        <v>200</v>
      </c>
      <c r="S156" s="530">
        <v>200</v>
      </c>
      <c r="T156" s="530">
        <v>200</v>
      </c>
      <c r="U156" s="522">
        <f>AG156/AG155</f>
        <v>1</v>
      </c>
      <c r="V156" s="65">
        <v>4</v>
      </c>
      <c r="W156" s="65" t="s">
        <v>110</v>
      </c>
      <c r="X156" s="500"/>
      <c r="Y156" s="500"/>
      <c r="Z156" s="500"/>
      <c r="AA156" s="500"/>
      <c r="AB156" s="500"/>
      <c r="AC156" s="500"/>
      <c r="AD156" s="500">
        <v>1238299770</v>
      </c>
      <c r="AE156" s="500"/>
      <c r="AF156" s="500"/>
      <c r="AG156" s="69">
        <f>+X156+Y156+Z156+AA156+AB156+AC156+AD156+AE156+AF156</f>
        <v>1238299770</v>
      </c>
      <c r="AH156" s="433"/>
      <c r="AI156" s="433"/>
      <c r="AJ156" s="433"/>
      <c r="AK156" s="433"/>
      <c r="AL156" s="433"/>
      <c r="AM156" s="433"/>
      <c r="AN156" s="493">
        <v>1225102903.8499999</v>
      </c>
      <c r="AO156" s="433"/>
      <c r="AP156" s="433"/>
      <c r="AQ156" s="71">
        <f>AH156+AI156+AJ156+AK156+AL156+AM156+AN156+AO156+AP156</f>
        <v>1225102903.8499999</v>
      </c>
      <c r="AR156" s="493"/>
      <c r="AS156" s="493"/>
      <c r="AT156" s="493"/>
      <c r="AU156" s="493"/>
      <c r="AV156" s="493"/>
      <c r="AW156" s="493"/>
      <c r="AX156" s="493">
        <v>1261855990.9655001</v>
      </c>
      <c r="AY156" s="493"/>
      <c r="AZ156" s="493"/>
      <c r="BA156" s="493">
        <f>SUM(AR156:AZ156)</f>
        <v>1261855990.9655001</v>
      </c>
      <c r="BB156" s="434"/>
      <c r="BC156" s="493"/>
      <c r="BD156" s="493"/>
      <c r="BE156" s="493"/>
      <c r="BF156" s="493"/>
      <c r="BG156" s="493"/>
      <c r="BH156" s="493">
        <v>1299711670.6944699</v>
      </c>
      <c r="BI156" s="493"/>
      <c r="BJ156" s="493"/>
      <c r="BK156" s="493">
        <f>SUM(BB156:BJ156)</f>
        <v>1299711670.6944699</v>
      </c>
      <c r="BL156" s="603">
        <f>AG156+AQ156+BA156+BK156</f>
        <v>5024970335.5099697</v>
      </c>
    </row>
    <row r="157" spans="1:79" s="242" customFormat="1" ht="24.75" customHeight="1" x14ac:dyDescent="0.25">
      <c r="A157" s="56"/>
      <c r="B157" s="56"/>
      <c r="C157" s="124"/>
      <c r="D157" s="124"/>
      <c r="E157" s="44">
        <v>27</v>
      </c>
      <c r="F157" s="45" t="s">
        <v>379</v>
      </c>
      <c r="G157" s="435"/>
      <c r="H157" s="156"/>
      <c r="I157" s="429"/>
      <c r="J157" s="156"/>
      <c r="K157" s="156"/>
      <c r="L157" s="429"/>
      <c r="M157" s="430"/>
      <c r="N157" s="431"/>
      <c r="O157" s="156"/>
      <c r="P157" s="156"/>
      <c r="Q157" s="155"/>
      <c r="R157" s="156"/>
      <c r="S157" s="156"/>
      <c r="T157" s="430"/>
      <c r="U157" s="432"/>
      <c r="V157" s="430"/>
      <c r="W157" s="430"/>
      <c r="X157" s="53">
        <f t="shared" ref="X157:AF157" si="210">SUM(X158)</f>
        <v>0</v>
      </c>
      <c r="Y157" s="53">
        <f t="shared" si="210"/>
        <v>0</v>
      </c>
      <c r="Z157" s="53">
        <f t="shared" si="210"/>
        <v>0</v>
      </c>
      <c r="AA157" s="53">
        <f t="shared" si="210"/>
        <v>0</v>
      </c>
      <c r="AB157" s="53">
        <f t="shared" si="210"/>
        <v>0</v>
      </c>
      <c r="AC157" s="53">
        <f t="shared" si="210"/>
        <v>0</v>
      </c>
      <c r="AD157" s="53">
        <f t="shared" si="210"/>
        <v>12000000000</v>
      </c>
      <c r="AE157" s="53">
        <f t="shared" si="210"/>
        <v>0</v>
      </c>
      <c r="AF157" s="53">
        <f t="shared" si="210"/>
        <v>0</v>
      </c>
      <c r="AG157" s="135">
        <f>SUM(AG158)</f>
        <v>12000000000</v>
      </c>
      <c r="AH157" s="53">
        <f t="shared" ref="AH157:AQ157" si="211">SUM(AH158)</f>
        <v>0</v>
      </c>
      <c r="AI157" s="53">
        <f t="shared" si="211"/>
        <v>0</v>
      </c>
      <c r="AJ157" s="53">
        <f t="shared" si="211"/>
        <v>0</v>
      </c>
      <c r="AK157" s="53">
        <f t="shared" si="211"/>
        <v>0</v>
      </c>
      <c r="AL157" s="53">
        <f t="shared" si="211"/>
        <v>0</v>
      </c>
      <c r="AM157" s="53">
        <f t="shared" si="211"/>
        <v>0</v>
      </c>
      <c r="AN157" s="53">
        <f t="shared" si="211"/>
        <v>12360000000</v>
      </c>
      <c r="AO157" s="53">
        <f t="shared" si="211"/>
        <v>0</v>
      </c>
      <c r="AP157" s="53">
        <f t="shared" si="211"/>
        <v>0</v>
      </c>
      <c r="AQ157" s="53">
        <f t="shared" si="211"/>
        <v>12360000000</v>
      </c>
      <c r="AR157" s="136"/>
      <c r="AS157" s="136"/>
      <c r="AT157" s="136"/>
      <c r="AU157" s="136"/>
      <c r="AV157" s="136"/>
      <c r="AW157" s="136"/>
      <c r="AX157" s="136"/>
      <c r="AY157" s="136"/>
      <c r="AZ157" s="136"/>
      <c r="BA157" s="53">
        <f t="shared" ref="BA157" si="212">SUM(BA158)</f>
        <v>12730800000</v>
      </c>
      <c r="BB157" s="136"/>
      <c r="BC157" s="136"/>
      <c r="BD157" s="136"/>
      <c r="BE157" s="136"/>
      <c r="BF157" s="136"/>
      <c r="BG157" s="136"/>
      <c r="BH157" s="136"/>
      <c r="BI157" s="136"/>
      <c r="BJ157" s="136"/>
      <c r="BK157" s="53">
        <f t="shared" ref="BK157:BL157" si="213">SUM(BK158)</f>
        <v>13112724000</v>
      </c>
      <c r="BL157" s="53">
        <f t="shared" si="213"/>
        <v>50203524000</v>
      </c>
    </row>
    <row r="158" spans="1:79" s="242" customFormat="1" ht="86.25" customHeight="1" x14ac:dyDescent="0.2">
      <c r="A158" s="74">
        <v>112</v>
      </c>
      <c r="B158" s="56">
        <v>3</v>
      </c>
      <c r="C158" s="124"/>
      <c r="D158" s="124"/>
      <c r="E158" s="492" t="s">
        <v>380</v>
      </c>
      <c r="F158" s="517" t="s">
        <v>381</v>
      </c>
      <c r="G158" s="492" t="s">
        <v>382</v>
      </c>
      <c r="H158" s="492" t="s">
        <v>383</v>
      </c>
      <c r="I158" s="59">
        <v>111</v>
      </c>
      <c r="J158" s="57" t="s">
        <v>384</v>
      </c>
      <c r="K158" s="247" t="s">
        <v>385</v>
      </c>
      <c r="L158" s="210" t="s">
        <v>263</v>
      </c>
      <c r="M158" s="210">
        <v>1</v>
      </c>
      <c r="N158" s="248" t="s">
        <v>54</v>
      </c>
      <c r="O158" s="110">
        <v>1</v>
      </c>
      <c r="P158" s="110">
        <v>1</v>
      </c>
      <c r="Q158" s="249">
        <v>1</v>
      </c>
      <c r="R158" s="250">
        <v>1</v>
      </c>
      <c r="S158" s="250">
        <v>1</v>
      </c>
      <c r="T158" s="250">
        <v>1</v>
      </c>
      <c r="U158" s="230">
        <f>AG158/AG157</f>
        <v>1</v>
      </c>
      <c r="V158" s="65">
        <v>10</v>
      </c>
      <c r="W158" s="68" t="s">
        <v>386</v>
      </c>
      <c r="X158" s="176"/>
      <c r="Y158" s="176"/>
      <c r="Z158" s="176"/>
      <c r="AA158" s="176"/>
      <c r="AB158" s="176"/>
      <c r="AC158" s="176"/>
      <c r="AD158" s="106">
        <v>12000000000</v>
      </c>
      <c r="AE158" s="176"/>
      <c r="AF158" s="176"/>
      <c r="AG158" s="69">
        <f>+X158+Y158+Z158+AA158+AB158+AC158+AD158+AE158+AF158</f>
        <v>12000000000</v>
      </c>
      <c r="AH158" s="71"/>
      <c r="AI158" s="71"/>
      <c r="AJ158" s="71"/>
      <c r="AK158" s="71"/>
      <c r="AL158" s="71"/>
      <c r="AM158" s="71"/>
      <c r="AN158" s="244">
        <v>12360000000</v>
      </c>
      <c r="AO158" s="71"/>
      <c r="AP158" s="71"/>
      <c r="AQ158" s="71">
        <f>AH158+AI158+AJ158+AK158+AL158+AM158+AN158+AO158+AP158</f>
        <v>12360000000</v>
      </c>
      <c r="AR158" s="244"/>
      <c r="AS158" s="244"/>
      <c r="AT158" s="244"/>
      <c r="AU158" s="244"/>
      <c r="AV158" s="244"/>
      <c r="AW158" s="244"/>
      <c r="AX158" s="244">
        <v>12730800000</v>
      </c>
      <c r="AY158" s="244"/>
      <c r="AZ158" s="244"/>
      <c r="BA158" s="244">
        <f>SUM(AR158:AZ158)</f>
        <v>12730800000</v>
      </c>
      <c r="BB158" s="71"/>
      <c r="BC158" s="71"/>
      <c r="BD158" s="71"/>
      <c r="BE158" s="71"/>
      <c r="BF158" s="71"/>
      <c r="BG158" s="71"/>
      <c r="BH158" s="71">
        <v>13112724000</v>
      </c>
      <c r="BI158" s="71"/>
      <c r="BJ158" s="71"/>
      <c r="BK158" s="71">
        <f>SUM(BB158:BJ158)</f>
        <v>13112724000</v>
      </c>
      <c r="BL158" s="603">
        <f>AG158+AQ158+BA158+BK158</f>
        <v>50203524000</v>
      </c>
    </row>
    <row r="159" spans="1:79" s="242" customFormat="1" ht="24.75" customHeight="1" x14ac:dyDescent="0.2">
      <c r="A159" s="74"/>
      <c r="B159" s="56"/>
      <c r="C159" s="124"/>
      <c r="D159" s="124"/>
      <c r="E159" s="44">
        <v>28</v>
      </c>
      <c r="F159" s="45" t="s">
        <v>387</v>
      </c>
      <c r="G159" s="83"/>
      <c r="H159" s="48"/>
      <c r="I159" s="429"/>
      <c r="J159" s="156"/>
      <c r="K159" s="156"/>
      <c r="L159" s="429"/>
      <c r="M159" s="430"/>
      <c r="N159" s="431"/>
      <c r="O159" s="156"/>
      <c r="P159" s="156"/>
      <c r="Q159" s="155"/>
      <c r="R159" s="156"/>
      <c r="S159" s="156"/>
      <c r="T159" s="430"/>
      <c r="U159" s="432"/>
      <c r="V159" s="430"/>
      <c r="W159" s="430"/>
      <c r="X159" s="53">
        <f t="shared" ref="X159:AF159" si="214">SUM(X160:X161)</f>
        <v>0</v>
      </c>
      <c r="Y159" s="53">
        <f t="shared" si="214"/>
        <v>0</v>
      </c>
      <c r="Z159" s="53">
        <f t="shared" si="214"/>
        <v>30000000</v>
      </c>
      <c r="AA159" s="53">
        <f t="shared" si="214"/>
        <v>0</v>
      </c>
      <c r="AB159" s="53">
        <f t="shared" si="214"/>
        <v>0</v>
      </c>
      <c r="AC159" s="53">
        <f t="shared" si="214"/>
        <v>0</v>
      </c>
      <c r="AD159" s="53">
        <f t="shared" si="214"/>
        <v>120000000</v>
      </c>
      <c r="AE159" s="53">
        <f t="shared" si="214"/>
        <v>0</v>
      </c>
      <c r="AF159" s="53">
        <f t="shared" si="214"/>
        <v>0</v>
      </c>
      <c r="AG159" s="54">
        <f>SUM(AG160:AG161)</f>
        <v>150000000</v>
      </c>
      <c r="AH159" s="53">
        <f t="shared" ref="AH159:AQ159" si="215">SUM(AH160:AH161)</f>
        <v>0</v>
      </c>
      <c r="AI159" s="53">
        <f t="shared" si="215"/>
        <v>0</v>
      </c>
      <c r="AJ159" s="53">
        <f t="shared" si="215"/>
        <v>30000000</v>
      </c>
      <c r="AK159" s="53">
        <f t="shared" si="215"/>
        <v>0</v>
      </c>
      <c r="AL159" s="53">
        <f t="shared" si="215"/>
        <v>0</v>
      </c>
      <c r="AM159" s="53">
        <f t="shared" si="215"/>
        <v>0</v>
      </c>
      <c r="AN159" s="53">
        <f t="shared" si="215"/>
        <v>123600000</v>
      </c>
      <c r="AO159" s="53">
        <f t="shared" si="215"/>
        <v>0</v>
      </c>
      <c r="AP159" s="53">
        <f t="shared" si="215"/>
        <v>0</v>
      </c>
      <c r="AQ159" s="53">
        <f t="shared" si="215"/>
        <v>153600000</v>
      </c>
      <c r="AR159" s="55"/>
      <c r="AS159" s="55"/>
      <c r="AT159" s="55"/>
      <c r="AU159" s="55"/>
      <c r="AV159" s="55"/>
      <c r="AW159" s="55"/>
      <c r="AX159" s="55"/>
      <c r="AY159" s="55"/>
      <c r="AZ159" s="55"/>
      <c r="BA159" s="53">
        <f t="shared" ref="BA159" si="216">SUM(BA160:BA161)</f>
        <v>137308000</v>
      </c>
      <c r="BB159" s="55"/>
      <c r="BC159" s="55"/>
      <c r="BD159" s="55"/>
      <c r="BE159" s="55"/>
      <c r="BF159" s="55"/>
      <c r="BG159" s="55"/>
      <c r="BH159" s="55"/>
      <c r="BI159" s="55"/>
      <c r="BJ159" s="55"/>
      <c r="BK159" s="53">
        <f t="shared" ref="BK159:BL159" si="217">SUM(BK160:BK161)</f>
        <v>141127240</v>
      </c>
      <c r="BL159" s="53">
        <f t="shared" si="217"/>
        <v>582035240</v>
      </c>
    </row>
    <row r="160" spans="1:79" s="242" customFormat="1" ht="66" customHeight="1" x14ac:dyDescent="0.25">
      <c r="A160" s="56">
        <v>113</v>
      </c>
      <c r="B160" s="56">
        <v>3</v>
      </c>
      <c r="C160" s="124"/>
      <c r="D160" s="128"/>
      <c r="E160" s="251" t="s">
        <v>380</v>
      </c>
      <c r="F160" s="238" t="s">
        <v>381</v>
      </c>
      <c r="G160" s="490" t="s">
        <v>382</v>
      </c>
      <c r="H160" s="490" t="s">
        <v>388</v>
      </c>
      <c r="I160" s="59">
        <v>112</v>
      </c>
      <c r="J160" s="57" t="s">
        <v>389</v>
      </c>
      <c r="K160" s="229" t="s">
        <v>390</v>
      </c>
      <c r="L160" s="222" t="s">
        <v>263</v>
      </c>
      <c r="M160" s="222">
        <v>1</v>
      </c>
      <c r="N160" s="219" t="s">
        <v>69</v>
      </c>
      <c r="O160" s="163">
        <v>0</v>
      </c>
      <c r="P160" s="220">
        <v>60</v>
      </c>
      <c r="Q160" s="216">
        <v>8</v>
      </c>
      <c r="R160" s="220">
        <v>20</v>
      </c>
      <c r="S160" s="220">
        <v>20</v>
      </c>
      <c r="T160" s="220">
        <v>12</v>
      </c>
      <c r="U160" s="252">
        <f>AG160/AG159</f>
        <v>0.2</v>
      </c>
      <c r="V160" s="65">
        <v>4</v>
      </c>
      <c r="W160" s="68" t="s">
        <v>110</v>
      </c>
      <c r="X160" s="96"/>
      <c r="Y160" s="96"/>
      <c r="Z160" s="96">
        <v>30000000</v>
      </c>
      <c r="AA160" s="96"/>
      <c r="AB160" s="96"/>
      <c r="AC160" s="96"/>
      <c r="AD160" s="96"/>
      <c r="AE160" s="96"/>
      <c r="AF160" s="96"/>
      <c r="AG160" s="69">
        <f>+X160+Y160+Z160+AA160+AB160+AC160+AD160+AE160+AF160</f>
        <v>30000000</v>
      </c>
      <c r="AH160" s="71"/>
      <c r="AI160" s="71"/>
      <c r="AJ160" s="71">
        <v>30000000</v>
      </c>
      <c r="AK160" s="71"/>
      <c r="AL160" s="71"/>
      <c r="AM160" s="71"/>
      <c r="AN160" s="71">
        <f>123600000-122880000</f>
        <v>720000</v>
      </c>
      <c r="AO160" s="71"/>
      <c r="AP160" s="71"/>
      <c r="AQ160" s="71">
        <f>AH160+AI160+AJ160+AK160+AL160+AM160+AN160+AO160+AP160</f>
        <v>30720000</v>
      </c>
      <c r="AR160" s="244"/>
      <c r="AS160" s="244"/>
      <c r="AT160" s="244">
        <v>10000000</v>
      </c>
      <c r="AU160" s="244"/>
      <c r="AV160" s="244"/>
      <c r="AW160" s="244"/>
      <c r="AX160" s="244">
        <v>17400000</v>
      </c>
      <c r="AY160" s="244"/>
      <c r="AZ160" s="244"/>
      <c r="BA160" s="244">
        <f>SUM(AR160:AZ160)</f>
        <v>27400000</v>
      </c>
      <c r="BB160" s="71"/>
      <c r="BC160" s="71"/>
      <c r="BD160" s="71">
        <v>10000000</v>
      </c>
      <c r="BE160" s="71"/>
      <c r="BF160" s="71"/>
      <c r="BG160" s="71"/>
      <c r="BH160" s="71">
        <v>18200000</v>
      </c>
      <c r="BI160" s="71"/>
      <c r="BJ160" s="71"/>
      <c r="BK160" s="71">
        <f>SUM(BB160:BJ160)</f>
        <v>28200000</v>
      </c>
      <c r="BL160" s="603">
        <f>AG160+AQ160+BA160+BK160</f>
        <v>116320000</v>
      </c>
    </row>
    <row r="161" spans="1:64" s="242" customFormat="1" ht="77.25" customHeight="1" x14ac:dyDescent="0.2">
      <c r="A161" s="74">
        <v>114</v>
      </c>
      <c r="B161" s="56">
        <v>3</v>
      </c>
      <c r="C161" s="124"/>
      <c r="D161" s="253"/>
      <c r="E161" s="79"/>
      <c r="F161" s="128"/>
      <c r="G161" s="124"/>
      <c r="H161" s="124"/>
      <c r="I161" s="59">
        <v>113</v>
      </c>
      <c r="J161" s="57" t="s">
        <v>391</v>
      </c>
      <c r="K161" s="229" t="s">
        <v>392</v>
      </c>
      <c r="L161" s="222" t="s">
        <v>263</v>
      </c>
      <c r="M161" s="222">
        <v>1</v>
      </c>
      <c r="N161" s="219" t="s">
        <v>69</v>
      </c>
      <c r="O161" s="163">
        <v>0</v>
      </c>
      <c r="P161" s="220">
        <v>8</v>
      </c>
      <c r="Q161" s="216">
        <v>1</v>
      </c>
      <c r="R161" s="220">
        <v>3</v>
      </c>
      <c r="S161" s="220">
        <v>3</v>
      </c>
      <c r="T161" s="220">
        <v>1</v>
      </c>
      <c r="U161" s="252">
        <f>AG161/AG159</f>
        <v>0.8</v>
      </c>
      <c r="V161" s="65">
        <v>4</v>
      </c>
      <c r="W161" s="68" t="s">
        <v>110</v>
      </c>
      <c r="X161" s="96"/>
      <c r="Y161" s="96"/>
      <c r="Z161" s="96"/>
      <c r="AA161" s="96"/>
      <c r="AB161" s="96"/>
      <c r="AC161" s="96"/>
      <c r="AD161" s="106">
        <v>120000000</v>
      </c>
      <c r="AE161" s="96"/>
      <c r="AF161" s="96"/>
      <c r="AG161" s="69">
        <f>+X161+Y161+Z161+AA161+AB161+AC161+AD161+AE161+AF161</f>
        <v>120000000</v>
      </c>
      <c r="AH161" s="71"/>
      <c r="AI161" s="71"/>
      <c r="AJ161" s="71"/>
      <c r="AK161" s="71"/>
      <c r="AL161" s="71"/>
      <c r="AM161" s="71"/>
      <c r="AN161" s="71">
        <v>122880000</v>
      </c>
      <c r="AO161" s="71"/>
      <c r="AP161" s="71"/>
      <c r="AQ161" s="71">
        <f>AH161+AI161+AJ161+AK161+AL161+AM161+AN161+AO161+AP161</f>
        <v>122880000</v>
      </c>
      <c r="AR161" s="244"/>
      <c r="AS161" s="244"/>
      <c r="AT161" s="244"/>
      <c r="AU161" s="244"/>
      <c r="AV161" s="244"/>
      <c r="AW161" s="244"/>
      <c r="AX161" s="244">
        <v>109908000</v>
      </c>
      <c r="AY161" s="244"/>
      <c r="AZ161" s="244"/>
      <c r="BA161" s="244">
        <f>SUM(AR161:AZ161)</f>
        <v>109908000</v>
      </c>
      <c r="BB161" s="71"/>
      <c r="BC161" s="71"/>
      <c r="BD161" s="71"/>
      <c r="BE161" s="71"/>
      <c r="BF161" s="71"/>
      <c r="BG161" s="71"/>
      <c r="BH161" s="71">
        <v>112927240</v>
      </c>
      <c r="BI161" s="71"/>
      <c r="BJ161" s="71"/>
      <c r="BK161" s="71">
        <f>SUM(BB161:BJ161)</f>
        <v>112927240</v>
      </c>
      <c r="BL161" s="603">
        <f>AG161+AQ161+BA161+BK161</f>
        <v>465715240</v>
      </c>
    </row>
    <row r="162" spans="1:64" s="242" customFormat="1" ht="24.75" customHeight="1" x14ac:dyDescent="0.2">
      <c r="A162" s="74"/>
      <c r="B162" s="56"/>
      <c r="C162" s="124"/>
      <c r="D162" s="30">
        <v>9</v>
      </c>
      <c r="E162" s="254" t="s">
        <v>393</v>
      </c>
      <c r="F162" s="255"/>
      <c r="G162" s="256"/>
      <c r="H162" s="256"/>
      <c r="I162" s="34"/>
      <c r="J162" s="35"/>
      <c r="K162" s="35"/>
      <c r="L162" s="36"/>
      <c r="M162" s="34"/>
      <c r="N162" s="37"/>
      <c r="O162" s="35"/>
      <c r="P162" s="35"/>
      <c r="Q162" s="38"/>
      <c r="R162" s="35"/>
      <c r="S162" s="35"/>
      <c r="T162" s="34"/>
      <c r="U162" s="123"/>
      <c r="V162" s="34"/>
      <c r="W162" s="34"/>
      <c r="X162" s="40">
        <f t="shared" ref="X162:AE162" si="218">X163+X167+X169</f>
        <v>0</v>
      </c>
      <c r="Y162" s="40">
        <f t="shared" si="218"/>
        <v>1232000000</v>
      </c>
      <c r="Z162" s="40">
        <f t="shared" si="218"/>
        <v>170000000</v>
      </c>
      <c r="AA162" s="40">
        <f t="shared" si="218"/>
        <v>0</v>
      </c>
      <c r="AB162" s="40">
        <f t="shared" si="218"/>
        <v>0</v>
      </c>
      <c r="AC162" s="40">
        <f t="shared" si="218"/>
        <v>0</v>
      </c>
      <c r="AD162" s="40">
        <f t="shared" si="218"/>
        <v>0</v>
      </c>
      <c r="AE162" s="40">
        <f t="shared" si="218"/>
        <v>0</v>
      </c>
      <c r="AF162" s="40">
        <f t="shared" ref="AF162:AM162" si="219">AF163+AF167+AF169</f>
        <v>0</v>
      </c>
      <c r="AG162" s="41">
        <f t="shared" si="219"/>
        <v>1402000000</v>
      </c>
      <c r="AH162" s="40">
        <f t="shared" si="219"/>
        <v>0</v>
      </c>
      <c r="AI162" s="40">
        <f t="shared" si="219"/>
        <v>1268960000</v>
      </c>
      <c r="AJ162" s="40">
        <f t="shared" si="219"/>
        <v>175100000</v>
      </c>
      <c r="AK162" s="40">
        <f t="shared" si="219"/>
        <v>0</v>
      </c>
      <c r="AL162" s="40">
        <f t="shared" si="219"/>
        <v>0</v>
      </c>
      <c r="AM162" s="40">
        <f t="shared" si="219"/>
        <v>0</v>
      </c>
      <c r="AN162" s="40">
        <f t="shared" ref="AN162:AQ162" si="220">AN163+AN167+AN169</f>
        <v>0</v>
      </c>
      <c r="AO162" s="40">
        <f t="shared" si="220"/>
        <v>0</v>
      </c>
      <c r="AP162" s="40">
        <f t="shared" si="220"/>
        <v>0</v>
      </c>
      <c r="AQ162" s="40">
        <f t="shared" si="220"/>
        <v>1444060000</v>
      </c>
      <c r="AR162" s="42"/>
      <c r="AS162" s="42"/>
      <c r="AT162" s="42"/>
      <c r="AU162" s="42"/>
      <c r="AV162" s="42"/>
      <c r="AW162" s="42"/>
      <c r="AX162" s="42"/>
      <c r="AY162" s="42"/>
      <c r="AZ162" s="42"/>
      <c r="BA162" s="40">
        <f>BA163+BA167+BA169</f>
        <v>1487381800</v>
      </c>
      <c r="BB162" s="42"/>
      <c r="BC162" s="42"/>
      <c r="BD162" s="42"/>
      <c r="BE162" s="42"/>
      <c r="BF162" s="42"/>
      <c r="BG162" s="42"/>
      <c r="BH162" s="42"/>
      <c r="BI162" s="42"/>
      <c r="BJ162" s="42"/>
      <c r="BK162" s="40">
        <f>BK163+BK167+BK169</f>
        <v>1446239664.001771</v>
      </c>
      <c r="BL162" s="40">
        <f>BL163+BL167+BL169</f>
        <v>5779681464.00177</v>
      </c>
    </row>
    <row r="163" spans="1:64" s="242" customFormat="1" ht="24.75" customHeight="1" x14ac:dyDescent="0.2">
      <c r="A163" s="74"/>
      <c r="B163" s="56"/>
      <c r="C163" s="124"/>
      <c r="D163" s="417"/>
      <c r="E163" s="44">
        <v>29</v>
      </c>
      <c r="F163" s="436" t="s">
        <v>394</v>
      </c>
      <c r="G163" s="435"/>
      <c r="H163" s="156"/>
      <c r="I163" s="47"/>
      <c r="J163" s="48"/>
      <c r="K163" s="48"/>
      <c r="L163" s="47"/>
      <c r="M163" s="49"/>
      <c r="N163" s="50"/>
      <c r="O163" s="48"/>
      <c r="P163" s="48"/>
      <c r="Q163" s="51"/>
      <c r="R163" s="48"/>
      <c r="S163" s="48"/>
      <c r="T163" s="49"/>
      <c r="U163" s="125"/>
      <c r="V163" s="49"/>
      <c r="W163" s="49"/>
      <c r="X163" s="53">
        <f t="shared" ref="X163:AF163" si="221">SUM(X164:X166)</f>
        <v>0</v>
      </c>
      <c r="Y163" s="53">
        <f t="shared" si="221"/>
        <v>1058800000</v>
      </c>
      <c r="Z163" s="53">
        <f t="shared" si="221"/>
        <v>170000000</v>
      </c>
      <c r="AA163" s="53">
        <f t="shared" si="221"/>
        <v>0</v>
      </c>
      <c r="AB163" s="53">
        <f t="shared" si="221"/>
        <v>0</v>
      </c>
      <c r="AC163" s="53">
        <f t="shared" si="221"/>
        <v>0</v>
      </c>
      <c r="AD163" s="53">
        <f t="shared" si="221"/>
        <v>0</v>
      </c>
      <c r="AE163" s="53">
        <f t="shared" si="221"/>
        <v>0</v>
      </c>
      <c r="AF163" s="53">
        <f t="shared" si="221"/>
        <v>0</v>
      </c>
      <c r="AG163" s="54">
        <f>SUM(AG164:AG166)</f>
        <v>1228800000</v>
      </c>
      <c r="AH163" s="53">
        <f t="shared" ref="AH163:AQ163" si="222">SUM(AH164:AH166)</f>
        <v>0</v>
      </c>
      <c r="AI163" s="53">
        <f t="shared" si="222"/>
        <v>1090564000</v>
      </c>
      <c r="AJ163" s="53">
        <f t="shared" si="222"/>
        <v>175100000</v>
      </c>
      <c r="AK163" s="53">
        <f t="shared" si="222"/>
        <v>0</v>
      </c>
      <c r="AL163" s="53">
        <f t="shared" si="222"/>
        <v>0</v>
      </c>
      <c r="AM163" s="53">
        <f t="shared" si="222"/>
        <v>0</v>
      </c>
      <c r="AN163" s="53">
        <f t="shared" si="222"/>
        <v>0</v>
      </c>
      <c r="AO163" s="53">
        <f t="shared" si="222"/>
        <v>0</v>
      </c>
      <c r="AP163" s="53">
        <f t="shared" si="222"/>
        <v>0</v>
      </c>
      <c r="AQ163" s="53">
        <f t="shared" si="222"/>
        <v>1265664000</v>
      </c>
      <c r="AR163" s="55"/>
      <c r="AS163" s="55"/>
      <c r="AT163" s="55"/>
      <c r="AU163" s="55"/>
      <c r="AV163" s="55"/>
      <c r="AW163" s="55"/>
      <c r="AX163" s="55"/>
      <c r="AY163" s="55"/>
      <c r="AZ163" s="55"/>
      <c r="BA163" s="53">
        <f t="shared" ref="BA163" si="223">SUM(BA164:BA166)</f>
        <v>1303633920</v>
      </c>
      <c r="BB163" s="55"/>
      <c r="BC163" s="55"/>
      <c r="BD163" s="55"/>
      <c r="BE163" s="55"/>
      <c r="BF163" s="55"/>
      <c r="BG163" s="55"/>
      <c r="BH163" s="55"/>
      <c r="BI163" s="55"/>
      <c r="BJ163" s="55"/>
      <c r="BK163" s="53">
        <f t="shared" ref="BK163" si="224">SUM(BK164:BK166)</f>
        <v>1256979347.6017709</v>
      </c>
      <c r="BL163" s="53">
        <f t="shared" ref="BL163" si="225">SUM(BL164:BL166)</f>
        <v>5055077267.6017704</v>
      </c>
    </row>
    <row r="164" spans="1:64" ht="87.75" customHeight="1" x14ac:dyDescent="0.2">
      <c r="A164" s="56">
        <v>115</v>
      </c>
      <c r="B164" s="56">
        <v>3</v>
      </c>
      <c r="C164" s="124"/>
      <c r="D164" s="124"/>
      <c r="E164" s="81">
        <v>22</v>
      </c>
      <c r="F164" s="57" t="s">
        <v>239</v>
      </c>
      <c r="G164" s="75" t="s">
        <v>240</v>
      </c>
      <c r="H164" s="75" t="s">
        <v>395</v>
      </c>
      <c r="I164" s="59">
        <v>114</v>
      </c>
      <c r="J164" s="60" t="s">
        <v>396</v>
      </c>
      <c r="K164" s="257" t="s">
        <v>397</v>
      </c>
      <c r="L164" s="61" t="s">
        <v>398</v>
      </c>
      <c r="M164" s="240">
        <v>5</v>
      </c>
      <c r="N164" s="100" t="s">
        <v>54</v>
      </c>
      <c r="O164" s="81" t="s">
        <v>49</v>
      </c>
      <c r="P164" s="65">
        <v>30</v>
      </c>
      <c r="Q164" s="187">
        <v>30</v>
      </c>
      <c r="R164" s="81">
        <v>30</v>
      </c>
      <c r="S164" s="81">
        <v>30</v>
      </c>
      <c r="T164" s="81">
        <v>30</v>
      </c>
      <c r="U164" s="211">
        <f>AG164/$AG$163</f>
        <v>0.23860677083333334</v>
      </c>
      <c r="V164" s="65">
        <v>11</v>
      </c>
      <c r="W164" s="68" t="s">
        <v>226</v>
      </c>
      <c r="X164" s="176"/>
      <c r="Y164" s="176">
        <f>293200000-170000000</f>
        <v>123200000</v>
      </c>
      <c r="Z164" s="500">
        <v>170000000</v>
      </c>
      <c r="AA164" s="176"/>
      <c r="AB164" s="176"/>
      <c r="AC164" s="176"/>
      <c r="AD164" s="176"/>
      <c r="AE164" s="176"/>
      <c r="AF164" s="176"/>
      <c r="AG164" s="69">
        <f>+X164+Y164+Z164+AA164+AB164+AC164+AD164+AE164+AF164</f>
        <v>293200000</v>
      </c>
      <c r="AH164" s="78"/>
      <c r="AI164" s="78">
        <v>126896000</v>
      </c>
      <c r="AJ164" s="99">
        <f>309000000-133900000</f>
        <v>175100000</v>
      </c>
      <c r="AK164" s="93"/>
      <c r="AL164" s="78"/>
      <c r="AM164" s="78"/>
      <c r="AN164" s="78"/>
      <c r="AO164" s="78"/>
      <c r="AP164" s="78"/>
      <c r="AQ164" s="71">
        <f>AH164+AI164+AJ164+AK164+AL164+AM164+AN164+AO164+AP164</f>
        <v>301996000</v>
      </c>
      <c r="AR164" s="511"/>
      <c r="AS164" s="511">
        <v>130702880</v>
      </c>
      <c r="AT164" s="99">
        <v>180353000</v>
      </c>
      <c r="AU164" s="99"/>
      <c r="AV164" s="511"/>
      <c r="AW164" s="511"/>
      <c r="AX164" s="511"/>
      <c r="AY164" s="511"/>
      <c r="AZ164" s="511"/>
      <c r="BA164" s="511">
        <f>SUM(AR164:AZ164)</f>
        <v>311055880</v>
      </c>
      <c r="BB164" s="78"/>
      <c r="BC164" s="78">
        <v>199900000</v>
      </c>
      <c r="BD164" s="78">
        <v>100000000</v>
      </c>
      <c r="BE164" s="78"/>
      <c r="BF164" s="78"/>
      <c r="BG164" s="78"/>
      <c r="BH164" s="78"/>
      <c r="BI164" s="78"/>
      <c r="BJ164" s="78"/>
      <c r="BK164" s="78">
        <f>SUM(BB164:BJ164)</f>
        <v>299900000</v>
      </c>
      <c r="BL164" s="603">
        <f>AG164+AQ164+BA164+BK164</f>
        <v>1206151880</v>
      </c>
    </row>
    <row r="165" spans="1:64" ht="54.75" customHeight="1" x14ac:dyDescent="0.2">
      <c r="A165" s="74">
        <v>116</v>
      </c>
      <c r="B165" s="56">
        <v>3</v>
      </c>
      <c r="C165" s="124"/>
      <c r="D165" s="124"/>
      <c r="E165" s="79">
        <v>12</v>
      </c>
      <c r="F165" s="107" t="s">
        <v>399</v>
      </c>
      <c r="G165" s="102">
        <v>3166</v>
      </c>
      <c r="H165" s="79">
        <v>2500</v>
      </c>
      <c r="I165" s="59">
        <v>115</v>
      </c>
      <c r="J165" s="60" t="s">
        <v>400</v>
      </c>
      <c r="K165" s="257" t="s">
        <v>401</v>
      </c>
      <c r="L165" s="61" t="s">
        <v>398</v>
      </c>
      <c r="M165" s="240">
        <v>5</v>
      </c>
      <c r="N165" s="81" t="s">
        <v>69</v>
      </c>
      <c r="O165" s="81">
        <v>0</v>
      </c>
      <c r="P165" s="65">
        <v>120</v>
      </c>
      <c r="Q165" s="187">
        <v>16</v>
      </c>
      <c r="R165" s="196">
        <v>35</v>
      </c>
      <c r="S165" s="196">
        <v>35</v>
      </c>
      <c r="T165" s="196">
        <v>34</v>
      </c>
      <c r="U165" s="211">
        <f>AG165/$AG$163</f>
        <v>0.6611328125</v>
      </c>
      <c r="V165" s="65">
        <v>11</v>
      </c>
      <c r="W165" s="68" t="s">
        <v>226</v>
      </c>
      <c r="X165" s="176"/>
      <c r="Y165" s="176">
        <v>812400000</v>
      </c>
      <c r="Z165" s="176"/>
      <c r="AA165" s="176"/>
      <c r="AB165" s="176"/>
      <c r="AC165" s="176"/>
      <c r="AD165" s="176"/>
      <c r="AE165" s="176"/>
      <c r="AF165" s="176"/>
      <c r="AG165" s="69">
        <f>+X165+Y165+Z165+AA165+AB165+AC165+AD165+AE165+AF165</f>
        <v>812400000</v>
      </c>
      <c r="AH165" s="78"/>
      <c r="AI165" s="78">
        <v>836772000</v>
      </c>
      <c r="AJ165" s="78"/>
      <c r="AK165" s="78"/>
      <c r="AL165" s="78"/>
      <c r="AM165" s="78"/>
      <c r="AN165" s="78"/>
      <c r="AO165" s="78"/>
      <c r="AP165" s="78"/>
      <c r="AQ165" s="71">
        <f>AH165+AI165+AJ165+AK165+AL165+AM165+AN165+AO165+AP165</f>
        <v>836772000</v>
      </c>
      <c r="AR165" s="511"/>
      <c r="AS165" s="511">
        <v>861875160</v>
      </c>
      <c r="AT165" s="511"/>
      <c r="AU165" s="511"/>
      <c r="AV165" s="511"/>
      <c r="AW165" s="511"/>
      <c r="AX165" s="511"/>
      <c r="AY165" s="511"/>
      <c r="AZ165" s="511"/>
      <c r="BA165" s="511">
        <f>SUM(AR165:AZ165)</f>
        <v>861875160</v>
      </c>
      <c r="BB165" s="78"/>
      <c r="BC165" s="78">
        <v>831000000</v>
      </c>
      <c r="BD165" s="78"/>
      <c r="BE165" s="78"/>
      <c r="BF165" s="78"/>
      <c r="BG165" s="78"/>
      <c r="BH165" s="78"/>
      <c r="BI165" s="78"/>
      <c r="BJ165" s="78"/>
      <c r="BK165" s="78">
        <f>SUM(BB165:BJ165)</f>
        <v>831000000</v>
      </c>
      <c r="BL165" s="603">
        <f>AG165+AQ165+BA165+BK165</f>
        <v>3342047160</v>
      </c>
    </row>
    <row r="166" spans="1:64" ht="54.75" customHeight="1" x14ac:dyDescent="0.2">
      <c r="A166" s="56">
        <v>117</v>
      </c>
      <c r="B166" s="56">
        <v>3</v>
      </c>
      <c r="C166" s="124"/>
      <c r="D166" s="124"/>
      <c r="E166" s="506"/>
      <c r="F166" s="183"/>
      <c r="G166" s="183"/>
      <c r="H166" s="183"/>
      <c r="I166" s="59">
        <v>116</v>
      </c>
      <c r="J166" s="60" t="s">
        <v>402</v>
      </c>
      <c r="K166" s="257" t="s">
        <v>403</v>
      </c>
      <c r="L166" s="61" t="s">
        <v>398</v>
      </c>
      <c r="M166" s="240">
        <v>5</v>
      </c>
      <c r="N166" s="81" t="s">
        <v>69</v>
      </c>
      <c r="O166" s="81" t="s">
        <v>49</v>
      </c>
      <c r="P166" s="65">
        <v>36</v>
      </c>
      <c r="Q166" s="258">
        <v>5</v>
      </c>
      <c r="R166" s="259">
        <v>11</v>
      </c>
      <c r="S166" s="259">
        <v>10</v>
      </c>
      <c r="T166" s="259">
        <v>10</v>
      </c>
      <c r="U166" s="211">
        <f>AG166/$AG$163</f>
        <v>0.10026041666666667</v>
      </c>
      <c r="V166" s="65">
        <v>11</v>
      </c>
      <c r="W166" s="68" t="s">
        <v>226</v>
      </c>
      <c r="X166" s="176"/>
      <c r="Y166" s="176">
        <v>123200000</v>
      </c>
      <c r="Z166" s="176"/>
      <c r="AA166" s="176"/>
      <c r="AB166" s="176"/>
      <c r="AC166" s="176"/>
      <c r="AD166" s="176"/>
      <c r="AE166" s="176"/>
      <c r="AF166" s="176"/>
      <c r="AG166" s="69">
        <f>+X166+Y166+Z166+AA166+AB166+AC166+AD166+AE166+AF166</f>
        <v>123200000</v>
      </c>
      <c r="AH166" s="78"/>
      <c r="AI166" s="78">
        <v>126896000</v>
      </c>
      <c r="AJ166" s="78"/>
      <c r="AK166" s="78"/>
      <c r="AL166" s="78"/>
      <c r="AM166" s="78"/>
      <c r="AN166" s="78"/>
      <c r="AO166" s="78"/>
      <c r="AP166" s="78"/>
      <c r="AQ166" s="71">
        <f>AH166+AI166+AJ166+AK166+AL166+AM166+AN166+AO166+AP166</f>
        <v>126896000</v>
      </c>
      <c r="AR166" s="511"/>
      <c r="AS166" s="511">
        <v>130702880</v>
      </c>
      <c r="AT166" s="511"/>
      <c r="AU166" s="511"/>
      <c r="AV166" s="511"/>
      <c r="AW166" s="511"/>
      <c r="AX166" s="511"/>
      <c r="AY166" s="511"/>
      <c r="AZ166" s="511"/>
      <c r="BA166" s="511">
        <f>SUM(AR166:AZ166)</f>
        <v>130702880</v>
      </c>
      <c r="BB166" s="78"/>
      <c r="BC166" s="78">
        <v>126079347.60177085</v>
      </c>
      <c r="BD166" s="78"/>
      <c r="BE166" s="78"/>
      <c r="BF166" s="78"/>
      <c r="BG166" s="78"/>
      <c r="BH166" s="78"/>
      <c r="BI166" s="78"/>
      <c r="BJ166" s="78"/>
      <c r="BK166" s="78">
        <f>SUM(BB166:BJ166)</f>
        <v>126079347.60177085</v>
      </c>
      <c r="BL166" s="603">
        <f>AG166+AQ166+BA166+BK166</f>
        <v>506878227.60177088</v>
      </c>
    </row>
    <row r="167" spans="1:64" ht="24.75" customHeight="1" x14ac:dyDescent="0.2">
      <c r="A167" s="56"/>
      <c r="B167" s="56"/>
      <c r="C167" s="124"/>
      <c r="D167" s="124"/>
      <c r="E167" s="44">
        <v>30</v>
      </c>
      <c r="F167" s="132" t="s">
        <v>404</v>
      </c>
      <c r="G167" s="260"/>
      <c r="H167" s="133"/>
      <c r="I167" s="47"/>
      <c r="J167" s="48"/>
      <c r="K167" s="48"/>
      <c r="L167" s="47"/>
      <c r="M167" s="49"/>
      <c r="N167" s="50"/>
      <c r="O167" s="48"/>
      <c r="P167" s="48"/>
      <c r="Q167" s="51"/>
      <c r="R167" s="48"/>
      <c r="S167" s="51"/>
      <c r="T167" s="51"/>
      <c r="U167" s="51"/>
      <c r="V167" s="51"/>
      <c r="W167" s="51"/>
      <c r="X167" s="480">
        <f>SUM(X168)</f>
        <v>0</v>
      </c>
      <c r="Y167" s="480">
        <f t="shared" ref="Y167:AN167" si="226">SUM(Y168)</f>
        <v>50000000</v>
      </c>
      <c r="Z167" s="480">
        <f t="shared" si="226"/>
        <v>0</v>
      </c>
      <c r="AA167" s="480">
        <f t="shared" si="226"/>
        <v>0</v>
      </c>
      <c r="AB167" s="480">
        <f t="shared" si="226"/>
        <v>0</v>
      </c>
      <c r="AC167" s="480">
        <f t="shared" si="226"/>
        <v>0</v>
      </c>
      <c r="AD167" s="480">
        <f t="shared" si="226"/>
        <v>0</v>
      </c>
      <c r="AE167" s="480">
        <f t="shared" si="226"/>
        <v>0</v>
      </c>
      <c r="AF167" s="480">
        <f t="shared" si="226"/>
        <v>0</v>
      </c>
      <c r="AG167" s="480">
        <f t="shared" si="226"/>
        <v>50000000</v>
      </c>
      <c r="AH167" s="480">
        <f t="shared" si="226"/>
        <v>0</v>
      </c>
      <c r="AI167" s="480">
        <f t="shared" si="226"/>
        <v>51500000</v>
      </c>
      <c r="AJ167" s="480">
        <f t="shared" si="226"/>
        <v>0</v>
      </c>
      <c r="AK167" s="480">
        <f t="shared" si="226"/>
        <v>0</v>
      </c>
      <c r="AL167" s="480">
        <f t="shared" si="226"/>
        <v>0</v>
      </c>
      <c r="AM167" s="480">
        <f t="shared" si="226"/>
        <v>0</v>
      </c>
      <c r="AN167" s="480">
        <f t="shared" si="226"/>
        <v>0</v>
      </c>
      <c r="AO167" s="480">
        <f t="shared" ref="AO167:AQ167" si="227">SUM(AO168)</f>
        <v>0</v>
      </c>
      <c r="AP167" s="480">
        <f t="shared" si="227"/>
        <v>0</v>
      </c>
      <c r="AQ167" s="480">
        <f t="shared" si="227"/>
        <v>51500000</v>
      </c>
      <c r="AR167" s="51"/>
      <c r="AS167" s="51"/>
      <c r="AT167" s="51"/>
      <c r="AU167" s="51"/>
      <c r="AV167" s="51"/>
      <c r="AW167" s="51"/>
      <c r="AX167" s="51"/>
      <c r="AY167" s="51"/>
      <c r="AZ167" s="51"/>
      <c r="BA167" s="480">
        <f t="shared" ref="BA167" si="228">SUM(BA168)</f>
        <v>53045000</v>
      </c>
      <c r="BB167" s="51"/>
      <c r="BC167" s="51"/>
      <c r="BD167" s="51"/>
      <c r="BE167" s="51"/>
      <c r="BF167" s="51"/>
      <c r="BG167" s="51"/>
      <c r="BH167" s="51"/>
      <c r="BI167" s="51"/>
      <c r="BJ167" s="51"/>
      <c r="BK167" s="480">
        <f t="shared" ref="BK167:BL167" si="229">SUM(BK168)</f>
        <v>54636350</v>
      </c>
      <c r="BL167" s="612">
        <f t="shared" si="229"/>
        <v>209181350</v>
      </c>
    </row>
    <row r="168" spans="1:64" ht="59.25" customHeight="1" x14ac:dyDescent="0.2">
      <c r="A168" s="74">
        <v>118</v>
      </c>
      <c r="B168" s="56">
        <v>3</v>
      </c>
      <c r="C168" s="124"/>
      <c r="D168" s="124"/>
      <c r="E168" s="65" t="s">
        <v>934</v>
      </c>
      <c r="F168" s="261" t="s">
        <v>405</v>
      </c>
      <c r="G168" s="58" t="s">
        <v>128</v>
      </c>
      <c r="H168" s="191">
        <v>0.27</v>
      </c>
      <c r="I168" s="549">
        <v>117</v>
      </c>
      <c r="J168" s="565" t="s">
        <v>406</v>
      </c>
      <c r="K168" s="557" t="s">
        <v>407</v>
      </c>
      <c r="L168" s="549" t="s">
        <v>398</v>
      </c>
      <c r="M168" s="564">
        <v>5</v>
      </c>
      <c r="N168" s="560" t="s">
        <v>69</v>
      </c>
      <c r="O168" s="560" t="s">
        <v>49</v>
      </c>
      <c r="P168" s="560">
        <v>5</v>
      </c>
      <c r="Q168" s="564">
        <v>1</v>
      </c>
      <c r="R168" s="560">
        <v>1</v>
      </c>
      <c r="S168" s="560">
        <v>2</v>
      </c>
      <c r="T168" s="560">
        <v>1</v>
      </c>
      <c r="U168" s="548">
        <f>AG168/AG167</f>
        <v>1</v>
      </c>
      <c r="V168" s="562">
        <v>8</v>
      </c>
      <c r="W168" s="562" t="s">
        <v>131</v>
      </c>
      <c r="X168" s="554"/>
      <c r="Y168" s="554">
        <v>50000000</v>
      </c>
      <c r="Z168" s="554"/>
      <c r="AA168" s="554"/>
      <c r="AB168" s="554"/>
      <c r="AC168" s="554"/>
      <c r="AD168" s="554"/>
      <c r="AE168" s="554"/>
      <c r="AF168" s="554"/>
      <c r="AG168" s="545">
        <f>+X168+Y168+Z168+AA168+AB168+AC168+AD168+AE168+AF168</f>
        <v>50000000</v>
      </c>
      <c r="AH168" s="544"/>
      <c r="AI168" s="544">
        <v>51500000</v>
      </c>
      <c r="AJ168" s="544"/>
      <c r="AK168" s="545"/>
      <c r="AL168" s="544"/>
      <c r="AM168" s="544"/>
      <c r="AN168" s="544"/>
      <c r="AO168" s="544"/>
      <c r="AP168" s="544"/>
      <c r="AQ168" s="556">
        <f>AH168+AI168+AJ168+AK168+AL168+AM168+AN168+AO168+AP168</f>
        <v>51500000</v>
      </c>
      <c r="AR168" s="544"/>
      <c r="AS168" s="544">
        <v>53045000</v>
      </c>
      <c r="AT168" s="544"/>
      <c r="AU168" s="504"/>
      <c r="AV168" s="544"/>
      <c r="AW168" s="544"/>
      <c r="AX168" s="544"/>
      <c r="AY168" s="544"/>
      <c r="AZ168" s="544"/>
      <c r="BA168" s="544">
        <f>SUM(AR168:AZ168)</f>
        <v>53045000</v>
      </c>
      <c r="BB168" s="543"/>
      <c r="BC168" s="543">
        <v>54636350</v>
      </c>
      <c r="BD168" s="543"/>
      <c r="BE168" s="493"/>
      <c r="BF168" s="543"/>
      <c r="BG168" s="543"/>
      <c r="BH168" s="543"/>
      <c r="BI168" s="543"/>
      <c r="BJ168" s="543"/>
      <c r="BK168" s="543">
        <f>SUM(BB168:BJ168)</f>
        <v>54636350</v>
      </c>
      <c r="BL168" s="606">
        <f>AG168+AQ168+BA168+BK168</f>
        <v>209181350</v>
      </c>
    </row>
    <row r="169" spans="1:64" ht="24.75" customHeight="1" x14ac:dyDescent="0.2">
      <c r="A169" s="74"/>
      <c r="B169" s="56"/>
      <c r="C169" s="124"/>
      <c r="D169" s="124"/>
      <c r="E169" s="44">
        <v>31</v>
      </c>
      <c r="F169" s="45" t="s">
        <v>409</v>
      </c>
      <c r="G169" s="83"/>
      <c r="H169" s="48"/>
      <c r="I169" s="47"/>
      <c r="J169" s="48"/>
      <c r="K169" s="48"/>
      <c r="L169" s="47"/>
      <c r="M169" s="49"/>
      <c r="N169" s="50"/>
      <c r="O169" s="48"/>
      <c r="P169" s="48"/>
      <c r="Q169" s="51"/>
      <c r="R169" s="48"/>
      <c r="S169" s="51"/>
      <c r="T169" s="51"/>
      <c r="U169" s="51"/>
      <c r="V169" s="51"/>
      <c r="W169" s="51"/>
      <c r="X169" s="481">
        <f>SUM(X170)</f>
        <v>0</v>
      </c>
      <c r="Y169" s="480">
        <f t="shared" ref="Y169:AN169" si="230">SUM(Y170)</f>
        <v>123200000</v>
      </c>
      <c r="Z169" s="480">
        <f t="shared" si="230"/>
        <v>0</v>
      </c>
      <c r="AA169" s="480">
        <f t="shared" si="230"/>
        <v>0</v>
      </c>
      <c r="AB169" s="480">
        <f t="shared" si="230"/>
        <v>0</v>
      </c>
      <c r="AC169" s="480">
        <f t="shared" si="230"/>
        <v>0</v>
      </c>
      <c r="AD169" s="480">
        <f t="shared" si="230"/>
        <v>0</v>
      </c>
      <c r="AE169" s="481">
        <f t="shared" si="230"/>
        <v>0</v>
      </c>
      <c r="AF169" s="481">
        <f t="shared" si="230"/>
        <v>0</v>
      </c>
      <c r="AG169" s="481">
        <f t="shared" si="230"/>
        <v>123200000</v>
      </c>
      <c r="AH169" s="481">
        <f t="shared" si="230"/>
        <v>0</v>
      </c>
      <c r="AI169" s="481">
        <f t="shared" si="230"/>
        <v>126896000</v>
      </c>
      <c r="AJ169" s="481">
        <f t="shared" si="230"/>
        <v>0</v>
      </c>
      <c r="AK169" s="481">
        <f t="shared" si="230"/>
        <v>0</v>
      </c>
      <c r="AL169" s="481">
        <f t="shared" si="230"/>
        <v>0</v>
      </c>
      <c r="AM169" s="481">
        <f t="shared" si="230"/>
        <v>0</v>
      </c>
      <c r="AN169" s="481">
        <f t="shared" si="230"/>
        <v>0</v>
      </c>
      <c r="AO169" s="481">
        <f t="shared" ref="AO169:AQ169" si="231">SUM(AO170)</f>
        <v>0</v>
      </c>
      <c r="AP169" s="481">
        <f t="shared" si="231"/>
        <v>0</v>
      </c>
      <c r="AQ169" s="541">
        <f t="shared" si="231"/>
        <v>126896000</v>
      </c>
      <c r="AR169" s="51"/>
      <c r="AS169" s="51"/>
      <c r="AT169" s="51"/>
      <c r="AU169" s="51"/>
      <c r="AV169" s="51"/>
      <c r="AW169" s="51"/>
      <c r="AX169" s="51"/>
      <c r="AY169" s="51"/>
      <c r="AZ169" s="51"/>
      <c r="BA169" s="541">
        <f t="shared" ref="BA169" si="232">SUM(BA170)</f>
        <v>130702880</v>
      </c>
      <c r="BB169" s="51"/>
      <c r="BC169" s="51"/>
      <c r="BD169" s="51"/>
      <c r="BE169" s="51"/>
      <c r="BF169" s="51"/>
      <c r="BG169" s="51"/>
      <c r="BH169" s="51"/>
      <c r="BI169" s="51"/>
      <c r="BJ169" s="51"/>
      <c r="BK169" s="541">
        <f t="shared" ref="BK169:BL169" si="233">SUM(BK170)</f>
        <v>134623966.40000001</v>
      </c>
      <c r="BL169" s="613">
        <f t="shared" si="233"/>
        <v>515422846.39999998</v>
      </c>
    </row>
    <row r="170" spans="1:64" ht="107.25" customHeight="1" x14ac:dyDescent="0.2">
      <c r="A170" s="56">
        <v>119</v>
      </c>
      <c r="B170" s="56">
        <v>3</v>
      </c>
      <c r="C170" s="124"/>
      <c r="D170" s="183"/>
      <c r="E170" s="81">
        <v>14</v>
      </c>
      <c r="F170" s="57" t="s">
        <v>410</v>
      </c>
      <c r="G170" s="58" t="s">
        <v>272</v>
      </c>
      <c r="H170" s="191">
        <v>0.03</v>
      </c>
      <c r="I170" s="64">
        <v>118</v>
      </c>
      <c r="J170" s="60" t="s">
        <v>411</v>
      </c>
      <c r="K170" s="257" t="s">
        <v>412</v>
      </c>
      <c r="L170" s="421" t="s">
        <v>398</v>
      </c>
      <c r="M170" s="437">
        <v>5</v>
      </c>
      <c r="N170" s="438" t="s">
        <v>69</v>
      </c>
      <c r="O170" s="81">
        <v>16</v>
      </c>
      <c r="P170" s="81">
        <v>20</v>
      </c>
      <c r="Q170" s="518">
        <v>4</v>
      </c>
      <c r="R170" s="510">
        <v>6</v>
      </c>
      <c r="S170" s="510">
        <v>6</v>
      </c>
      <c r="T170" s="510">
        <v>4</v>
      </c>
      <c r="U170" s="439">
        <f>AG170/AG169</f>
        <v>1</v>
      </c>
      <c r="V170" s="65">
        <v>4</v>
      </c>
      <c r="W170" s="419" t="s">
        <v>110</v>
      </c>
      <c r="X170" s="426"/>
      <c r="Y170" s="96">
        <v>123200000</v>
      </c>
      <c r="Z170" s="426"/>
      <c r="AA170" s="426"/>
      <c r="AB170" s="426"/>
      <c r="AC170" s="426"/>
      <c r="AD170" s="426"/>
      <c r="AE170" s="426"/>
      <c r="AF170" s="426"/>
      <c r="AG170" s="69">
        <f>+X170+Y170+Z170+AA170+AB170+AC170+AD170+AE170+AF170</f>
        <v>123200000</v>
      </c>
      <c r="AH170" s="78"/>
      <c r="AI170" s="78">
        <v>126896000</v>
      </c>
      <c r="AJ170" s="78"/>
      <c r="AK170" s="78"/>
      <c r="AL170" s="78"/>
      <c r="AM170" s="78"/>
      <c r="AN170" s="78"/>
      <c r="AO170" s="78"/>
      <c r="AP170" s="78"/>
      <c r="AQ170" s="71">
        <f>AH170+AI170+AJ170+AK170+AL170+AM170+AN170+AO170+AP170</f>
        <v>126896000</v>
      </c>
      <c r="AR170" s="511"/>
      <c r="AS170" s="511">
        <v>130702880</v>
      </c>
      <c r="AT170" s="511"/>
      <c r="AU170" s="511"/>
      <c r="AV170" s="511"/>
      <c r="AW170" s="511"/>
      <c r="AX170" s="511"/>
      <c r="AY170" s="511"/>
      <c r="AZ170" s="511"/>
      <c r="BA170" s="511">
        <f>SUM(AR170:AZ170)</f>
        <v>130702880</v>
      </c>
      <c r="BB170" s="78"/>
      <c r="BC170" s="78">
        <v>134623966.40000001</v>
      </c>
      <c r="BD170" s="78"/>
      <c r="BE170" s="78"/>
      <c r="BF170" s="78"/>
      <c r="BG170" s="78"/>
      <c r="BH170" s="78"/>
      <c r="BI170" s="78"/>
      <c r="BJ170" s="78"/>
      <c r="BK170" s="78">
        <f>SUM(BB170:BJ170)</f>
        <v>134623966.40000001</v>
      </c>
      <c r="BL170" s="603">
        <f>AG170+AQ170+BA170+BK170</f>
        <v>515422846.39999998</v>
      </c>
    </row>
    <row r="171" spans="1:64" ht="24.75" customHeight="1" x14ac:dyDescent="0.2">
      <c r="A171" s="56"/>
      <c r="B171" s="56"/>
      <c r="C171" s="124"/>
      <c r="D171" s="30">
        <v>10</v>
      </c>
      <c r="E171" s="122" t="s">
        <v>413</v>
      </c>
      <c r="F171" s="32"/>
      <c r="G171" s="32"/>
      <c r="H171" s="32"/>
      <c r="I171" s="262"/>
      <c r="J171" s="35"/>
      <c r="K171" s="35"/>
      <c r="L171" s="36"/>
      <c r="M171" s="34"/>
      <c r="N171" s="37"/>
      <c r="O171" s="35"/>
      <c r="P171" s="35"/>
      <c r="Q171" s="38"/>
      <c r="R171" s="35"/>
      <c r="S171" s="35"/>
      <c r="T171" s="34"/>
      <c r="U171" s="123"/>
      <c r="V171" s="34"/>
      <c r="W171" s="34"/>
      <c r="X171" s="40">
        <f t="shared" ref="X171:AF171" si="234">+X172+X174</f>
        <v>0</v>
      </c>
      <c r="Y171" s="40">
        <f t="shared" si="234"/>
        <v>333032525</v>
      </c>
      <c r="Z171" s="40">
        <f t="shared" si="234"/>
        <v>90000000</v>
      </c>
      <c r="AA171" s="40">
        <f t="shared" si="234"/>
        <v>0</v>
      </c>
      <c r="AB171" s="40">
        <f t="shared" si="234"/>
        <v>0</v>
      </c>
      <c r="AC171" s="40">
        <f t="shared" si="234"/>
        <v>0</v>
      </c>
      <c r="AD171" s="40">
        <f t="shared" si="234"/>
        <v>0</v>
      </c>
      <c r="AE171" s="40">
        <f t="shared" si="234"/>
        <v>0</v>
      </c>
      <c r="AF171" s="40">
        <f t="shared" si="234"/>
        <v>0</v>
      </c>
      <c r="AG171" s="40">
        <f>+AG172+AG174</f>
        <v>423032525</v>
      </c>
      <c r="AH171" s="40">
        <f t="shared" ref="AH171:AQ171" si="235">+AH172+AH174</f>
        <v>0</v>
      </c>
      <c r="AI171" s="40">
        <f t="shared" si="235"/>
        <v>236949833</v>
      </c>
      <c r="AJ171" s="40">
        <f t="shared" si="235"/>
        <v>233900000</v>
      </c>
      <c r="AK171" s="40">
        <f t="shared" si="235"/>
        <v>0</v>
      </c>
      <c r="AL171" s="40">
        <f t="shared" si="235"/>
        <v>0</v>
      </c>
      <c r="AM171" s="40">
        <f t="shared" si="235"/>
        <v>0</v>
      </c>
      <c r="AN171" s="40">
        <f t="shared" si="235"/>
        <v>0</v>
      </c>
      <c r="AO171" s="40">
        <f t="shared" si="235"/>
        <v>0</v>
      </c>
      <c r="AP171" s="40">
        <f t="shared" si="235"/>
        <v>0</v>
      </c>
      <c r="AQ171" s="40">
        <f t="shared" si="235"/>
        <v>470849833</v>
      </c>
      <c r="AR171" s="42"/>
      <c r="AS171" s="42"/>
      <c r="AT171" s="42"/>
      <c r="AU171" s="42"/>
      <c r="AV171" s="42"/>
      <c r="AW171" s="42"/>
      <c r="AX171" s="42"/>
      <c r="AY171" s="42"/>
      <c r="AZ171" s="42"/>
      <c r="BA171" s="40">
        <f t="shared" ref="BA171" si="236">+BA172+BA174</f>
        <v>318705328</v>
      </c>
      <c r="BB171" s="42"/>
      <c r="BC171" s="42"/>
      <c r="BD171" s="42"/>
      <c r="BE171" s="42"/>
      <c r="BF171" s="42"/>
      <c r="BG171" s="42"/>
      <c r="BH171" s="42"/>
      <c r="BI171" s="42"/>
      <c r="BJ171" s="42"/>
      <c r="BK171" s="40">
        <f t="shared" ref="BK171" si="237">+BK172+BK174</f>
        <v>296380078</v>
      </c>
      <c r="BL171" s="40">
        <f t="shared" ref="BL171" si="238">+BL172+BL174</f>
        <v>1508967764</v>
      </c>
    </row>
    <row r="172" spans="1:64" ht="24.75" customHeight="1" x14ac:dyDescent="0.2">
      <c r="A172" s="56"/>
      <c r="B172" s="56"/>
      <c r="C172" s="124"/>
      <c r="D172" s="417"/>
      <c r="E172" s="44">
        <v>32</v>
      </c>
      <c r="F172" s="45" t="s">
        <v>414</v>
      </c>
      <c r="G172" s="48"/>
      <c r="H172" s="48"/>
      <c r="I172" s="47"/>
      <c r="J172" s="48"/>
      <c r="K172" s="48"/>
      <c r="L172" s="47"/>
      <c r="M172" s="49"/>
      <c r="N172" s="50"/>
      <c r="O172" s="48"/>
      <c r="P172" s="48"/>
      <c r="Q172" s="51"/>
      <c r="R172" s="48"/>
      <c r="S172" s="48"/>
      <c r="T172" s="49"/>
      <c r="U172" s="125"/>
      <c r="V172" s="49"/>
      <c r="W172" s="49"/>
      <c r="X172" s="53">
        <f t="shared" ref="X172:AF172" si="239">SUM(X173)</f>
        <v>0</v>
      </c>
      <c r="Y172" s="53">
        <f t="shared" si="239"/>
        <v>333032525</v>
      </c>
      <c r="Z172" s="53">
        <f t="shared" si="239"/>
        <v>60000000</v>
      </c>
      <c r="AA172" s="53">
        <f t="shared" si="239"/>
        <v>0</v>
      </c>
      <c r="AB172" s="53">
        <f t="shared" si="239"/>
        <v>0</v>
      </c>
      <c r="AC172" s="53">
        <f t="shared" si="239"/>
        <v>0</v>
      </c>
      <c r="AD172" s="53">
        <f t="shared" si="239"/>
        <v>0</v>
      </c>
      <c r="AE172" s="53">
        <f t="shared" si="239"/>
        <v>0</v>
      </c>
      <c r="AF172" s="53">
        <f t="shared" si="239"/>
        <v>0</v>
      </c>
      <c r="AG172" s="53">
        <f>SUM(AG173)</f>
        <v>393032525</v>
      </c>
      <c r="AH172" s="53">
        <f t="shared" ref="AH172:AQ172" si="240">SUM(AH173)</f>
        <v>0</v>
      </c>
      <c r="AI172" s="53">
        <f t="shared" si="240"/>
        <v>236949833</v>
      </c>
      <c r="AJ172" s="53">
        <f t="shared" si="240"/>
        <v>193900000</v>
      </c>
      <c r="AK172" s="53">
        <f t="shared" si="240"/>
        <v>0</v>
      </c>
      <c r="AL172" s="53">
        <f t="shared" si="240"/>
        <v>0</v>
      </c>
      <c r="AM172" s="53">
        <f t="shared" si="240"/>
        <v>0</v>
      </c>
      <c r="AN172" s="53">
        <f t="shared" si="240"/>
        <v>0</v>
      </c>
      <c r="AO172" s="53">
        <f t="shared" si="240"/>
        <v>0</v>
      </c>
      <c r="AP172" s="53">
        <f t="shared" si="240"/>
        <v>0</v>
      </c>
      <c r="AQ172" s="53">
        <f t="shared" si="240"/>
        <v>430849833</v>
      </c>
      <c r="AR172" s="55"/>
      <c r="AS172" s="55"/>
      <c r="AT172" s="55"/>
      <c r="AU172" s="55"/>
      <c r="AV172" s="55"/>
      <c r="AW172" s="55"/>
      <c r="AX172" s="55"/>
      <c r="AY172" s="55"/>
      <c r="AZ172" s="55"/>
      <c r="BA172" s="53">
        <f t="shared" ref="BA172" si="241">SUM(BA173)</f>
        <v>303705328</v>
      </c>
      <c r="BB172" s="55"/>
      <c r="BC172" s="55"/>
      <c r="BD172" s="55"/>
      <c r="BE172" s="55"/>
      <c r="BF172" s="55"/>
      <c r="BG172" s="55"/>
      <c r="BH172" s="55"/>
      <c r="BI172" s="55"/>
      <c r="BJ172" s="55"/>
      <c r="BK172" s="53">
        <f t="shared" ref="BK172:BL172" si="242">SUM(BK173)</f>
        <v>281380078</v>
      </c>
      <c r="BL172" s="53">
        <f t="shared" si="242"/>
        <v>1408967764</v>
      </c>
    </row>
    <row r="173" spans="1:64" ht="126.75" customHeight="1" x14ac:dyDescent="0.2">
      <c r="A173" s="74">
        <v>120</v>
      </c>
      <c r="B173" s="56">
        <v>3</v>
      </c>
      <c r="C173" s="124"/>
      <c r="D173" s="124"/>
      <c r="E173" s="81">
        <v>6</v>
      </c>
      <c r="F173" s="263" t="s">
        <v>227</v>
      </c>
      <c r="G173" s="65" t="s">
        <v>123</v>
      </c>
      <c r="H173" s="65" t="s">
        <v>124</v>
      </c>
      <c r="I173" s="64">
        <v>119</v>
      </c>
      <c r="J173" s="60" t="s">
        <v>415</v>
      </c>
      <c r="K173" s="257" t="s">
        <v>397</v>
      </c>
      <c r="L173" s="61" t="s">
        <v>398</v>
      </c>
      <c r="M173" s="240">
        <v>5</v>
      </c>
      <c r="N173" s="100" t="s">
        <v>69</v>
      </c>
      <c r="O173" s="81">
        <v>10</v>
      </c>
      <c r="P173" s="81">
        <v>32</v>
      </c>
      <c r="Q173" s="187">
        <v>7</v>
      </c>
      <c r="R173" s="81">
        <v>9</v>
      </c>
      <c r="S173" s="81">
        <v>9</v>
      </c>
      <c r="T173" s="81">
        <v>7</v>
      </c>
      <c r="U173" s="211">
        <f>AG173/AG172</f>
        <v>1</v>
      </c>
      <c r="V173" s="65">
        <v>11</v>
      </c>
      <c r="W173" s="62" t="s">
        <v>226</v>
      </c>
      <c r="X173" s="176"/>
      <c r="Y173" s="176">
        <v>333032525</v>
      </c>
      <c r="Z173" s="496">
        <v>60000000</v>
      </c>
      <c r="AA173" s="96"/>
      <c r="AB173" s="176"/>
      <c r="AC173" s="176"/>
      <c r="AD173" s="176"/>
      <c r="AE173" s="176"/>
      <c r="AF173" s="176"/>
      <c r="AG173" s="69">
        <f>+X173+Y173+Z173+AA173+AB173+AC173+AD173+AE173+AF173</f>
        <v>393032525</v>
      </c>
      <c r="AH173" s="78"/>
      <c r="AI173" s="78">
        <v>236949833</v>
      </c>
      <c r="AJ173" s="146">
        <v>193900000</v>
      </c>
      <c r="AK173" s="146"/>
      <c r="AL173" s="78"/>
      <c r="AM173" s="78"/>
      <c r="AN173" s="78"/>
      <c r="AO173" s="78"/>
      <c r="AP173" s="78"/>
      <c r="AQ173" s="71">
        <f>AH173+AI173+AJ173+AK173+AL173+AM173+AN173+AO173+AP173</f>
        <v>430849833</v>
      </c>
      <c r="AR173" s="511"/>
      <c r="AS173" s="511">
        <v>244058328</v>
      </c>
      <c r="AT173" s="138">
        <v>59647000</v>
      </c>
      <c r="AU173" s="138"/>
      <c r="AV173" s="511"/>
      <c r="AW173" s="511"/>
      <c r="AX173" s="511"/>
      <c r="AY173" s="511"/>
      <c r="AZ173" s="511"/>
      <c r="BA173" s="511">
        <f>SUM(AR173:AZ173)</f>
        <v>303705328</v>
      </c>
      <c r="BB173" s="78"/>
      <c r="BC173" s="78">
        <v>251380078</v>
      </c>
      <c r="BD173" s="511">
        <v>30000000</v>
      </c>
      <c r="BE173" s="78"/>
      <c r="BF173" s="78"/>
      <c r="BG173" s="78"/>
      <c r="BH173" s="78"/>
      <c r="BI173" s="78"/>
      <c r="BJ173" s="78"/>
      <c r="BK173" s="78">
        <f>SUM(BB173:BJ173)</f>
        <v>281380078</v>
      </c>
      <c r="BL173" s="603">
        <f>AG173+AQ173+BA173+BK173</f>
        <v>1408967764</v>
      </c>
    </row>
    <row r="174" spans="1:64" ht="24.75" customHeight="1" x14ac:dyDescent="0.2">
      <c r="A174" s="74"/>
      <c r="B174" s="56"/>
      <c r="C174" s="124"/>
      <c r="D174" s="124"/>
      <c r="E174" s="44">
        <v>33</v>
      </c>
      <c r="F174" s="45" t="s">
        <v>416</v>
      </c>
      <c r="G174" s="48"/>
      <c r="H174" s="48"/>
      <c r="I174" s="47"/>
      <c r="J174" s="48"/>
      <c r="K174" s="48"/>
      <c r="L174" s="47"/>
      <c r="M174" s="49"/>
      <c r="N174" s="50"/>
      <c r="O174" s="48"/>
      <c r="P174" s="48"/>
      <c r="Q174" s="51"/>
      <c r="R174" s="48"/>
      <c r="S174" s="48"/>
      <c r="T174" s="49"/>
      <c r="U174" s="125"/>
      <c r="V174" s="49"/>
      <c r="W174" s="49"/>
      <c r="X174" s="53">
        <f t="shared" ref="X174:AF174" si="243">SUM(X175:X176)</f>
        <v>0</v>
      </c>
      <c r="Y174" s="53">
        <f t="shared" si="243"/>
        <v>0</v>
      </c>
      <c r="Z174" s="53">
        <f t="shared" si="243"/>
        <v>30000000</v>
      </c>
      <c r="AA174" s="53">
        <f t="shared" si="243"/>
        <v>0</v>
      </c>
      <c r="AB174" s="53">
        <f t="shared" si="243"/>
        <v>0</v>
      </c>
      <c r="AC174" s="53">
        <f t="shared" si="243"/>
        <v>0</v>
      </c>
      <c r="AD174" s="53">
        <f t="shared" si="243"/>
        <v>0</v>
      </c>
      <c r="AE174" s="53">
        <f t="shared" si="243"/>
        <v>0</v>
      </c>
      <c r="AF174" s="53">
        <f t="shared" si="243"/>
        <v>0</v>
      </c>
      <c r="AG174" s="54">
        <f>SUM(AG175:AG176)</f>
        <v>30000000</v>
      </c>
      <c r="AH174" s="53">
        <f t="shared" ref="AH174:AQ174" si="244">SUM(AH175:AH176)</f>
        <v>0</v>
      </c>
      <c r="AI174" s="53">
        <f t="shared" si="244"/>
        <v>0</v>
      </c>
      <c r="AJ174" s="53">
        <f t="shared" si="244"/>
        <v>40000000</v>
      </c>
      <c r="AK174" s="53">
        <f t="shared" si="244"/>
        <v>0</v>
      </c>
      <c r="AL174" s="53">
        <f t="shared" si="244"/>
        <v>0</v>
      </c>
      <c r="AM174" s="53">
        <f t="shared" si="244"/>
        <v>0</v>
      </c>
      <c r="AN174" s="53">
        <f t="shared" si="244"/>
        <v>0</v>
      </c>
      <c r="AO174" s="53">
        <f t="shared" si="244"/>
        <v>0</v>
      </c>
      <c r="AP174" s="53">
        <f t="shared" si="244"/>
        <v>0</v>
      </c>
      <c r="AQ174" s="53">
        <f t="shared" si="244"/>
        <v>40000000</v>
      </c>
      <c r="AR174" s="55"/>
      <c r="AS174" s="55"/>
      <c r="AT174" s="55"/>
      <c r="AU174" s="55"/>
      <c r="AV174" s="55"/>
      <c r="AW174" s="55"/>
      <c r="AX174" s="55"/>
      <c r="AY174" s="55"/>
      <c r="AZ174" s="55"/>
      <c r="BA174" s="53">
        <f t="shared" ref="BA174" si="245">SUM(BA175:BA176)</f>
        <v>15000000</v>
      </c>
      <c r="BB174" s="55"/>
      <c r="BC174" s="55"/>
      <c r="BD174" s="55"/>
      <c r="BE174" s="55"/>
      <c r="BF174" s="55"/>
      <c r="BG174" s="55"/>
      <c r="BH174" s="55"/>
      <c r="BI174" s="55"/>
      <c r="BJ174" s="55"/>
      <c r="BK174" s="53">
        <f t="shared" ref="BK174:BL174" si="246">SUM(BK175:BK176)</f>
        <v>15000000</v>
      </c>
      <c r="BL174" s="53">
        <f t="shared" si="246"/>
        <v>100000000</v>
      </c>
    </row>
    <row r="175" spans="1:64" ht="50.25" customHeight="1" x14ac:dyDescent="0.2">
      <c r="A175" s="56">
        <v>121</v>
      </c>
      <c r="B175" s="56">
        <v>3</v>
      </c>
      <c r="C175" s="124"/>
      <c r="D175" s="124"/>
      <c r="E175" s="510">
        <v>5</v>
      </c>
      <c r="F175" s="516" t="s">
        <v>408</v>
      </c>
      <c r="G175" s="440" t="s">
        <v>117</v>
      </c>
      <c r="H175" s="441" t="s">
        <v>117</v>
      </c>
      <c r="I175" s="64">
        <v>120</v>
      </c>
      <c r="J175" s="60" t="s">
        <v>417</v>
      </c>
      <c r="K175" s="257" t="s">
        <v>418</v>
      </c>
      <c r="L175" s="61" t="s">
        <v>398</v>
      </c>
      <c r="M175" s="240">
        <v>5</v>
      </c>
      <c r="N175" s="100" t="s">
        <v>69</v>
      </c>
      <c r="O175" s="81">
        <v>0</v>
      </c>
      <c r="P175" s="65">
        <v>10</v>
      </c>
      <c r="Q175" s="187">
        <v>2</v>
      </c>
      <c r="R175" s="81">
        <v>3</v>
      </c>
      <c r="S175" s="81">
        <v>3</v>
      </c>
      <c r="T175" s="81">
        <v>2</v>
      </c>
      <c r="U175" s="252">
        <f>AG175/AG174</f>
        <v>0.5</v>
      </c>
      <c r="V175" s="65">
        <v>11</v>
      </c>
      <c r="W175" s="62" t="s">
        <v>226</v>
      </c>
      <c r="X175" s="96"/>
      <c r="Y175" s="96"/>
      <c r="Z175" s="96">
        <v>15000000</v>
      </c>
      <c r="AA175" s="96"/>
      <c r="AB175" s="96"/>
      <c r="AC175" s="96"/>
      <c r="AD175" s="96"/>
      <c r="AE175" s="96"/>
      <c r="AF175" s="96"/>
      <c r="AG175" s="69">
        <f>+X175+Y175+Z175+AA175+AB175+AC175+AD175+AE175+AF175</f>
        <v>15000000</v>
      </c>
      <c r="AH175" s="78"/>
      <c r="AI175" s="78"/>
      <c r="AJ175" s="78">
        <v>20000000</v>
      </c>
      <c r="AK175" s="78"/>
      <c r="AL175" s="78"/>
      <c r="AM175" s="78"/>
      <c r="AN175" s="78"/>
      <c r="AO175" s="78"/>
      <c r="AP175" s="78"/>
      <c r="AQ175" s="71">
        <f>AH175+AI175+AJ175+AK175+AL175+AM175+AN175+AO175+AP175</f>
        <v>20000000</v>
      </c>
      <c r="AR175" s="511"/>
      <c r="AS175" s="511"/>
      <c r="AT175" s="511">
        <v>7500000</v>
      </c>
      <c r="AU175" s="511"/>
      <c r="AV175" s="511"/>
      <c r="AW175" s="511"/>
      <c r="AX175" s="511"/>
      <c r="AY175" s="511"/>
      <c r="AZ175" s="511"/>
      <c r="BA175" s="511">
        <f>SUM(AR175:AZ175)</f>
        <v>7500000</v>
      </c>
      <c r="BB175" s="78"/>
      <c r="BC175" s="78"/>
      <c r="BD175" s="78">
        <v>7500000</v>
      </c>
      <c r="BE175" s="78"/>
      <c r="BF175" s="78"/>
      <c r="BG175" s="78"/>
      <c r="BH175" s="78"/>
      <c r="BI175" s="78"/>
      <c r="BJ175" s="78"/>
      <c r="BK175" s="78">
        <f>SUM(BB175:BJ175)</f>
        <v>7500000</v>
      </c>
      <c r="BL175" s="603">
        <f>AG175+AQ175+BA175+BK175</f>
        <v>50000000</v>
      </c>
    </row>
    <row r="176" spans="1:64" ht="78.75" customHeight="1" x14ac:dyDescent="0.2">
      <c r="A176" s="74">
        <v>122</v>
      </c>
      <c r="B176" s="56">
        <v>3</v>
      </c>
      <c r="C176" s="124"/>
      <c r="D176" s="183"/>
      <c r="E176" s="506"/>
      <c r="F176" s="517"/>
      <c r="G176" s="149"/>
      <c r="H176" s="193"/>
      <c r="I176" s="64">
        <v>121</v>
      </c>
      <c r="J176" s="60" t="s">
        <v>419</v>
      </c>
      <c r="K176" s="257" t="s">
        <v>420</v>
      </c>
      <c r="L176" s="61" t="s">
        <v>398</v>
      </c>
      <c r="M176" s="240">
        <v>5</v>
      </c>
      <c r="N176" s="264" t="s">
        <v>69</v>
      </c>
      <c r="O176" s="81">
        <v>9</v>
      </c>
      <c r="P176" s="65">
        <v>16</v>
      </c>
      <c r="Q176" s="265">
        <v>4</v>
      </c>
      <c r="R176" s="266">
        <v>4</v>
      </c>
      <c r="S176" s="266">
        <v>4</v>
      </c>
      <c r="T176" s="266">
        <v>4</v>
      </c>
      <c r="U176" s="252">
        <f>AG176/AG174</f>
        <v>0.5</v>
      </c>
      <c r="V176" s="65">
        <v>11</v>
      </c>
      <c r="W176" s="62" t="s">
        <v>226</v>
      </c>
      <c r="X176" s="96"/>
      <c r="Y176" s="96"/>
      <c r="Z176" s="96">
        <v>15000000</v>
      </c>
      <c r="AA176" s="96"/>
      <c r="AB176" s="96"/>
      <c r="AC176" s="96"/>
      <c r="AD176" s="96"/>
      <c r="AE176" s="96"/>
      <c r="AF176" s="96"/>
      <c r="AG176" s="69">
        <f>+X176+Y176+Z176+AA176+AB176+AC176+AD176+AE176+AF176</f>
        <v>15000000</v>
      </c>
      <c r="AH176" s="78"/>
      <c r="AI176" s="78"/>
      <c r="AJ176" s="78">
        <v>20000000</v>
      </c>
      <c r="AK176" s="78"/>
      <c r="AL176" s="78"/>
      <c r="AM176" s="78"/>
      <c r="AN176" s="78"/>
      <c r="AO176" s="78"/>
      <c r="AP176" s="78"/>
      <c r="AQ176" s="71">
        <f>AH176+AI176+AJ176+AK176+AL176+AM176+AN176+AO176+AP176</f>
        <v>20000000</v>
      </c>
      <c r="AR176" s="511"/>
      <c r="AS176" s="511"/>
      <c r="AT176" s="511">
        <v>7500000</v>
      </c>
      <c r="AU176" s="511"/>
      <c r="AV176" s="511"/>
      <c r="AW176" s="511"/>
      <c r="AX176" s="511"/>
      <c r="AY176" s="511"/>
      <c r="AZ176" s="511"/>
      <c r="BA176" s="511">
        <f>SUM(AR176:AZ176)</f>
        <v>7500000</v>
      </c>
      <c r="BB176" s="78"/>
      <c r="BC176" s="78"/>
      <c r="BD176" s="78">
        <v>7500000</v>
      </c>
      <c r="BE176" s="78"/>
      <c r="BF176" s="78"/>
      <c r="BG176" s="78"/>
      <c r="BH176" s="78"/>
      <c r="BI176" s="78"/>
      <c r="BJ176" s="78"/>
      <c r="BK176" s="78">
        <f>SUM(BB176:BJ176)</f>
        <v>7500000</v>
      </c>
      <c r="BL176" s="603">
        <f>AG176+AQ176+BA176+BK176</f>
        <v>50000000</v>
      </c>
    </row>
    <row r="177" spans="1:64" s="471" customFormat="1" ht="24.75" customHeight="1" x14ac:dyDescent="0.2">
      <c r="A177" s="463"/>
      <c r="B177" s="464"/>
      <c r="C177" s="465"/>
      <c r="D177" s="466">
        <v>11</v>
      </c>
      <c r="E177" s="467" t="s">
        <v>421</v>
      </c>
      <c r="F177" s="468"/>
      <c r="G177" s="468"/>
      <c r="H177" s="468"/>
      <c r="I177" s="469"/>
      <c r="J177" s="468"/>
      <c r="K177" s="468"/>
      <c r="L177" s="470"/>
      <c r="M177" s="469"/>
      <c r="N177" s="469"/>
      <c r="O177" s="468"/>
      <c r="P177" s="468"/>
      <c r="Q177" s="468"/>
      <c r="R177" s="468"/>
      <c r="S177" s="468"/>
      <c r="T177" s="468"/>
      <c r="U177" s="468"/>
      <c r="V177" s="468"/>
      <c r="W177" s="468"/>
      <c r="X177" s="461">
        <f>X178+X184</f>
        <v>0</v>
      </c>
      <c r="Y177" s="461">
        <f t="shared" ref="Y177" si="247">Y178+Y184</f>
        <v>0</v>
      </c>
      <c r="Z177" s="461">
        <f t="shared" ref="Z177" si="248">Z178+Z184</f>
        <v>50000000</v>
      </c>
      <c r="AA177" s="461">
        <f t="shared" ref="AA177" si="249">AA178+AA184</f>
        <v>0</v>
      </c>
      <c r="AB177" s="461">
        <f t="shared" ref="AB177" si="250">AB178+AB184</f>
        <v>0</v>
      </c>
      <c r="AC177" s="461">
        <f t="shared" ref="AC177" si="251">AC178+AC184</f>
        <v>0</v>
      </c>
      <c r="AD177" s="461">
        <f t="shared" ref="AD177" si="252">AD178+AD184</f>
        <v>0</v>
      </c>
      <c r="AE177" s="461">
        <f t="shared" ref="AE177" si="253">AE178+AE184</f>
        <v>100000000</v>
      </c>
      <c r="AF177" s="461">
        <f t="shared" ref="AF177" si="254">AF178+AF184</f>
        <v>1250000000</v>
      </c>
      <c r="AG177" s="461">
        <f t="shared" ref="AG177" si="255">AG178+AG184</f>
        <v>1400000000</v>
      </c>
      <c r="AH177" s="461">
        <f t="shared" ref="AH177:AQ177" si="256">AH178+AH184</f>
        <v>0</v>
      </c>
      <c r="AI177" s="461">
        <f t="shared" si="256"/>
        <v>0</v>
      </c>
      <c r="AJ177" s="461">
        <f t="shared" si="256"/>
        <v>50000000</v>
      </c>
      <c r="AK177" s="461">
        <f t="shared" si="256"/>
        <v>0</v>
      </c>
      <c r="AL177" s="461">
        <f t="shared" si="256"/>
        <v>0</v>
      </c>
      <c r="AM177" s="461">
        <f t="shared" si="256"/>
        <v>0</v>
      </c>
      <c r="AN177" s="461">
        <f t="shared" si="256"/>
        <v>0</v>
      </c>
      <c r="AO177" s="461">
        <f t="shared" si="256"/>
        <v>103000000</v>
      </c>
      <c r="AP177" s="461">
        <f t="shared" si="256"/>
        <v>1250000000</v>
      </c>
      <c r="AQ177" s="461">
        <f t="shared" si="256"/>
        <v>1403000000</v>
      </c>
      <c r="AR177" s="468"/>
      <c r="AS177" s="468"/>
      <c r="AT177" s="468"/>
      <c r="AU177" s="468"/>
      <c r="AV177" s="468"/>
      <c r="AW177" s="468"/>
      <c r="AX177" s="468"/>
      <c r="AY177" s="468"/>
      <c r="AZ177" s="468"/>
      <c r="BA177" s="461">
        <f>BA178+BA184</f>
        <v>1371090000</v>
      </c>
      <c r="BB177" s="468"/>
      <c r="BC177" s="468"/>
      <c r="BD177" s="468"/>
      <c r="BE177" s="468"/>
      <c r="BF177" s="468"/>
      <c r="BG177" s="468"/>
      <c r="BH177" s="468"/>
      <c r="BI177" s="468"/>
      <c r="BJ177" s="468"/>
      <c r="BK177" s="461">
        <f t="shared" ref="BK177" si="257">BK178+BK184</f>
        <v>2369272700</v>
      </c>
      <c r="BL177" s="614">
        <f t="shared" ref="BL177" si="258">BL178+BL184</f>
        <v>6543362700</v>
      </c>
    </row>
    <row r="178" spans="1:64" s="471" customFormat="1" ht="24.75" customHeight="1" x14ac:dyDescent="0.2">
      <c r="A178" s="463"/>
      <c r="B178" s="464"/>
      <c r="C178" s="465"/>
      <c r="D178" s="472"/>
      <c r="E178" s="473">
        <v>34</v>
      </c>
      <c r="F178" s="474" t="s">
        <v>422</v>
      </c>
      <c r="G178" s="475"/>
      <c r="H178" s="475"/>
      <c r="I178" s="473"/>
      <c r="J178" s="476"/>
      <c r="K178" s="475"/>
      <c r="L178" s="477"/>
      <c r="M178" s="477"/>
      <c r="N178" s="477"/>
      <c r="O178" s="475"/>
      <c r="P178" s="475"/>
      <c r="Q178" s="475"/>
      <c r="R178" s="475"/>
      <c r="S178" s="475"/>
      <c r="T178" s="475"/>
      <c r="U178" s="475"/>
      <c r="V178" s="475"/>
      <c r="W178" s="475"/>
      <c r="X178" s="462">
        <f>SUM(X179:X183)</f>
        <v>0</v>
      </c>
      <c r="Y178" s="462">
        <f t="shared" ref="Y178" si="259">SUM(Y179:Y183)</f>
        <v>0</v>
      </c>
      <c r="Z178" s="462">
        <f t="shared" ref="Z178" si="260">SUM(Z179:Z183)</f>
        <v>50000000</v>
      </c>
      <c r="AA178" s="462">
        <f t="shared" ref="AA178" si="261">SUM(AA179:AA183)</f>
        <v>0</v>
      </c>
      <c r="AB178" s="462">
        <f t="shared" ref="AB178" si="262">SUM(AB179:AB183)</f>
        <v>0</v>
      </c>
      <c r="AC178" s="462">
        <f t="shared" ref="AC178" si="263">SUM(AC179:AC183)</f>
        <v>0</v>
      </c>
      <c r="AD178" s="462">
        <f t="shared" ref="AD178" si="264">SUM(AD179:AD183)</f>
        <v>0</v>
      </c>
      <c r="AE178" s="462">
        <f t="shared" ref="AE178" si="265">SUM(AE179:AE183)</f>
        <v>0</v>
      </c>
      <c r="AF178" s="462">
        <f t="shared" ref="AF178" si="266">SUM(AF179:AF183)</f>
        <v>1250000000</v>
      </c>
      <c r="AG178" s="462">
        <f t="shared" ref="AG178" si="267">SUM(AG179:AG183)</f>
        <v>1300000000</v>
      </c>
      <c r="AH178" s="462">
        <f t="shared" ref="AH178:AQ178" si="268">SUM(AH179:AH183)</f>
        <v>0</v>
      </c>
      <c r="AI178" s="462">
        <f t="shared" si="268"/>
        <v>0</v>
      </c>
      <c r="AJ178" s="462">
        <f t="shared" si="268"/>
        <v>50000000</v>
      </c>
      <c r="AK178" s="462">
        <f t="shared" si="268"/>
        <v>0</v>
      </c>
      <c r="AL178" s="462">
        <f t="shared" si="268"/>
        <v>0</v>
      </c>
      <c r="AM178" s="462">
        <f t="shared" si="268"/>
        <v>0</v>
      </c>
      <c r="AN178" s="462">
        <f t="shared" si="268"/>
        <v>0</v>
      </c>
      <c r="AO178" s="462">
        <f t="shared" si="268"/>
        <v>0</v>
      </c>
      <c r="AP178" s="462">
        <f t="shared" si="268"/>
        <v>1250000000</v>
      </c>
      <c r="AQ178" s="462">
        <f t="shared" si="268"/>
        <v>1300000000</v>
      </c>
      <c r="AR178" s="475"/>
      <c r="AS178" s="475"/>
      <c r="AT178" s="475"/>
      <c r="AU178" s="475"/>
      <c r="AV178" s="475"/>
      <c r="AW178" s="475"/>
      <c r="AX178" s="475"/>
      <c r="AY178" s="475"/>
      <c r="AZ178" s="475"/>
      <c r="BA178" s="462">
        <f t="shared" ref="BA178" si="269">SUM(BA179:BA183)</f>
        <v>1265000000</v>
      </c>
      <c r="BB178" s="475"/>
      <c r="BC178" s="475"/>
      <c r="BD178" s="475"/>
      <c r="BE178" s="475"/>
      <c r="BF178" s="475"/>
      <c r="BG178" s="475"/>
      <c r="BH178" s="475"/>
      <c r="BI178" s="475"/>
      <c r="BJ178" s="475"/>
      <c r="BK178" s="462">
        <f t="shared" ref="BK178" si="270">SUM(BK179:BK183)</f>
        <v>2260000000</v>
      </c>
      <c r="BL178" s="602">
        <f t="shared" ref="BL178" si="271">SUM(BL179:BL183)</f>
        <v>6125000000</v>
      </c>
    </row>
    <row r="179" spans="1:64" ht="90.75" customHeight="1" x14ac:dyDescent="0.2">
      <c r="A179" s="56">
        <v>123</v>
      </c>
      <c r="B179" s="56">
        <v>3</v>
      </c>
      <c r="C179" s="124"/>
      <c r="D179" s="124"/>
      <c r="E179" s="510"/>
      <c r="F179" s="415"/>
      <c r="G179" s="417"/>
      <c r="H179" s="417"/>
      <c r="I179" s="64">
        <v>122</v>
      </c>
      <c r="J179" s="60" t="s">
        <v>423</v>
      </c>
      <c r="K179" s="57" t="s">
        <v>424</v>
      </c>
      <c r="L179" s="61" t="s">
        <v>425</v>
      </c>
      <c r="M179" s="61">
        <v>8</v>
      </c>
      <c r="N179" s="76" t="s">
        <v>54</v>
      </c>
      <c r="O179" s="63">
        <v>0</v>
      </c>
      <c r="P179" s="63">
        <v>1</v>
      </c>
      <c r="Q179" s="77">
        <v>1</v>
      </c>
      <c r="R179" s="63">
        <v>1</v>
      </c>
      <c r="S179" s="63">
        <v>1</v>
      </c>
      <c r="T179" s="63">
        <v>1</v>
      </c>
      <c r="U179" s="109">
        <f>AG179/$AG$178</f>
        <v>0.99615384615384617</v>
      </c>
      <c r="V179" s="64">
        <v>2</v>
      </c>
      <c r="W179" s="61" t="s">
        <v>137</v>
      </c>
      <c r="X179" s="69"/>
      <c r="Y179" s="69"/>
      <c r="Z179" s="69">
        <v>45000000</v>
      </c>
      <c r="AA179" s="69"/>
      <c r="AB179" s="69"/>
      <c r="AC179" s="69"/>
      <c r="AD179" s="69"/>
      <c r="AE179" s="69"/>
      <c r="AF179" s="69">
        <v>1250000000</v>
      </c>
      <c r="AG179" s="69">
        <f>+X179+Y179+Z179+AA179+AB179+AC179+AD179+AE179+AF179</f>
        <v>1295000000</v>
      </c>
      <c r="AH179" s="78"/>
      <c r="AI179" s="78"/>
      <c r="AJ179" s="78">
        <v>10000000</v>
      </c>
      <c r="AK179" s="78"/>
      <c r="AL179" s="78"/>
      <c r="AM179" s="78"/>
      <c r="AN179" s="78"/>
      <c r="AO179" s="78"/>
      <c r="AP179" s="78">
        <v>390000000</v>
      </c>
      <c r="AQ179" s="71">
        <f>AH179+AI179+AJ179+AK179+AL179+AM179+AN179+AO179+AP179</f>
        <v>400000000</v>
      </c>
      <c r="AR179" s="511"/>
      <c r="AS179" s="511"/>
      <c r="AT179" s="511">
        <v>3000000</v>
      </c>
      <c r="AU179" s="511"/>
      <c r="AV179" s="511"/>
      <c r="AW179" s="511"/>
      <c r="AX179" s="511"/>
      <c r="AY179" s="511"/>
      <c r="AZ179" s="511">
        <v>410500000</v>
      </c>
      <c r="BA179" s="511">
        <f>SUM(AR179:AZ179)</f>
        <v>413500000</v>
      </c>
      <c r="BB179" s="78"/>
      <c r="BC179" s="78"/>
      <c r="BD179" s="78">
        <v>2500000</v>
      </c>
      <c r="BE179" s="78"/>
      <c r="BF179" s="78"/>
      <c r="BG179" s="78"/>
      <c r="BH179" s="78"/>
      <c r="BI179" s="78"/>
      <c r="BJ179" s="78">
        <v>506500000</v>
      </c>
      <c r="BK179" s="78">
        <f>SUM(BB179:BJ179)</f>
        <v>509000000</v>
      </c>
      <c r="BL179" s="603">
        <f>AG179+AQ179+BA179+BK179</f>
        <v>2617500000</v>
      </c>
    </row>
    <row r="180" spans="1:64" ht="90.75" customHeight="1" x14ac:dyDescent="0.2">
      <c r="A180" s="74">
        <v>124</v>
      </c>
      <c r="B180" s="56">
        <v>3</v>
      </c>
      <c r="C180" s="124"/>
      <c r="D180" s="124"/>
      <c r="E180" s="506">
        <v>23</v>
      </c>
      <c r="F180" s="268" t="s">
        <v>426</v>
      </c>
      <c r="G180" s="189">
        <v>0.92</v>
      </c>
      <c r="H180" s="269">
        <v>0.85</v>
      </c>
      <c r="I180" s="64">
        <v>123</v>
      </c>
      <c r="J180" s="60" t="s">
        <v>427</v>
      </c>
      <c r="K180" s="57" t="s">
        <v>428</v>
      </c>
      <c r="L180" s="61" t="s">
        <v>425</v>
      </c>
      <c r="M180" s="61">
        <v>8</v>
      </c>
      <c r="N180" s="76" t="s">
        <v>54</v>
      </c>
      <c r="O180" s="63" t="s">
        <v>49</v>
      </c>
      <c r="P180" s="63">
        <v>4</v>
      </c>
      <c r="Q180" s="77">
        <v>4</v>
      </c>
      <c r="R180" s="63">
        <v>4</v>
      </c>
      <c r="S180" s="63">
        <v>4</v>
      </c>
      <c r="T180" s="63">
        <v>4</v>
      </c>
      <c r="U180" s="109">
        <f>AG180/$AG$178</f>
        <v>0</v>
      </c>
      <c r="V180" s="64">
        <v>2</v>
      </c>
      <c r="W180" s="61" t="s">
        <v>137</v>
      </c>
      <c r="X180" s="69"/>
      <c r="Y180" s="69"/>
      <c r="Z180" s="69"/>
      <c r="AA180" s="69"/>
      <c r="AB180" s="69"/>
      <c r="AC180" s="69"/>
      <c r="AD180" s="69"/>
      <c r="AE180" s="69"/>
      <c r="AF180" s="69"/>
      <c r="AG180" s="69">
        <f>+X180+Y180+Z180+AA180+AB180+AC180+AD180+AE180+AF180</f>
        <v>0</v>
      </c>
      <c r="AH180" s="78"/>
      <c r="AI180" s="78"/>
      <c r="AJ180" s="78">
        <v>10000000</v>
      </c>
      <c r="AK180" s="78"/>
      <c r="AL180" s="78"/>
      <c r="AM180" s="78"/>
      <c r="AN180" s="78"/>
      <c r="AO180" s="78"/>
      <c r="AP180" s="78">
        <v>85000000</v>
      </c>
      <c r="AQ180" s="71">
        <f>AH180+AI180+AJ180+AK180+AL180+AM180+AN180+AO180+AP180</f>
        <v>95000000</v>
      </c>
      <c r="AR180" s="511"/>
      <c r="AS180" s="511"/>
      <c r="AT180" s="511">
        <v>3000000</v>
      </c>
      <c r="AU180" s="511"/>
      <c r="AV180" s="511"/>
      <c r="AW180" s="511"/>
      <c r="AX180" s="511"/>
      <c r="AY180" s="511"/>
      <c r="AZ180" s="511">
        <v>42000000</v>
      </c>
      <c r="BA180" s="511">
        <f>SUM(AR180:AZ180)</f>
        <v>45000000</v>
      </c>
      <c r="BB180" s="78"/>
      <c r="BC180" s="78"/>
      <c r="BD180" s="78">
        <v>2500000</v>
      </c>
      <c r="BE180" s="78"/>
      <c r="BF180" s="78"/>
      <c r="BG180" s="78"/>
      <c r="BH180" s="78"/>
      <c r="BI180" s="78"/>
      <c r="BJ180" s="78">
        <v>247500000</v>
      </c>
      <c r="BK180" s="78">
        <f>SUM(BB180:BJ180)</f>
        <v>250000000</v>
      </c>
      <c r="BL180" s="603">
        <f>AG180+AQ180+BA180+BK180</f>
        <v>390000000</v>
      </c>
    </row>
    <row r="181" spans="1:64" ht="134.25" customHeight="1" x14ac:dyDescent="0.2">
      <c r="A181" s="56">
        <v>125</v>
      </c>
      <c r="B181" s="56">
        <v>3</v>
      </c>
      <c r="C181" s="124"/>
      <c r="D181" s="124"/>
      <c r="E181" s="79">
        <v>24</v>
      </c>
      <c r="F181" s="107" t="s">
        <v>429</v>
      </c>
      <c r="G181" s="102" t="s">
        <v>430</v>
      </c>
      <c r="H181" s="101" t="s">
        <v>430</v>
      </c>
      <c r="I181" s="64">
        <v>124</v>
      </c>
      <c r="J181" s="60" t="s">
        <v>431</v>
      </c>
      <c r="K181" s="57" t="s">
        <v>432</v>
      </c>
      <c r="L181" s="61" t="s">
        <v>425</v>
      </c>
      <c r="M181" s="61">
        <v>8</v>
      </c>
      <c r="N181" s="76" t="s">
        <v>69</v>
      </c>
      <c r="O181" s="63">
        <v>40</v>
      </c>
      <c r="P181" s="63">
        <v>500</v>
      </c>
      <c r="Q181" s="63">
        <v>0</v>
      </c>
      <c r="R181" s="63">
        <v>150</v>
      </c>
      <c r="S181" s="63">
        <v>200</v>
      </c>
      <c r="T181" s="63">
        <v>150</v>
      </c>
      <c r="U181" s="109">
        <f>AG181/$AG$178</f>
        <v>0</v>
      </c>
      <c r="V181" s="64">
        <v>2</v>
      </c>
      <c r="W181" s="61" t="s">
        <v>137</v>
      </c>
      <c r="X181" s="69"/>
      <c r="Y181" s="69"/>
      <c r="Z181" s="69"/>
      <c r="AA181" s="69"/>
      <c r="AB181" s="69"/>
      <c r="AC181" s="69"/>
      <c r="AD181" s="69"/>
      <c r="AE181" s="69"/>
      <c r="AF181" s="69"/>
      <c r="AG181" s="69">
        <f>+X181+Y181+Z181+AA181+AB181+AC181+AD181+AE181+AF181</f>
        <v>0</v>
      </c>
      <c r="AH181" s="78"/>
      <c r="AI181" s="78"/>
      <c r="AJ181" s="78">
        <v>10000000</v>
      </c>
      <c r="AK181" s="78"/>
      <c r="AL181" s="78"/>
      <c r="AM181" s="78"/>
      <c r="AN181" s="78"/>
      <c r="AO181" s="78"/>
      <c r="AP181" s="78">
        <v>390000000</v>
      </c>
      <c r="AQ181" s="71">
        <f>AH181+AI181+AJ181+AK181+AL181+AM181+AN181+AO181+AP181</f>
        <v>400000000</v>
      </c>
      <c r="AR181" s="511"/>
      <c r="AS181" s="511"/>
      <c r="AT181" s="511">
        <v>3000000</v>
      </c>
      <c r="AU181" s="511"/>
      <c r="AV181" s="511"/>
      <c r="AW181" s="511"/>
      <c r="AX181" s="511"/>
      <c r="AY181" s="511"/>
      <c r="AZ181" s="511">
        <v>397000000</v>
      </c>
      <c r="BA181" s="511">
        <f>SUM(AR181:AZ181)</f>
        <v>400000000</v>
      </c>
      <c r="BB181" s="78"/>
      <c r="BC181" s="78"/>
      <c r="BD181" s="78">
        <v>2500000</v>
      </c>
      <c r="BE181" s="78"/>
      <c r="BF181" s="78"/>
      <c r="BG181" s="78"/>
      <c r="BH181" s="78"/>
      <c r="BI181" s="78"/>
      <c r="BJ181" s="78">
        <v>497500000</v>
      </c>
      <c r="BK181" s="78">
        <f>SUM(BB181:BJ181)</f>
        <v>500000000</v>
      </c>
      <c r="BL181" s="603">
        <f>AG181+AQ181+BA181+BK181</f>
        <v>1300000000</v>
      </c>
    </row>
    <row r="182" spans="1:64" ht="171.75" customHeight="1" x14ac:dyDescent="0.2">
      <c r="A182" s="74">
        <v>126</v>
      </c>
      <c r="B182" s="56">
        <v>3</v>
      </c>
      <c r="C182" s="124"/>
      <c r="D182" s="124"/>
      <c r="E182" s="79"/>
      <c r="F182" s="94"/>
      <c r="G182" s="124"/>
      <c r="H182" s="124"/>
      <c r="I182" s="64">
        <v>125</v>
      </c>
      <c r="J182" s="60" t="s">
        <v>433</v>
      </c>
      <c r="K182" s="257" t="s">
        <v>434</v>
      </c>
      <c r="L182" s="61" t="s">
        <v>425</v>
      </c>
      <c r="M182" s="61">
        <v>8</v>
      </c>
      <c r="N182" s="270" t="s">
        <v>69</v>
      </c>
      <c r="O182" s="271">
        <v>1200</v>
      </c>
      <c r="P182" s="271">
        <v>2400</v>
      </c>
      <c r="Q182" s="271">
        <v>150</v>
      </c>
      <c r="R182" s="271">
        <v>750</v>
      </c>
      <c r="S182" s="271">
        <v>750</v>
      </c>
      <c r="T182" s="271">
        <v>750</v>
      </c>
      <c r="U182" s="109">
        <f>AG182/$AG$178</f>
        <v>3.8461538461538464E-3</v>
      </c>
      <c r="V182" s="64">
        <v>2</v>
      </c>
      <c r="W182" s="61" t="s">
        <v>137</v>
      </c>
      <c r="X182" s="69"/>
      <c r="Y182" s="69"/>
      <c r="Z182" s="69">
        <v>5000000</v>
      </c>
      <c r="AA182" s="69"/>
      <c r="AB182" s="69"/>
      <c r="AC182" s="69"/>
      <c r="AD182" s="69"/>
      <c r="AE182" s="69"/>
      <c r="AF182" s="69"/>
      <c r="AG182" s="69">
        <f>+X182+Y182+Z182+AA182+AB182+AC182+AD182+AE182+AF182</f>
        <v>5000000</v>
      </c>
      <c r="AH182" s="78"/>
      <c r="AI182" s="78"/>
      <c r="AJ182" s="78">
        <v>10000000</v>
      </c>
      <c r="AK182" s="78"/>
      <c r="AL182" s="78"/>
      <c r="AM182" s="78"/>
      <c r="AN182" s="78"/>
      <c r="AO182" s="78"/>
      <c r="AP182" s="78">
        <v>195000000</v>
      </c>
      <c r="AQ182" s="71">
        <f>AH182+AI182+AJ182+AK182+AL182+AM182+AN182+AO182+AP182</f>
        <v>205000000</v>
      </c>
      <c r="AR182" s="511"/>
      <c r="AS182" s="511"/>
      <c r="AT182" s="511">
        <v>3000000</v>
      </c>
      <c r="AU182" s="511"/>
      <c r="AV182" s="511"/>
      <c r="AW182" s="511"/>
      <c r="AX182" s="511"/>
      <c r="AY182" s="511"/>
      <c r="AZ182" s="511">
        <v>203500000</v>
      </c>
      <c r="BA182" s="511">
        <f>SUM(AR182:AZ182)</f>
        <v>206500000</v>
      </c>
      <c r="BB182" s="78"/>
      <c r="BC182" s="78"/>
      <c r="BD182" s="78">
        <v>2500000</v>
      </c>
      <c r="BE182" s="78"/>
      <c r="BF182" s="78"/>
      <c r="BG182" s="78"/>
      <c r="BH182" s="78"/>
      <c r="BI182" s="78"/>
      <c r="BJ182" s="78">
        <v>498500000</v>
      </c>
      <c r="BK182" s="78">
        <f>SUM(BB182:BJ182)</f>
        <v>501000000</v>
      </c>
      <c r="BL182" s="603">
        <f>AG182+AQ182+BA182+BK182</f>
        <v>917500000</v>
      </c>
    </row>
    <row r="183" spans="1:64" ht="140.25" customHeight="1" x14ac:dyDescent="0.2">
      <c r="A183" s="56">
        <v>127</v>
      </c>
      <c r="B183" s="56">
        <v>3</v>
      </c>
      <c r="C183" s="124"/>
      <c r="D183" s="124"/>
      <c r="E183" s="506"/>
      <c r="F183" s="97"/>
      <c r="G183" s="183"/>
      <c r="H183" s="183"/>
      <c r="I183" s="65">
        <v>126</v>
      </c>
      <c r="J183" s="57" t="s">
        <v>435</v>
      </c>
      <c r="K183" s="57" t="s">
        <v>436</v>
      </c>
      <c r="L183" s="62" t="s">
        <v>425</v>
      </c>
      <c r="M183" s="62">
        <v>8</v>
      </c>
      <c r="N183" s="76" t="s">
        <v>54</v>
      </c>
      <c r="O183" s="63" t="s">
        <v>49</v>
      </c>
      <c r="P183" s="63" t="s">
        <v>437</v>
      </c>
      <c r="Q183" s="63">
        <v>0</v>
      </c>
      <c r="R183" s="63">
        <f>1795 +  1531</f>
        <v>3326</v>
      </c>
      <c r="S183" s="63" t="s">
        <v>437</v>
      </c>
      <c r="T183" s="63" t="s">
        <v>437</v>
      </c>
      <c r="U183" s="182">
        <f>AG183/$AG$178</f>
        <v>0</v>
      </c>
      <c r="V183" s="65">
        <v>2</v>
      </c>
      <c r="W183" s="62" t="s">
        <v>137</v>
      </c>
      <c r="X183" s="106"/>
      <c r="Y183" s="106"/>
      <c r="Z183" s="106"/>
      <c r="AA183" s="106"/>
      <c r="AB183" s="106"/>
      <c r="AC183" s="106"/>
      <c r="AD183" s="106"/>
      <c r="AE183" s="106"/>
      <c r="AF183" s="106"/>
      <c r="AG183" s="106">
        <f>+X183+Y183+Z183+AA183+AB183+AC183+AD183+AE183+AF183</f>
        <v>0</v>
      </c>
      <c r="AH183" s="78"/>
      <c r="AI183" s="78"/>
      <c r="AJ183" s="78">
        <v>10000000</v>
      </c>
      <c r="AK183" s="78"/>
      <c r="AL183" s="78"/>
      <c r="AM183" s="78"/>
      <c r="AN183" s="78"/>
      <c r="AO183" s="78"/>
      <c r="AP183" s="78">
        <v>190000000</v>
      </c>
      <c r="AQ183" s="71">
        <f>AH183+AI183+AJ183+AK183+AL183+AM183+AN183+AO183+AP183</f>
        <v>200000000</v>
      </c>
      <c r="AR183" s="511"/>
      <c r="AS183" s="511"/>
      <c r="AT183" s="511">
        <v>3000000</v>
      </c>
      <c r="AU183" s="511"/>
      <c r="AV183" s="511"/>
      <c r="AW183" s="511"/>
      <c r="AX183" s="511"/>
      <c r="AY183" s="511"/>
      <c r="AZ183" s="511">
        <v>197000000</v>
      </c>
      <c r="BA183" s="511">
        <f>SUM(AR183:AZ183)</f>
        <v>200000000</v>
      </c>
      <c r="BB183" s="78"/>
      <c r="BC183" s="78"/>
      <c r="BD183" s="78">
        <v>2500000</v>
      </c>
      <c r="BE183" s="78"/>
      <c r="BF183" s="78"/>
      <c r="BG183" s="78"/>
      <c r="BH183" s="78"/>
      <c r="BI183" s="78"/>
      <c r="BJ183" s="78">
        <v>497500000</v>
      </c>
      <c r="BK183" s="78">
        <f>SUM(BB183:BJ183)</f>
        <v>500000000</v>
      </c>
      <c r="BL183" s="603">
        <f>AG183+AQ183+BA183+BK183</f>
        <v>900000000</v>
      </c>
    </row>
    <row r="184" spans="1:64" ht="24.75" customHeight="1" x14ac:dyDescent="0.2">
      <c r="A184" s="56"/>
      <c r="B184" s="56"/>
      <c r="C184" s="124"/>
      <c r="D184" s="124"/>
      <c r="E184" s="44">
        <v>35</v>
      </c>
      <c r="F184" s="45" t="s">
        <v>438</v>
      </c>
      <c r="G184" s="46"/>
      <c r="H184" s="175"/>
      <c r="I184" s="44"/>
      <c r="J184" s="175"/>
      <c r="K184" s="84"/>
      <c r="L184" s="47"/>
      <c r="M184" s="47"/>
      <c r="N184" s="85"/>
      <c r="O184" s="84"/>
      <c r="P184" s="84"/>
      <c r="Q184" s="86"/>
      <c r="R184" s="84"/>
      <c r="S184" s="84"/>
      <c r="T184" s="47"/>
      <c r="U184" s="87"/>
      <c r="V184" s="47"/>
      <c r="W184" s="47"/>
      <c r="X184" s="88">
        <f t="shared" ref="X184:AF184" si="272">SUM(X185:X187)</f>
        <v>0</v>
      </c>
      <c r="Y184" s="88">
        <f t="shared" si="272"/>
        <v>0</v>
      </c>
      <c r="Z184" s="88">
        <f t="shared" si="272"/>
        <v>0</v>
      </c>
      <c r="AA184" s="88">
        <f t="shared" si="272"/>
        <v>0</v>
      </c>
      <c r="AB184" s="88">
        <f t="shared" si="272"/>
        <v>0</v>
      </c>
      <c r="AC184" s="88">
        <f t="shared" si="272"/>
        <v>0</v>
      </c>
      <c r="AD184" s="88">
        <f t="shared" si="272"/>
        <v>0</v>
      </c>
      <c r="AE184" s="88">
        <f t="shared" si="272"/>
        <v>100000000</v>
      </c>
      <c r="AF184" s="88">
        <f t="shared" si="272"/>
        <v>0</v>
      </c>
      <c r="AG184" s="89">
        <f>SUM(AG185:AG187)</f>
        <v>100000000</v>
      </c>
      <c r="AH184" s="88">
        <f t="shared" ref="AH184:AQ184" si="273">SUM(AH185:AH187)</f>
        <v>0</v>
      </c>
      <c r="AI184" s="88">
        <f t="shared" si="273"/>
        <v>0</v>
      </c>
      <c r="AJ184" s="88">
        <f t="shared" si="273"/>
        <v>0</v>
      </c>
      <c r="AK184" s="88">
        <f t="shared" si="273"/>
        <v>0</v>
      </c>
      <c r="AL184" s="88">
        <f t="shared" si="273"/>
        <v>0</v>
      </c>
      <c r="AM184" s="88">
        <f t="shared" si="273"/>
        <v>0</v>
      </c>
      <c r="AN184" s="88">
        <f t="shared" si="273"/>
        <v>0</v>
      </c>
      <c r="AO184" s="88">
        <f t="shared" si="273"/>
        <v>103000000</v>
      </c>
      <c r="AP184" s="88">
        <f t="shared" si="273"/>
        <v>0</v>
      </c>
      <c r="AQ184" s="88">
        <f t="shared" si="273"/>
        <v>103000000</v>
      </c>
      <c r="AR184" s="90"/>
      <c r="AS184" s="90"/>
      <c r="AT184" s="90"/>
      <c r="AU184" s="90"/>
      <c r="AV184" s="90"/>
      <c r="AW184" s="90"/>
      <c r="AX184" s="90"/>
      <c r="AY184" s="90"/>
      <c r="AZ184" s="90"/>
      <c r="BA184" s="88">
        <f t="shared" ref="BA184" si="274">SUM(BA185:BA187)</f>
        <v>106090000</v>
      </c>
      <c r="BB184" s="90"/>
      <c r="BC184" s="90"/>
      <c r="BD184" s="90"/>
      <c r="BE184" s="90"/>
      <c r="BF184" s="90"/>
      <c r="BG184" s="90"/>
      <c r="BH184" s="90"/>
      <c r="BI184" s="90"/>
      <c r="BJ184" s="90"/>
      <c r="BK184" s="88">
        <f t="shared" ref="BK184:BL184" si="275">SUM(BK185:BK187)</f>
        <v>109272700</v>
      </c>
      <c r="BL184" s="88">
        <f t="shared" si="275"/>
        <v>418362700</v>
      </c>
    </row>
    <row r="185" spans="1:64" ht="278.25" customHeight="1" x14ac:dyDescent="0.2">
      <c r="A185" s="74">
        <v>128</v>
      </c>
      <c r="B185" s="56">
        <v>3</v>
      </c>
      <c r="C185" s="124"/>
      <c r="D185" s="124"/>
      <c r="E185" s="510">
        <v>24</v>
      </c>
      <c r="F185" s="516" t="s">
        <v>439</v>
      </c>
      <c r="G185" s="442" t="s">
        <v>430</v>
      </c>
      <c r="H185" s="418" t="s">
        <v>430</v>
      </c>
      <c r="I185" s="64">
        <v>127</v>
      </c>
      <c r="J185" s="60" t="s">
        <v>440</v>
      </c>
      <c r="K185" s="257" t="s">
        <v>441</v>
      </c>
      <c r="L185" s="61" t="s">
        <v>442</v>
      </c>
      <c r="M185" s="240">
        <v>2</v>
      </c>
      <c r="N185" s="272" t="s">
        <v>54</v>
      </c>
      <c r="O185" s="65" t="s">
        <v>49</v>
      </c>
      <c r="P185" s="65">
        <v>1</v>
      </c>
      <c r="Q185" s="273">
        <v>1</v>
      </c>
      <c r="R185" s="274">
        <v>1</v>
      </c>
      <c r="S185" s="274">
        <v>1</v>
      </c>
      <c r="T185" s="275">
        <v>1</v>
      </c>
      <c r="U185" s="211">
        <f>AG185/$AG$184</f>
        <v>0.18</v>
      </c>
      <c r="V185" s="64">
        <v>2</v>
      </c>
      <c r="W185" s="61" t="s">
        <v>137</v>
      </c>
      <c r="X185" s="176"/>
      <c r="Y185" s="176"/>
      <c r="Z185" s="176"/>
      <c r="AA185" s="176"/>
      <c r="AB185" s="176"/>
      <c r="AC185" s="176"/>
      <c r="AD185" s="176"/>
      <c r="AE185" s="96">
        <v>18000000</v>
      </c>
      <c r="AF185" s="96"/>
      <c r="AG185" s="69">
        <f>+X185+Y185+Z185+AA185+AB185+AC185+AD185+AE185+AF185</f>
        <v>18000000</v>
      </c>
      <c r="AH185" s="78"/>
      <c r="AI185" s="78"/>
      <c r="AJ185" s="78"/>
      <c r="AK185" s="78"/>
      <c r="AL185" s="78"/>
      <c r="AM185" s="78"/>
      <c r="AN185" s="78"/>
      <c r="AO185" s="511">
        <v>18540000</v>
      </c>
      <c r="AP185" s="78"/>
      <c r="AQ185" s="71">
        <f>AH185+AI185+AJ185+AK185+AL185+AM185+AN185+AO185+AP185</f>
        <v>18540000</v>
      </c>
      <c r="AR185" s="511"/>
      <c r="AS185" s="511"/>
      <c r="AT185" s="511"/>
      <c r="AU185" s="511"/>
      <c r="AV185" s="511"/>
      <c r="AW185" s="511"/>
      <c r="AX185" s="511"/>
      <c r="AY185" s="511">
        <v>19000000</v>
      </c>
      <c r="AZ185" s="511"/>
      <c r="BA185" s="511">
        <f>SUM(AR185:AZ185)</f>
        <v>19000000</v>
      </c>
      <c r="BB185" s="78"/>
      <c r="BC185" s="78"/>
      <c r="BD185" s="78"/>
      <c r="BE185" s="78"/>
      <c r="BF185" s="78"/>
      <c r="BG185" s="78"/>
      <c r="BH185" s="78"/>
      <c r="BI185" s="78">
        <v>19600000</v>
      </c>
      <c r="BJ185" s="78"/>
      <c r="BK185" s="78">
        <f>SUM(BB185:BJ185)</f>
        <v>19600000</v>
      </c>
      <c r="BL185" s="603">
        <f>AG185+AQ185+BA185+BK185</f>
        <v>75140000</v>
      </c>
    </row>
    <row r="186" spans="1:64" ht="147.75" customHeight="1" x14ac:dyDescent="0.2">
      <c r="A186" s="56">
        <v>129</v>
      </c>
      <c r="B186" s="56">
        <v>3</v>
      </c>
      <c r="C186" s="124"/>
      <c r="D186" s="124"/>
      <c r="E186" s="79"/>
      <c r="F186" s="490"/>
      <c r="G186" s="276"/>
      <c r="H186" s="164"/>
      <c r="I186" s="64">
        <v>128</v>
      </c>
      <c r="J186" s="60" t="s">
        <v>443</v>
      </c>
      <c r="K186" s="257" t="s">
        <v>444</v>
      </c>
      <c r="L186" s="61" t="s">
        <v>442</v>
      </c>
      <c r="M186" s="240">
        <v>2</v>
      </c>
      <c r="N186" s="272" t="s">
        <v>54</v>
      </c>
      <c r="O186" s="65">
        <v>1</v>
      </c>
      <c r="P186" s="65">
        <v>1</v>
      </c>
      <c r="Q186" s="277">
        <v>1</v>
      </c>
      <c r="R186" s="275">
        <v>1</v>
      </c>
      <c r="S186" s="275">
        <v>1</v>
      </c>
      <c r="T186" s="275">
        <v>1</v>
      </c>
      <c r="U186" s="211">
        <f>AG186/$AG$184</f>
        <v>0.25</v>
      </c>
      <c r="V186" s="64">
        <v>2</v>
      </c>
      <c r="W186" s="61" t="s">
        <v>137</v>
      </c>
      <c r="X186" s="176"/>
      <c r="Y186" s="176"/>
      <c r="Z186" s="176"/>
      <c r="AA186" s="176"/>
      <c r="AB186" s="176"/>
      <c r="AC186" s="176"/>
      <c r="AD186" s="176"/>
      <c r="AE186" s="96">
        <v>25000000</v>
      </c>
      <c r="AF186" s="96"/>
      <c r="AG186" s="69">
        <f>+X186+Y186+Z186+AA186+AB186+AC186+AD186+AE186+AF186</f>
        <v>25000000</v>
      </c>
      <c r="AH186" s="78"/>
      <c r="AI186" s="78"/>
      <c r="AJ186" s="78"/>
      <c r="AK186" s="78"/>
      <c r="AL186" s="78"/>
      <c r="AM186" s="78"/>
      <c r="AN186" s="78"/>
      <c r="AO186" s="511">
        <v>25750000</v>
      </c>
      <c r="AP186" s="78"/>
      <c r="AQ186" s="71">
        <f>AH186+AI186+AJ186+AK186+AL186+AM186+AN186+AO186+AP186</f>
        <v>25750000</v>
      </c>
      <c r="AR186" s="511"/>
      <c r="AS186" s="511"/>
      <c r="AT186" s="511"/>
      <c r="AU186" s="511"/>
      <c r="AV186" s="511"/>
      <c r="AW186" s="511"/>
      <c r="AX186" s="511"/>
      <c r="AY186" s="511">
        <v>26530000</v>
      </c>
      <c r="AZ186" s="511"/>
      <c r="BA186" s="511">
        <f>SUM(AR186:AZ186)</f>
        <v>26530000</v>
      </c>
      <c r="BB186" s="78"/>
      <c r="BC186" s="78"/>
      <c r="BD186" s="78"/>
      <c r="BE186" s="78"/>
      <c r="BF186" s="78"/>
      <c r="BG186" s="78"/>
      <c r="BH186" s="78"/>
      <c r="BI186" s="78">
        <v>27300000</v>
      </c>
      <c r="BJ186" s="78"/>
      <c r="BK186" s="78">
        <f>SUM(BB186:BJ186)</f>
        <v>27300000</v>
      </c>
      <c r="BL186" s="603">
        <f>AG186+AQ186+BA186+BK186</f>
        <v>104580000</v>
      </c>
    </row>
    <row r="187" spans="1:64" ht="252.75" customHeight="1" x14ac:dyDescent="0.2">
      <c r="A187" s="74">
        <v>130</v>
      </c>
      <c r="B187" s="56">
        <v>3</v>
      </c>
      <c r="C187" s="124"/>
      <c r="D187" s="183"/>
      <c r="E187" s="506"/>
      <c r="F187" s="492"/>
      <c r="G187" s="198"/>
      <c r="H187" s="189"/>
      <c r="I187" s="64">
        <v>129</v>
      </c>
      <c r="J187" s="60" t="s">
        <v>445</v>
      </c>
      <c r="K187" s="257" t="s">
        <v>446</v>
      </c>
      <c r="L187" s="61" t="s">
        <v>442</v>
      </c>
      <c r="M187" s="240">
        <v>2</v>
      </c>
      <c r="N187" s="272" t="s">
        <v>54</v>
      </c>
      <c r="O187" s="65" t="s">
        <v>49</v>
      </c>
      <c r="P187" s="65">
        <v>6</v>
      </c>
      <c r="Q187" s="277">
        <v>6</v>
      </c>
      <c r="R187" s="275">
        <v>6</v>
      </c>
      <c r="S187" s="275">
        <v>6</v>
      </c>
      <c r="T187" s="275">
        <v>6</v>
      </c>
      <c r="U187" s="211">
        <f>AG187/$AG$184</f>
        <v>0.56999999999999995</v>
      </c>
      <c r="V187" s="64">
        <v>2</v>
      </c>
      <c r="W187" s="61" t="s">
        <v>137</v>
      </c>
      <c r="X187" s="176"/>
      <c r="Y187" s="176"/>
      <c r="Z187" s="176"/>
      <c r="AA187" s="176"/>
      <c r="AB187" s="176"/>
      <c r="AC187" s="176"/>
      <c r="AD187" s="176"/>
      <c r="AE187" s="96">
        <v>57000000</v>
      </c>
      <c r="AF187" s="96"/>
      <c r="AG187" s="69">
        <f>+X187+Y187+Z187+AA187+AB187+AC187+AD187+AE187+AF187</f>
        <v>57000000</v>
      </c>
      <c r="AH187" s="78"/>
      <c r="AI187" s="78"/>
      <c r="AJ187" s="78"/>
      <c r="AK187" s="78"/>
      <c r="AL187" s="78"/>
      <c r="AM187" s="78"/>
      <c r="AN187" s="78"/>
      <c r="AO187" s="511">
        <v>58709999.999999993</v>
      </c>
      <c r="AP187" s="78"/>
      <c r="AQ187" s="71">
        <f>AH187+AI187+AJ187+AK187+AL187+AM187+AN187+AO187+AP187</f>
        <v>58709999.999999993</v>
      </c>
      <c r="AR187" s="511"/>
      <c r="AS187" s="511"/>
      <c r="AT187" s="511"/>
      <c r="AU187" s="511"/>
      <c r="AV187" s="511"/>
      <c r="AW187" s="511"/>
      <c r="AX187" s="511"/>
      <c r="AY187" s="511">
        <v>60559999.999999993</v>
      </c>
      <c r="AZ187" s="511"/>
      <c r="BA187" s="511">
        <f>SUM(AR187:AZ187)</f>
        <v>60559999.999999993</v>
      </c>
      <c r="BB187" s="78"/>
      <c r="BC187" s="78"/>
      <c r="BD187" s="78"/>
      <c r="BE187" s="78"/>
      <c r="BF187" s="78"/>
      <c r="BG187" s="78"/>
      <c r="BH187" s="78"/>
      <c r="BI187" s="78">
        <v>62372700</v>
      </c>
      <c r="BJ187" s="78"/>
      <c r="BK187" s="78">
        <f>SUM(BB187:BJ187)</f>
        <v>62372700</v>
      </c>
      <c r="BL187" s="603">
        <f>AG187+AQ187+BA187+BK187</f>
        <v>238642700</v>
      </c>
    </row>
    <row r="188" spans="1:64" ht="24.75" customHeight="1" x14ac:dyDescent="0.2">
      <c r="A188" s="74"/>
      <c r="B188" s="56"/>
      <c r="C188" s="124"/>
      <c r="D188" s="30">
        <v>12</v>
      </c>
      <c r="E188" s="122" t="s">
        <v>447</v>
      </c>
      <c r="F188" s="32"/>
      <c r="G188" s="33"/>
      <c r="H188" s="33"/>
      <c r="I188" s="34"/>
      <c r="J188" s="35"/>
      <c r="K188" s="35"/>
      <c r="L188" s="36"/>
      <c r="M188" s="34"/>
      <c r="N188" s="37"/>
      <c r="O188" s="35"/>
      <c r="P188" s="35"/>
      <c r="Q188" s="38"/>
      <c r="R188" s="35"/>
      <c r="S188" s="38"/>
      <c r="T188" s="38"/>
      <c r="U188" s="38"/>
      <c r="V188" s="38"/>
      <c r="W188" s="38"/>
      <c r="X188" s="461">
        <f t="shared" ref="X188:AE188" si="276">X189+X192+X197+X201+X205+X211+X214+X217+X221+X226+X229</f>
        <v>0</v>
      </c>
      <c r="Y188" s="461">
        <f t="shared" si="276"/>
        <v>1159435758</v>
      </c>
      <c r="Z188" s="461">
        <f t="shared" si="276"/>
        <v>190000000</v>
      </c>
      <c r="AA188" s="461">
        <f t="shared" si="276"/>
        <v>7383</v>
      </c>
      <c r="AB188" s="461">
        <f t="shared" si="276"/>
        <v>0</v>
      </c>
      <c r="AC188" s="461">
        <f t="shared" si="276"/>
        <v>0</v>
      </c>
      <c r="AD188" s="461">
        <f t="shared" si="276"/>
        <v>0</v>
      </c>
      <c r="AE188" s="461">
        <f t="shared" si="276"/>
        <v>3383279853</v>
      </c>
      <c r="AF188" s="461">
        <f t="shared" ref="AF188:AM188" si="277">AF189+AF192+AF197+AF201+AF205+AF211+AF214+AF217+AF221+AF226+AF229</f>
        <v>0</v>
      </c>
      <c r="AG188" s="461">
        <f t="shared" si="277"/>
        <v>4732722994</v>
      </c>
      <c r="AH188" s="461">
        <f t="shared" si="277"/>
        <v>0</v>
      </c>
      <c r="AI188" s="461">
        <f t="shared" si="277"/>
        <v>717874879</v>
      </c>
      <c r="AJ188" s="461">
        <f t="shared" si="277"/>
        <v>130000000</v>
      </c>
      <c r="AK188" s="461">
        <f t="shared" si="277"/>
        <v>0</v>
      </c>
      <c r="AL188" s="461">
        <f t="shared" si="277"/>
        <v>0</v>
      </c>
      <c r="AM188" s="461">
        <f t="shared" si="277"/>
        <v>0</v>
      </c>
      <c r="AN188" s="461">
        <f t="shared" ref="AN188:AQ188" si="278">AN189+AN192+AN197+AN201+AN205+AN211+AN214+AN217+AN221+AN226+AN229</f>
        <v>0</v>
      </c>
      <c r="AO188" s="461">
        <f t="shared" si="278"/>
        <v>3362150103.7801847</v>
      </c>
      <c r="AP188" s="461">
        <f t="shared" si="278"/>
        <v>0</v>
      </c>
      <c r="AQ188" s="461">
        <f t="shared" si="278"/>
        <v>4210024982.4200001</v>
      </c>
      <c r="AR188" s="38"/>
      <c r="AS188" s="38"/>
      <c r="AT188" s="38"/>
      <c r="AU188" s="38"/>
      <c r="AV188" s="38"/>
      <c r="AW188" s="38"/>
      <c r="AX188" s="38"/>
      <c r="AY188" s="38"/>
      <c r="AZ188" s="38"/>
      <c r="BA188" s="461">
        <f>BA189+BA192+BA197+BA201+BA205+BA211+BA214+BA217+BA221+BA226+BA229</f>
        <v>4232425732.0269175</v>
      </c>
      <c r="BB188" s="38"/>
      <c r="BC188" s="38"/>
      <c r="BD188" s="38"/>
      <c r="BE188" s="38"/>
      <c r="BF188" s="38"/>
      <c r="BG188" s="38"/>
      <c r="BH188" s="38"/>
      <c r="BI188" s="38"/>
      <c r="BJ188" s="38"/>
      <c r="BK188" s="461">
        <f>BK189+BK192+BK197+BK201+BK205+BK211+BK214+BK217+BK221+BK226+BK229</f>
        <v>4348498504.0244284</v>
      </c>
      <c r="BL188" s="614">
        <f>BL189+BL192+BL197+BL201+BL205+BL211+BL214+BL217+BL221+BL226+BL229</f>
        <v>17523672212.471348</v>
      </c>
    </row>
    <row r="189" spans="1:64" ht="24.75" customHeight="1" x14ac:dyDescent="0.2">
      <c r="A189" s="74"/>
      <c r="B189" s="56"/>
      <c r="C189" s="124"/>
      <c r="D189" s="417"/>
      <c r="E189" s="44">
        <v>36</v>
      </c>
      <c r="F189" s="175" t="s">
        <v>448</v>
      </c>
      <c r="G189" s="83"/>
      <c r="H189" s="84"/>
      <c r="I189" s="47"/>
      <c r="J189" s="84"/>
      <c r="K189" s="84"/>
      <c r="L189" s="47"/>
      <c r="M189" s="47"/>
      <c r="N189" s="85"/>
      <c r="O189" s="84"/>
      <c r="P189" s="84"/>
      <c r="Q189" s="86"/>
      <c r="R189" s="84"/>
      <c r="S189" s="84"/>
      <c r="T189" s="47"/>
      <c r="U189" s="87"/>
      <c r="V189" s="47"/>
      <c r="W189" s="47"/>
      <c r="X189" s="88">
        <f t="shared" ref="X189:AF189" si="279">SUM(X190:X191)</f>
        <v>0</v>
      </c>
      <c r="Y189" s="88">
        <f t="shared" si="279"/>
        <v>0</v>
      </c>
      <c r="Z189" s="88">
        <f t="shared" si="279"/>
        <v>0</v>
      </c>
      <c r="AA189" s="88">
        <f t="shared" si="279"/>
        <v>0</v>
      </c>
      <c r="AB189" s="88">
        <f t="shared" si="279"/>
        <v>0</v>
      </c>
      <c r="AC189" s="88">
        <f t="shared" si="279"/>
        <v>0</v>
      </c>
      <c r="AD189" s="88">
        <f t="shared" si="279"/>
        <v>0</v>
      </c>
      <c r="AE189" s="88">
        <f t="shared" si="279"/>
        <v>150000000</v>
      </c>
      <c r="AF189" s="88">
        <f t="shared" si="279"/>
        <v>0</v>
      </c>
      <c r="AG189" s="88">
        <f>SUM(AG190:AG191)</f>
        <v>150000000</v>
      </c>
      <c r="AH189" s="88">
        <f t="shared" ref="AH189:AQ189" si="280">SUM(AH190:AH191)</f>
        <v>0</v>
      </c>
      <c r="AI189" s="88">
        <f t="shared" si="280"/>
        <v>0</v>
      </c>
      <c r="AJ189" s="88">
        <f t="shared" si="280"/>
        <v>0</v>
      </c>
      <c r="AK189" s="88">
        <f t="shared" si="280"/>
        <v>0</v>
      </c>
      <c r="AL189" s="88">
        <f t="shared" si="280"/>
        <v>0</v>
      </c>
      <c r="AM189" s="88">
        <f t="shared" si="280"/>
        <v>0</v>
      </c>
      <c r="AN189" s="88">
        <f t="shared" si="280"/>
        <v>0</v>
      </c>
      <c r="AO189" s="88">
        <f t="shared" si="280"/>
        <v>154500000</v>
      </c>
      <c r="AP189" s="88">
        <f t="shared" si="280"/>
        <v>0</v>
      </c>
      <c r="AQ189" s="88">
        <f t="shared" si="280"/>
        <v>154500000</v>
      </c>
      <c r="AR189" s="90"/>
      <c r="AS189" s="90"/>
      <c r="AT189" s="90"/>
      <c r="AU189" s="90"/>
      <c r="AV189" s="90"/>
      <c r="AW189" s="90"/>
      <c r="AX189" s="90"/>
      <c r="AY189" s="90"/>
      <c r="AZ189" s="90"/>
      <c r="BA189" s="88">
        <f t="shared" ref="BA189" si="281">SUM(BA190:BA191)</f>
        <v>159135000</v>
      </c>
      <c r="BB189" s="90"/>
      <c r="BC189" s="90"/>
      <c r="BD189" s="90"/>
      <c r="BE189" s="90"/>
      <c r="BF189" s="90"/>
      <c r="BG189" s="90"/>
      <c r="BH189" s="90"/>
      <c r="BI189" s="90"/>
      <c r="BJ189" s="90"/>
      <c r="BK189" s="88">
        <f t="shared" ref="BK189" si="282">SUM(BK190:BK191)</f>
        <v>163909050</v>
      </c>
      <c r="BL189" s="88">
        <f t="shared" ref="BL189" si="283">SUM(BL190:BL191)</f>
        <v>627544050</v>
      </c>
    </row>
    <row r="190" spans="1:64" ht="147.75" customHeight="1" x14ac:dyDescent="0.2">
      <c r="A190" s="56">
        <v>131</v>
      </c>
      <c r="B190" s="56">
        <v>3</v>
      </c>
      <c r="C190" s="124"/>
      <c r="D190" s="124"/>
      <c r="E190" s="510">
        <v>3</v>
      </c>
      <c r="F190" s="516" t="s">
        <v>449</v>
      </c>
      <c r="G190" s="408" t="s">
        <v>450</v>
      </c>
      <c r="H190" s="408" t="s">
        <v>89</v>
      </c>
      <c r="I190" s="512">
        <v>130</v>
      </c>
      <c r="J190" s="514" t="s">
        <v>451</v>
      </c>
      <c r="K190" s="516" t="s">
        <v>452</v>
      </c>
      <c r="L190" s="512" t="s">
        <v>442</v>
      </c>
      <c r="M190" s="518">
        <v>2</v>
      </c>
      <c r="N190" s="528" t="s">
        <v>54</v>
      </c>
      <c r="O190" s="491">
        <v>0</v>
      </c>
      <c r="P190" s="491">
        <v>1</v>
      </c>
      <c r="Q190" s="508">
        <v>1</v>
      </c>
      <c r="R190" s="528">
        <v>1</v>
      </c>
      <c r="S190" s="528">
        <v>1</v>
      </c>
      <c r="T190" s="528">
        <v>1</v>
      </c>
      <c r="U190" s="507">
        <f>AG190/$AG$189</f>
        <v>0.2</v>
      </c>
      <c r="V190" s="512">
        <v>3</v>
      </c>
      <c r="W190" s="512" t="s">
        <v>453</v>
      </c>
      <c r="X190" s="503"/>
      <c r="Y190" s="503"/>
      <c r="Z190" s="503"/>
      <c r="AA190" s="503"/>
      <c r="AB190" s="503"/>
      <c r="AC190" s="503"/>
      <c r="AD190" s="503"/>
      <c r="AE190" s="503">
        <v>30000000</v>
      </c>
      <c r="AF190" s="503"/>
      <c r="AG190" s="69">
        <f>+X190+Y190+Z190+AA190+AB190+AC190+AD190+AE190+AF190</f>
        <v>30000000</v>
      </c>
      <c r="AH190" s="495"/>
      <c r="AI190" s="495"/>
      <c r="AJ190" s="495"/>
      <c r="AK190" s="495"/>
      <c r="AL190" s="495"/>
      <c r="AM190" s="495"/>
      <c r="AN190" s="495"/>
      <c r="AO190" s="495">
        <v>30900000</v>
      </c>
      <c r="AP190" s="495"/>
      <c r="AQ190" s="71">
        <f>AH190+AI190+AJ190+AK190+AL190+AM190+AN190+AO190+AP190</f>
        <v>30900000</v>
      </c>
      <c r="AR190" s="495"/>
      <c r="AS190" s="495"/>
      <c r="AT190" s="495"/>
      <c r="AU190" s="495"/>
      <c r="AV190" s="495"/>
      <c r="AW190" s="495"/>
      <c r="AX190" s="495"/>
      <c r="AY190" s="495">
        <v>31827000</v>
      </c>
      <c r="AZ190" s="495"/>
      <c r="BA190" s="495">
        <f>SUM(AR190:AZ190)</f>
        <v>31827000</v>
      </c>
      <c r="BB190" s="495"/>
      <c r="BC190" s="495"/>
      <c r="BD190" s="495"/>
      <c r="BE190" s="495"/>
      <c r="BF190" s="495"/>
      <c r="BG190" s="495"/>
      <c r="BH190" s="495"/>
      <c r="BI190" s="495">
        <v>32781810</v>
      </c>
      <c r="BJ190" s="495"/>
      <c r="BK190" s="495">
        <f>SUM(BB190:BJ190)</f>
        <v>32781810</v>
      </c>
      <c r="BL190" s="603">
        <f>AG190+AQ190+BA190+BK190</f>
        <v>125508810</v>
      </c>
    </row>
    <row r="191" spans="1:64" ht="408.75" customHeight="1" x14ac:dyDescent="0.2">
      <c r="A191" s="74">
        <v>132</v>
      </c>
      <c r="B191" s="56">
        <v>3</v>
      </c>
      <c r="C191" s="124"/>
      <c r="D191" s="124"/>
      <c r="E191" s="506"/>
      <c r="F191" s="517"/>
      <c r="G191" s="80"/>
      <c r="H191" s="80"/>
      <c r="I191" s="64">
        <v>131</v>
      </c>
      <c r="J191" s="60" t="s">
        <v>454</v>
      </c>
      <c r="K191" s="57" t="s">
        <v>455</v>
      </c>
      <c r="L191" s="512" t="s">
        <v>442</v>
      </c>
      <c r="M191" s="512">
        <v>2</v>
      </c>
      <c r="N191" s="528" t="s">
        <v>69</v>
      </c>
      <c r="O191" s="65">
        <v>0</v>
      </c>
      <c r="P191" s="65">
        <v>12</v>
      </c>
      <c r="Q191" s="277">
        <v>3</v>
      </c>
      <c r="R191" s="275">
        <v>3</v>
      </c>
      <c r="S191" s="275">
        <v>3</v>
      </c>
      <c r="T191" s="275">
        <v>3</v>
      </c>
      <c r="U191" s="507">
        <f>AG191/AG189</f>
        <v>0.8</v>
      </c>
      <c r="V191" s="64">
        <v>3</v>
      </c>
      <c r="W191" s="421" t="s">
        <v>453</v>
      </c>
      <c r="X191" s="443"/>
      <c r="Y191" s="443"/>
      <c r="Z191" s="443"/>
      <c r="AA191" s="443"/>
      <c r="AB191" s="443"/>
      <c r="AC191" s="443"/>
      <c r="AD191" s="443"/>
      <c r="AE191" s="96">
        <v>120000000</v>
      </c>
      <c r="AF191" s="443"/>
      <c r="AG191" s="69">
        <f>+X191+Y191+Z191+AA191+AB191+AC191+AD191+AE191+AF191</f>
        <v>120000000</v>
      </c>
      <c r="AH191" s="78"/>
      <c r="AI191" s="78"/>
      <c r="AJ191" s="78"/>
      <c r="AK191" s="78"/>
      <c r="AL191" s="78"/>
      <c r="AM191" s="78"/>
      <c r="AN191" s="78"/>
      <c r="AO191" s="511">
        <v>123600000</v>
      </c>
      <c r="AP191" s="78"/>
      <c r="AQ191" s="71">
        <f>AH191+AI191+AJ191+AK191+AL191+AM191+AN191+AO191+AP191</f>
        <v>123600000</v>
      </c>
      <c r="AR191" s="511"/>
      <c r="AS191" s="511"/>
      <c r="AT191" s="511"/>
      <c r="AU191" s="511"/>
      <c r="AV191" s="511"/>
      <c r="AW191" s="511"/>
      <c r="AX191" s="511"/>
      <c r="AY191" s="511">
        <v>127308000</v>
      </c>
      <c r="AZ191" s="511"/>
      <c r="BA191" s="511">
        <f>SUM(AR191:AZ191)</f>
        <v>127308000</v>
      </c>
      <c r="BB191" s="78"/>
      <c r="BC191" s="78"/>
      <c r="BD191" s="78"/>
      <c r="BE191" s="78"/>
      <c r="BF191" s="78"/>
      <c r="BG191" s="78"/>
      <c r="BH191" s="78"/>
      <c r="BI191" s="78">
        <v>131127240</v>
      </c>
      <c r="BJ191" s="78"/>
      <c r="BK191" s="78">
        <f>SUM(BB191:BJ191)</f>
        <v>131127240</v>
      </c>
      <c r="BL191" s="603">
        <f>AG191+AQ191+BA191+BK191</f>
        <v>502035240</v>
      </c>
    </row>
    <row r="192" spans="1:64" ht="24.75" customHeight="1" x14ac:dyDescent="0.2">
      <c r="A192" s="74"/>
      <c r="B192" s="56"/>
      <c r="C192" s="124"/>
      <c r="D192" s="124"/>
      <c r="E192" s="44">
        <v>37</v>
      </c>
      <c r="F192" s="45" t="s">
        <v>456</v>
      </c>
      <c r="G192" s="84"/>
      <c r="H192" s="84"/>
      <c r="I192" s="44"/>
      <c r="J192" s="175"/>
      <c r="K192" s="84"/>
      <c r="L192" s="47"/>
      <c r="M192" s="47"/>
      <c r="N192" s="85"/>
      <c r="O192" s="84"/>
      <c r="P192" s="84"/>
      <c r="Q192" s="86"/>
      <c r="R192" s="84"/>
      <c r="S192" s="84"/>
      <c r="T192" s="47"/>
      <c r="U192" s="87"/>
      <c r="V192" s="47"/>
      <c r="W192" s="47"/>
      <c r="X192" s="88">
        <f t="shared" ref="X192:AF192" si="284">SUM(X193:X196)</f>
        <v>0</v>
      </c>
      <c r="Y192" s="88">
        <f t="shared" si="284"/>
        <v>0</v>
      </c>
      <c r="Z192" s="88">
        <f t="shared" si="284"/>
        <v>0</v>
      </c>
      <c r="AA192" s="88">
        <f t="shared" si="284"/>
        <v>0</v>
      </c>
      <c r="AB192" s="88">
        <f t="shared" si="284"/>
        <v>0</v>
      </c>
      <c r="AC192" s="88">
        <f t="shared" si="284"/>
        <v>0</v>
      </c>
      <c r="AD192" s="88">
        <f t="shared" si="284"/>
        <v>0</v>
      </c>
      <c r="AE192" s="88">
        <f t="shared" si="284"/>
        <v>120000000</v>
      </c>
      <c r="AF192" s="88">
        <f t="shared" si="284"/>
        <v>0</v>
      </c>
      <c r="AG192" s="89">
        <f>SUM(AG193:AG196)</f>
        <v>120000000</v>
      </c>
      <c r="AH192" s="88">
        <f t="shared" ref="AH192:AQ192" si="285">SUM(AH193:AH196)</f>
        <v>0</v>
      </c>
      <c r="AI192" s="88">
        <f t="shared" si="285"/>
        <v>0</v>
      </c>
      <c r="AJ192" s="88">
        <f t="shared" si="285"/>
        <v>0</v>
      </c>
      <c r="AK192" s="88">
        <f t="shared" si="285"/>
        <v>0</v>
      </c>
      <c r="AL192" s="88">
        <f t="shared" si="285"/>
        <v>0</v>
      </c>
      <c r="AM192" s="88">
        <f t="shared" si="285"/>
        <v>0</v>
      </c>
      <c r="AN192" s="88">
        <f t="shared" si="285"/>
        <v>0</v>
      </c>
      <c r="AO192" s="88">
        <f t="shared" si="285"/>
        <v>123600000</v>
      </c>
      <c r="AP192" s="88">
        <f t="shared" si="285"/>
        <v>0</v>
      </c>
      <c r="AQ192" s="88">
        <f t="shared" si="285"/>
        <v>123600000</v>
      </c>
      <c r="AR192" s="90"/>
      <c r="AS192" s="90"/>
      <c r="AT192" s="90"/>
      <c r="AU192" s="90"/>
      <c r="AV192" s="90"/>
      <c r="AW192" s="90"/>
      <c r="AX192" s="90"/>
      <c r="AY192" s="90"/>
      <c r="AZ192" s="90"/>
      <c r="BA192" s="88">
        <f t="shared" ref="BA192" si="286">SUM(BA193:BA196)</f>
        <v>127308000</v>
      </c>
      <c r="BB192" s="90"/>
      <c r="BC192" s="90"/>
      <c r="BD192" s="90"/>
      <c r="BE192" s="90"/>
      <c r="BF192" s="90"/>
      <c r="BG192" s="90"/>
      <c r="BH192" s="90"/>
      <c r="BI192" s="90"/>
      <c r="BJ192" s="90"/>
      <c r="BK192" s="88">
        <f t="shared" ref="BK192:BL192" si="287">SUM(BK193:BK196)</f>
        <v>131127240</v>
      </c>
      <c r="BL192" s="88">
        <f t="shared" si="287"/>
        <v>502035240</v>
      </c>
    </row>
    <row r="193" spans="1:64" ht="147.75" customHeight="1" x14ac:dyDescent="0.2">
      <c r="A193" s="56">
        <v>133</v>
      </c>
      <c r="B193" s="56">
        <v>3</v>
      </c>
      <c r="C193" s="124"/>
      <c r="D193" s="124"/>
      <c r="E193" s="510">
        <v>31</v>
      </c>
      <c r="F193" s="263" t="s">
        <v>457</v>
      </c>
      <c r="G193" s="58" t="s">
        <v>458</v>
      </c>
      <c r="H193" s="278">
        <v>0.2</v>
      </c>
      <c r="I193" s="64">
        <v>132</v>
      </c>
      <c r="J193" s="60" t="s">
        <v>459</v>
      </c>
      <c r="K193" s="57" t="s">
        <v>460</v>
      </c>
      <c r="L193" s="512" t="s">
        <v>442</v>
      </c>
      <c r="M193" s="512">
        <v>2</v>
      </c>
      <c r="N193" s="279" t="s">
        <v>54</v>
      </c>
      <c r="O193" s="64" t="s">
        <v>49</v>
      </c>
      <c r="P193" s="64">
        <v>8</v>
      </c>
      <c r="Q193" s="277">
        <v>8</v>
      </c>
      <c r="R193" s="277">
        <v>8</v>
      </c>
      <c r="S193" s="277">
        <v>8</v>
      </c>
      <c r="T193" s="277">
        <v>8</v>
      </c>
      <c r="U193" s="211">
        <f>AG193/$AG$192</f>
        <v>0.20833333333333334</v>
      </c>
      <c r="V193" s="65">
        <v>3</v>
      </c>
      <c r="W193" s="62" t="s">
        <v>453</v>
      </c>
      <c r="X193" s="176"/>
      <c r="Y193" s="176"/>
      <c r="Z193" s="176"/>
      <c r="AA193" s="176"/>
      <c r="AB193" s="176"/>
      <c r="AC193" s="176"/>
      <c r="AD193" s="176"/>
      <c r="AE193" s="96">
        <v>25000000</v>
      </c>
      <c r="AF193" s="96"/>
      <c r="AG193" s="69">
        <f>+X193+Y193+Z193+AA193+AB193+AC193+AD193+AE193+AF193</f>
        <v>25000000</v>
      </c>
      <c r="AH193" s="78"/>
      <c r="AI193" s="78"/>
      <c r="AJ193" s="78"/>
      <c r="AK193" s="78"/>
      <c r="AL193" s="78"/>
      <c r="AM193" s="78"/>
      <c r="AN193" s="78"/>
      <c r="AO193" s="511">
        <v>25750000</v>
      </c>
      <c r="AP193" s="78"/>
      <c r="AQ193" s="71">
        <f>AH193+AI193+AJ193+AK193+AL193+AM193+AN193+AO193+AP193</f>
        <v>25750000</v>
      </c>
      <c r="AR193" s="511"/>
      <c r="AS193" s="511"/>
      <c r="AT193" s="511"/>
      <c r="AU193" s="511"/>
      <c r="AV193" s="511"/>
      <c r="AW193" s="511"/>
      <c r="AX193" s="511"/>
      <c r="AY193" s="511">
        <v>26500000</v>
      </c>
      <c r="AZ193" s="511"/>
      <c r="BA193" s="511">
        <f>SUM(AR193:AZ193)</f>
        <v>26500000</v>
      </c>
      <c r="BB193" s="78"/>
      <c r="BC193" s="78"/>
      <c r="BD193" s="78"/>
      <c r="BE193" s="78"/>
      <c r="BF193" s="78"/>
      <c r="BG193" s="78"/>
      <c r="BH193" s="78"/>
      <c r="BI193" s="78">
        <v>27300000</v>
      </c>
      <c r="BJ193" s="78"/>
      <c r="BK193" s="78">
        <f>SUM(BB193:BJ193)</f>
        <v>27300000</v>
      </c>
      <c r="BL193" s="603">
        <f>AG193+AQ193+BA193+BK193</f>
        <v>104550000</v>
      </c>
    </row>
    <row r="194" spans="1:64" ht="147.75" customHeight="1" x14ac:dyDescent="0.2">
      <c r="A194" s="74">
        <v>134</v>
      </c>
      <c r="B194" s="56">
        <v>3</v>
      </c>
      <c r="C194" s="124"/>
      <c r="D194" s="124"/>
      <c r="E194" s="79">
        <v>33</v>
      </c>
      <c r="F194" s="57" t="s">
        <v>461</v>
      </c>
      <c r="G194" s="65">
        <v>0</v>
      </c>
      <c r="H194" s="65">
        <v>0</v>
      </c>
      <c r="I194" s="64">
        <v>133</v>
      </c>
      <c r="J194" s="60" t="s">
        <v>462</v>
      </c>
      <c r="K194" s="57" t="s">
        <v>463</v>
      </c>
      <c r="L194" s="512" t="s">
        <v>442</v>
      </c>
      <c r="M194" s="512">
        <v>2</v>
      </c>
      <c r="N194" s="279" t="s">
        <v>54</v>
      </c>
      <c r="O194" s="64">
        <v>0</v>
      </c>
      <c r="P194" s="64">
        <v>12</v>
      </c>
      <c r="Q194" s="277">
        <v>12</v>
      </c>
      <c r="R194" s="277">
        <v>12</v>
      </c>
      <c r="S194" s="277">
        <v>12</v>
      </c>
      <c r="T194" s="277">
        <v>12</v>
      </c>
      <c r="U194" s="211">
        <f>AG194/$AG$192</f>
        <v>0.20833333333333334</v>
      </c>
      <c r="V194" s="65">
        <v>3</v>
      </c>
      <c r="W194" s="62" t="s">
        <v>453</v>
      </c>
      <c r="X194" s="176"/>
      <c r="Y194" s="176"/>
      <c r="Z194" s="176"/>
      <c r="AA194" s="176"/>
      <c r="AB194" s="176"/>
      <c r="AC194" s="176"/>
      <c r="AD194" s="176"/>
      <c r="AE194" s="96">
        <v>25000000</v>
      </c>
      <c r="AF194" s="96"/>
      <c r="AG194" s="69">
        <f>+X194+Y194+Z194+AA194+AB194+AC194+AD194+AE194+AF194</f>
        <v>25000000</v>
      </c>
      <c r="AH194" s="78"/>
      <c r="AI194" s="78"/>
      <c r="AJ194" s="78"/>
      <c r="AK194" s="78"/>
      <c r="AL194" s="78"/>
      <c r="AM194" s="78"/>
      <c r="AN194" s="78"/>
      <c r="AO194" s="511">
        <v>25750000</v>
      </c>
      <c r="AP194" s="78"/>
      <c r="AQ194" s="71">
        <f>AH194+AI194+AJ194+AK194+AL194+AM194+AN194+AO194+AP194</f>
        <v>25750000</v>
      </c>
      <c r="AR194" s="511"/>
      <c r="AS194" s="511"/>
      <c r="AT194" s="511"/>
      <c r="AU194" s="511"/>
      <c r="AV194" s="511"/>
      <c r="AW194" s="511"/>
      <c r="AX194" s="511"/>
      <c r="AY194" s="511">
        <v>26500000</v>
      </c>
      <c r="AZ194" s="511"/>
      <c r="BA194" s="511">
        <f>SUM(AR194:AZ194)</f>
        <v>26500000</v>
      </c>
      <c r="BB194" s="78"/>
      <c r="BC194" s="78"/>
      <c r="BD194" s="78"/>
      <c r="BE194" s="78"/>
      <c r="BF194" s="78"/>
      <c r="BG194" s="78"/>
      <c r="BH194" s="78"/>
      <c r="BI194" s="78">
        <v>27300000</v>
      </c>
      <c r="BJ194" s="78"/>
      <c r="BK194" s="78">
        <f>SUM(BB194:BJ194)</f>
        <v>27300000</v>
      </c>
      <c r="BL194" s="603">
        <f>AG194+AQ194+BA194+BK194</f>
        <v>104550000</v>
      </c>
    </row>
    <row r="195" spans="1:64" ht="293.25" customHeight="1" x14ac:dyDescent="0.2">
      <c r="A195" s="74"/>
      <c r="B195" s="56"/>
      <c r="C195" s="124"/>
      <c r="D195" s="124"/>
      <c r="E195" s="79"/>
      <c r="F195" s="65"/>
      <c r="G195" s="65"/>
      <c r="H195" s="65"/>
      <c r="I195" s="64">
        <v>134</v>
      </c>
      <c r="J195" s="60" t="s">
        <v>464</v>
      </c>
      <c r="K195" s="57" t="s">
        <v>465</v>
      </c>
      <c r="L195" s="512" t="s">
        <v>442</v>
      </c>
      <c r="M195" s="512">
        <v>2</v>
      </c>
      <c r="N195" s="279" t="s">
        <v>54</v>
      </c>
      <c r="O195" s="105">
        <v>3600</v>
      </c>
      <c r="P195" s="105">
        <v>4800</v>
      </c>
      <c r="Q195" s="277">
        <v>4800</v>
      </c>
      <c r="R195" s="277">
        <v>4800</v>
      </c>
      <c r="S195" s="277">
        <v>4800</v>
      </c>
      <c r="T195" s="277">
        <v>4800</v>
      </c>
      <c r="U195" s="211">
        <f>AG195/$AG$192</f>
        <v>0.375</v>
      </c>
      <c r="V195" s="65">
        <v>3</v>
      </c>
      <c r="W195" s="62" t="s">
        <v>453</v>
      </c>
      <c r="X195" s="176"/>
      <c r="Y195" s="176"/>
      <c r="Z195" s="176"/>
      <c r="AA195" s="176"/>
      <c r="AB195" s="176"/>
      <c r="AC195" s="176"/>
      <c r="AD195" s="176"/>
      <c r="AE195" s="96">
        <v>45000000</v>
      </c>
      <c r="AF195" s="96"/>
      <c r="AG195" s="69">
        <f>+X195+Y195+Z195+AA195+AB195+AC195+AD195+AE195+AF195</f>
        <v>45000000</v>
      </c>
      <c r="AH195" s="78"/>
      <c r="AI195" s="78"/>
      <c r="AJ195" s="78"/>
      <c r="AK195" s="78"/>
      <c r="AL195" s="78"/>
      <c r="AM195" s="78"/>
      <c r="AN195" s="78"/>
      <c r="AO195" s="511">
        <v>46350000</v>
      </c>
      <c r="AP195" s="78"/>
      <c r="AQ195" s="71">
        <f>AH195+AI195+AJ195+AK195+AL195+AM195+AN195+AO195+AP195</f>
        <v>46350000</v>
      </c>
      <c r="AR195" s="511"/>
      <c r="AS195" s="511"/>
      <c r="AT195" s="511"/>
      <c r="AU195" s="511"/>
      <c r="AV195" s="511"/>
      <c r="AW195" s="511"/>
      <c r="AX195" s="511"/>
      <c r="AY195" s="511">
        <v>47800000</v>
      </c>
      <c r="AZ195" s="511"/>
      <c r="BA195" s="511">
        <f>SUM(AR195:AZ195)</f>
        <v>47800000</v>
      </c>
      <c r="BB195" s="78"/>
      <c r="BC195" s="78"/>
      <c r="BD195" s="78"/>
      <c r="BE195" s="78"/>
      <c r="BF195" s="78"/>
      <c r="BG195" s="78"/>
      <c r="BH195" s="78"/>
      <c r="BI195" s="78">
        <v>49200000</v>
      </c>
      <c r="BJ195" s="78"/>
      <c r="BK195" s="78">
        <f>SUM(BB195:BJ195)</f>
        <v>49200000</v>
      </c>
      <c r="BL195" s="603">
        <f>AG195+AQ195+BA195+BK195</f>
        <v>188350000</v>
      </c>
    </row>
    <row r="196" spans="1:64" ht="267.75" customHeight="1" x14ac:dyDescent="0.2">
      <c r="A196" s="56">
        <v>135</v>
      </c>
      <c r="B196" s="56">
        <v>3</v>
      </c>
      <c r="C196" s="124"/>
      <c r="D196" s="124"/>
      <c r="E196" s="506">
        <v>31</v>
      </c>
      <c r="F196" s="152" t="s">
        <v>466</v>
      </c>
      <c r="G196" s="127">
        <v>0.249</v>
      </c>
      <c r="H196" s="280">
        <v>0.2</v>
      </c>
      <c r="I196" s="64">
        <v>135</v>
      </c>
      <c r="J196" s="60" t="s">
        <v>467</v>
      </c>
      <c r="K196" s="57" t="s">
        <v>468</v>
      </c>
      <c r="L196" s="512" t="s">
        <v>442</v>
      </c>
      <c r="M196" s="512">
        <v>2</v>
      </c>
      <c r="N196" s="279" t="s">
        <v>54</v>
      </c>
      <c r="O196" s="105">
        <v>12</v>
      </c>
      <c r="P196" s="105">
        <v>12</v>
      </c>
      <c r="Q196" s="277">
        <v>12</v>
      </c>
      <c r="R196" s="277">
        <v>12</v>
      </c>
      <c r="S196" s="277">
        <v>12</v>
      </c>
      <c r="T196" s="277">
        <v>12</v>
      </c>
      <c r="U196" s="211">
        <f>AG196/$AG$192</f>
        <v>0.20833333333333334</v>
      </c>
      <c r="V196" s="65">
        <v>3</v>
      </c>
      <c r="W196" s="62" t="s">
        <v>453</v>
      </c>
      <c r="X196" s="176"/>
      <c r="Y196" s="176"/>
      <c r="Z196" s="176"/>
      <c r="AA196" s="176"/>
      <c r="AB196" s="176"/>
      <c r="AC196" s="176"/>
      <c r="AD196" s="176"/>
      <c r="AE196" s="96">
        <v>25000000</v>
      </c>
      <c r="AF196" s="96"/>
      <c r="AG196" s="69">
        <f>+X196+Y196+Z196+AA196+AB196+AC196+AD196+AE196+AF196</f>
        <v>25000000</v>
      </c>
      <c r="AH196" s="78"/>
      <c r="AI196" s="78"/>
      <c r="AJ196" s="78"/>
      <c r="AK196" s="78"/>
      <c r="AL196" s="78"/>
      <c r="AM196" s="78"/>
      <c r="AN196" s="78"/>
      <c r="AO196" s="511">
        <v>25750000</v>
      </c>
      <c r="AP196" s="78"/>
      <c r="AQ196" s="71">
        <f>AH196+AI196+AJ196+AK196+AL196+AM196+AN196+AO196+AP196</f>
        <v>25750000</v>
      </c>
      <c r="AR196" s="511"/>
      <c r="AS196" s="511"/>
      <c r="AT196" s="511"/>
      <c r="AU196" s="511"/>
      <c r="AV196" s="511"/>
      <c r="AW196" s="511"/>
      <c r="AX196" s="511"/>
      <c r="AY196" s="511">
        <v>26508000</v>
      </c>
      <c r="AZ196" s="511"/>
      <c r="BA196" s="511">
        <f>SUM(AR196:AZ196)</f>
        <v>26508000</v>
      </c>
      <c r="BB196" s="78"/>
      <c r="BC196" s="78"/>
      <c r="BD196" s="78"/>
      <c r="BE196" s="78"/>
      <c r="BF196" s="78"/>
      <c r="BG196" s="78"/>
      <c r="BH196" s="78"/>
      <c r="BI196" s="78">
        <v>27327240</v>
      </c>
      <c r="BJ196" s="78"/>
      <c r="BK196" s="78">
        <f>SUM(BB196:BJ196)</f>
        <v>27327240</v>
      </c>
      <c r="BL196" s="603">
        <f>AG196+AQ196+BA196+BK196</f>
        <v>104585240</v>
      </c>
    </row>
    <row r="197" spans="1:64" ht="24.75" customHeight="1" x14ac:dyDescent="0.2">
      <c r="A197" s="56"/>
      <c r="B197" s="56"/>
      <c r="C197" s="124"/>
      <c r="D197" s="124"/>
      <c r="E197" s="44">
        <v>38</v>
      </c>
      <c r="F197" s="45" t="s">
        <v>469</v>
      </c>
      <c r="G197" s="84"/>
      <c r="H197" s="84"/>
      <c r="I197" s="47"/>
      <c r="J197" s="84"/>
      <c r="K197" s="84"/>
      <c r="L197" s="429"/>
      <c r="M197" s="429"/>
      <c r="N197" s="444"/>
      <c r="O197" s="84"/>
      <c r="P197" s="84"/>
      <c r="Q197" s="445"/>
      <c r="R197" s="446"/>
      <c r="S197" s="445"/>
      <c r="T197" s="445"/>
      <c r="U197" s="86"/>
      <c r="V197" s="86"/>
      <c r="W197" s="86"/>
      <c r="X197" s="462">
        <f>SUM(X198:X200)</f>
        <v>0</v>
      </c>
      <c r="Y197" s="462">
        <f t="shared" ref="Y197:AN197" si="288">SUM(Y198:Y200)</f>
        <v>0</v>
      </c>
      <c r="Z197" s="462">
        <f t="shared" si="288"/>
        <v>0</v>
      </c>
      <c r="AA197" s="462">
        <f t="shared" si="288"/>
        <v>0</v>
      </c>
      <c r="AB197" s="462">
        <f t="shared" si="288"/>
        <v>0</v>
      </c>
      <c r="AC197" s="462">
        <f t="shared" si="288"/>
        <v>0</v>
      </c>
      <c r="AD197" s="462">
        <f t="shared" si="288"/>
        <v>0</v>
      </c>
      <c r="AE197" s="462">
        <f t="shared" si="288"/>
        <v>90000000</v>
      </c>
      <c r="AF197" s="462">
        <f t="shared" si="288"/>
        <v>0</v>
      </c>
      <c r="AG197" s="462">
        <f t="shared" si="288"/>
        <v>90000000</v>
      </c>
      <c r="AH197" s="462">
        <f t="shared" si="288"/>
        <v>0</v>
      </c>
      <c r="AI197" s="462">
        <f t="shared" si="288"/>
        <v>0</v>
      </c>
      <c r="AJ197" s="462">
        <f t="shared" si="288"/>
        <v>0</v>
      </c>
      <c r="AK197" s="462">
        <f t="shared" si="288"/>
        <v>0</v>
      </c>
      <c r="AL197" s="462">
        <f t="shared" si="288"/>
        <v>0</v>
      </c>
      <c r="AM197" s="462">
        <f t="shared" si="288"/>
        <v>0</v>
      </c>
      <c r="AN197" s="462">
        <f t="shared" si="288"/>
        <v>0</v>
      </c>
      <c r="AO197" s="462">
        <f t="shared" ref="AO197:AQ197" si="289">SUM(AO198:AO200)</f>
        <v>92700000</v>
      </c>
      <c r="AP197" s="462">
        <f t="shared" si="289"/>
        <v>0</v>
      </c>
      <c r="AQ197" s="462">
        <f t="shared" si="289"/>
        <v>92700000</v>
      </c>
      <c r="AR197" s="445"/>
      <c r="AS197" s="445"/>
      <c r="AT197" s="445"/>
      <c r="AU197" s="445"/>
      <c r="AV197" s="445"/>
      <c r="AW197" s="445"/>
      <c r="AX197" s="445"/>
      <c r="AY197" s="445"/>
      <c r="AZ197" s="445"/>
      <c r="BA197" s="462">
        <f t="shared" ref="BA197" si="290">SUM(BA198:BA200)</f>
        <v>95481000</v>
      </c>
      <c r="BB197" s="445"/>
      <c r="BC197" s="445"/>
      <c r="BD197" s="445"/>
      <c r="BE197" s="445"/>
      <c r="BF197" s="445"/>
      <c r="BG197" s="445"/>
      <c r="BH197" s="445"/>
      <c r="BI197" s="445"/>
      <c r="BJ197" s="445"/>
      <c r="BK197" s="462">
        <f t="shared" ref="BK197:BL197" si="291">SUM(BK198:BK200)</f>
        <v>98345430</v>
      </c>
      <c r="BL197" s="602">
        <f t="shared" si="291"/>
        <v>376526430</v>
      </c>
    </row>
    <row r="198" spans="1:64" ht="249.75" customHeight="1" x14ac:dyDescent="0.2">
      <c r="A198" s="74">
        <v>136</v>
      </c>
      <c r="B198" s="56">
        <v>3</v>
      </c>
      <c r="C198" s="124"/>
      <c r="D198" s="124"/>
      <c r="E198" s="81">
        <v>22</v>
      </c>
      <c r="F198" s="57" t="s">
        <v>239</v>
      </c>
      <c r="G198" s="440" t="s">
        <v>240</v>
      </c>
      <c r="H198" s="201" t="s">
        <v>244</v>
      </c>
      <c r="I198" s="64">
        <v>136</v>
      </c>
      <c r="J198" s="60" t="s">
        <v>470</v>
      </c>
      <c r="K198" s="57" t="s">
        <v>471</v>
      </c>
      <c r="L198" s="512" t="s">
        <v>442</v>
      </c>
      <c r="M198" s="512">
        <v>2</v>
      </c>
      <c r="N198" s="275" t="s">
        <v>54</v>
      </c>
      <c r="O198" s="65" t="s">
        <v>49</v>
      </c>
      <c r="P198" s="281">
        <v>12</v>
      </c>
      <c r="Q198" s="277">
        <v>12</v>
      </c>
      <c r="R198" s="275">
        <v>12</v>
      </c>
      <c r="S198" s="275">
        <v>12</v>
      </c>
      <c r="T198" s="275">
        <v>12</v>
      </c>
      <c r="U198" s="282">
        <f>AG198/$AG$197</f>
        <v>0.27777777777777779</v>
      </c>
      <c r="V198" s="492">
        <v>3</v>
      </c>
      <c r="W198" s="157" t="s">
        <v>453</v>
      </c>
      <c r="X198" s="283"/>
      <c r="Y198" s="283"/>
      <c r="Z198" s="283"/>
      <c r="AA198" s="283"/>
      <c r="AB198" s="283"/>
      <c r="AC198" s="283"/>
      <c r="AD198" s="283"/>
      <c r="AE198" s="96">
        <v>25000000</v>
      </c>
      <c r="AF198" s="161"/>
      <c r="AG198" s="69">
        <f>+X198+Y198+Z198+AA198+AB198+AC198+AD198+AE198+AF198</f>
        <v>25000000</v>
      </c>
      <c r="AH198" s="78"/>
      <c r="AI198" s="78"/>
      <c r="AJ198" s="78"/>
      <c r="AK198" s="78"/>
      <c r="AL198" s="78"/>
      <c r="AM198" s="78"/>
      <c r="AN198" s="78"/>
      <c r="AO198" s="511">
        <v>25750000</v>
      </c>
      <c r="AP198" s="78"/>
      <c r="AQ198" s="71">
        <f>AH198+AI198+AJ198+AK198+AL198+AM198+AN198+AO198+AP198</f>
        <v>25750000</v>
      </c>
      <c r="AR198" s="511"/>
      <c r="AS198" s="511"/>
      <c r="AT198" s="511"/>
      <c r="AU198" s="511"/>
      <c r="AV198" s="511"/>
      <c r="AW198" s="511"/>
      <c r="AX198" s="511"/>
      <c r="AY198" s="511">
        <v>26522500</v>
      </c>
      <c r="AZ198" s="511"/>
      <c r="BA198" s="511">
        <f>SUM(AR198:AZ198)</f>
        <v>26522500</v>
      </c>
      <c r="BB198" s="78"/>
      <c r="BC198" s="78"/>
      <c r="BD198" s="78"/>
      <c r="BE198" s="78"/>
      <c r="BF198" s="78"/>
      <c r="BG198" s="78"/>
      <c r="BH198" s="78"/>
      <c r="BI198" s="78">
        <v>27300000</v>
      </c>
      <c r="BJ198" s="78"/>
      <c r="BK198" s="78">
        <f>SUM(BB198:BJ198)</f>
        <v>27300000</v>
      </c>
      <c r="BL198" s="603">
        <f>AG198+AQ198+BA198+BK198</f>
        <v>104572500</v>
      </c>
    </row>
    <row r="199" spans="1:64" ht="330.75" customHeight="1" x14ac:dyDescent="0.2">
      <c r="A199" s="56">
        <v>137</v>
      </c>
      <c r="B199" s="56">
        <v>3</v>
      </c>
      <c r="C199" s="124"/>
      <c r="D199" s="124"/>
      <c r="E199" s="81">
        <v>10</v>
      </c>
      <c r="F199" s="57" t="s">
        <v>234</v>
      </c>
      <c r="G199" s="58" t="s">
        <v>235</v>
      </c>
      <c r="H199" s="213" t="s">
        <v>236</v>
      </c>
      <c r="I199" s="64">
        <v>137</v>
      </c>
      <c r="J199" s="60" t="s">
        <v>472</v>
      </c>
      <c r="K199" s="57" t="s">
        <v>473</v>
      </c>
      <c r="L199" s="512" t="s">
        <v>442</v>
      </c>
      <c r="M199" s="512">
        <v>2</v>
      </c>
      <c r="N199" s="275" t="s">
        <v>54</v>
      </c>
      <c r="O199" s="65">
        <v>0</v>
      </c>
      <c r="P199" s="281">
        <v>12</v>
      </c>
      <c r="Q199" s="277">
        <v>12</v>
      </c>
      <c r="R199" s="275">
        <v>12</v>
      </c>
      <c r="S199" s="275">
        <v>12</v>
      </c>
      <c r="T199" s="275">
        <v>12</v>
      </c>
      <c r="U199" s="282">
        <f>AG199/$AG$197</f>
        <v>0.44444444444444442</v>
      </c>
      <c r="V199" s="65">
        <v>3</v>
      </c>
      <c r="W199" s="157" t="s">
        <v>453</v>
      </c>
      <c r="X199" s="283"/>
      <c r="Y199" s="283"/>
      <c r="Z199" s="283"/>
      <c r="AA199" s="283"/>
      <c r="AB199" s="283"/>
      <c r="AC199" s="283"/>
      <c r="AD199" s="283"/>
      <c r="AE199" s="96">
        <v>40000000</v>
      </c>
      <c r="AF199" s="161"/>
      <c r="AG199" s="69">
        <f>+X199+Y199+Z199+AA199+AB199+AC199+AD199+AE199+AF199</f>
        <v>40000000</v>
      </c>
      <c r="AH199" s="78"/>
      <c r="AI199" s="78"/>
      <c r="AJ199" s="78"/>
      <c r="AK199" s="78"/>
      <c r="AL199" s="78"/>
      <c r="AM199" s="78"/>
      <c r="AN199" s="78"/>
      <c r="AO199" s="511">
        <v>41200000</v>
      </c>
      <c r="AP199" s="78"/>
      <c r="AQ199" s="71">
        <f>AH199+AI199+AJ199+AK199+AL199+AM199+AN199+AO199+AP199</f>
        <v>41200000</v>
      </c>
      <c r="AR199" s="511"/>
      <c r="AS199" s="511"/>
      <c r="AT199" s="511"/>
      <c r="AU199" s="511"/>
      <c r="AV199" s="511"/>
      <c r="AW199" s="511"/>
      <c r="AX199" s="511"/>
      <c r="AY199" s="511">
        <v>42436000</v>
      </c>
      <c r="AZ199" s="511"/>
      <c r="BA199" s="511">
        <f>SUM(AR199:AZ199)</f>
        <v>42436000</v>
      </c>
      <c r="BB199" s="78"/>
      <c r="BC199" s="78"/>
      <c r="BD199" s="78"/>
      <c r="BE199" s="78"/>
      <c r="BF199" s="78"/>
      <c r="BG199" s="78"/>
      <c r="BH199" s="78"/>
      <c r="BI199" s="78">
        <v>43700000</v>
      </c>
      <c r="BJ199" s="78"/>
      <c r="BK199" s="78">
        <f>SUM(BB199:BJ199)</f>
        <v>43700000</v>
      </c>
      <c r="BL199" s="603">
        <f>AG199+AQ199+BA199+BK199</f>
        <v>167336000</v>
      </c>
    </row>
    <row r="200" spans="1:64" ht="270.75" customHeight="1" x14ac:dyDescent="0.2">
      <c r="A200" s="74">
        <v>138</v>
      </c>
      <c r="B200" s="56">
        <v>3</v>
      </c>
      <c r="C200" s="124"/>
      <c r="D200" s="124"/>
      <c r="E200" s="506">
        <v>11</v>
      </c>
      <c r="F200" s="57" t="s">
        <v>474</v>
      </c>
      <c r="G200" s="80" t="s">
        <v>475</v>
      </c>
      <c r="H200" s="284" t="s">
        <v>476</v>
      </c>
      <c r="I200" s="64">
        <v>138</v>
      </c>
      <c r="J200" s="60" t="s">
        <v>477</v>
      </c>
      <c r="K200" s="57" t="s">
        <v>478</v>
      </c>
      <c r="L200" s="512" t="s">
        <v>442</v>
      </c>
      <c r="M200" s="512">
        <v>2</v>
      </c>
      <c r="N200" s="275" t="s">
        <v>54</v>
      </c>
      <c r="O200" s="65" t="s">
        <v>49</v>
      </c>
      <c r="P200" s="81">
        <v>12</v>
      </c>
      <c r="Q200" s="277">
        <v>12</v>
      </c>
      <c r="R200" s="275">
        <v>12</v>
      </c>
      <c r="S200" s="275">
        <v>12</v>
      </c>
      <c r="T200" s="275">
        <v>12</v>
      </c>
      <c r="U200" s="282">
        <f>AG200/$AG$197</f>
        <v>0.27777777777777779</v>
      </c>
      <c r="V200" s="65">
        <v>3</v>
      </c>
      <c r="W200" s="157" t="s">
        <v>453</v>
      </c>
      <c r="X200" s="283"/>
      <c r="Y200" s="283"/>
      <c r="Z200" s="283"/>
      <c r="AA200" s="283"/>
      <c r="AB200" s="283"/>
      <c r="AC200" s="283"/>
      <c r="AD200" s="283"/>
      <c r="AE200" s="96">
        <f>13400000+11600000</f>
        <v>25000000</v>
      </c>
      <c r="AF200" s="161"/>
      <c r="AG200" s="69">
        <f>+X200+Y200+Z200+AA200+AB200+AC200+AD200+AE200+AF200</f>
        <v>25000000</v>
      </c>
      <c r="AH200" s="78"/>
      <c r="AI200" s="78"/>
      <c r="AJ200" s="78"/>
      <c r="AK200" s="78"/>
      <c r="AL200" s="78"/>
      <c r="AM200" s="78"/>
      <c r="AN200" s="78"/>
      <c r="AO200" s="511">
        <v>25750000</v>
      </c>
      <c r="AP200" s="78"/>
      <c r="AQ200" s="71">
        <f>AH200+AI200+AJ200+AK200+AL200+AM200+AN200+AO200+AP200</f>
        <v>25750000</v>
      </c>
      <c r="AR200" s="511"/>
      <c r="AS200" s="511"/>
      <c r="AT200" s="511"/>
      <c r="AU200" s="511"/>
      <c r="AV200" s="511"/>
      <c r="AW200" s="511"/>
      <c r="AX200" s="511"/>
      <c r="AY200" s="511">
        <v>26522500</v>
      </c>
      <c r="AZ200" s="511"/>
      <c r="BA200" s="511">
        <f>SUM(AR200:AZ200)</f>
        <v>26522500</v>
      </c>
      <c r="BB200" s="78"/>
      <c r="BC200" s="78"/>
      <c r="BD200" s="78"/>
      <c r="BE200" s="78"/>
      <c r="BF200" s="78"/>
      <c r="BG200" s="78"/>
      <c r="BH200" s="78"/>
      <c r="BI200" s="78">
        <v>27345430</v>
      </c>
      <c r="BJ200" s="78"/>
      <c r="BK200" s="78">
        <f>SUM(BB200:BJ200)</f>
        <v>27345430</v>
      </c>
      <c r="BL200" s="603">
        <f>AG200+AQ200+BA200+BK200</f>
        <v>104617930</v>
      </c>
    </row>
    <row r="201" spans="1:64" ht="24.75" customHeight="1" thickBot="1" x14ac:dyDescent="0.25">
      <c r="A201" s="74"/>
      <c r="B201" s="56"/>
      <c r="C201" s="124"/>
      <c r="D201" s="124"/>
      <c r="E201" s="44">
        <v>39</v>
      </c>
      <c r="F201" s="45" t="s">
        <v>479</v>
      </c>
      <c r="G201" s="84"/>
      <c r="H201" s="84"/>
      <c r="I201" s="47"/>
      <c r="J201" s="84"/>
      <c r="K201" s="84"/>
      <c r="L201" s="47"/>
      <c r="M201" s="47"/>
      <c r="N201" s="85"/>
      <c r="O201" s="84"/>
      <c r="P201" s="84"/>
      <c r="Q201" s="86"/>
      <c r="R201" s="84"/>
      <c r="S201" s="84"/>
      <c r="T201" s="47"/>
      <c r="U201" s="87"/>
      <c r="V201" s="47"/>
      <c r="W201" s="47"/>
      <c r="X201" s="88">
        <f t="shared" ref="X201:AF201" si="292">SUM(X202:X204)</f>
        <v>0</v>
      </c>
      <c r="Y201" s="88">
        <f t="shared" si="292"/>
        <v>0</v>
      </c>
      <c r="Z201" s="88">
        <f t="shared" si="292"/>
        <v>0</v>
      </c>
      <c r="AA201" s="88">
        <f t="shared" si="292"/>
        <v>0</v>
      </c>
      <c r="AB201" s="88">
        <f t="shared" si="292"/>
        <v>0</v>
      </c>
      <c r="AC201" s="88">
        <f t="shared" si="292"/>
        <v>0</v>
      </c>
      <c r="AD201" s="88">
        <f t="shared" si="292"/>
        <v>0</v>
      </c>
      <c r="AE201" s="88">
        <f t="shared" si="292"/>
        <v>140000000</v>
      </c>
      <c r="AF201" s="88">
        <f t="shared" si="292"/>
        <v>0</v>
      </c>
      <c r="AG201" s="89">
        <f>SUM(AG202:AG204)</f>
        <v>140000000</v>
      </c>
      <c r="AH201" s="88">
        <f t="shared" ref="AH201:AQ201" si="293">SUM(AH202:AH204)</f>
        <v>0</v>
      </c>
      <c r="AI201" s="88">
        <f t="shared" si="293"/>
        <v>0</v>
      </c>
      <c r="AJ201" s="88">
        <f t="shared" si="293"/>
        <v>0</v>
      </c>
      <c r="AK201" s="88">
        <f t="shared" si="293"/>
        <v>0</v>
      </c>
      <c r="AL201" s="88">
        <f t="shared" si="293"/>
        <v>0</v>
      </c>
      <c r="AM201" s="88">
        <f t="shared" si="293"/>
        <v>0</v>
      </c>
      <c r="AN201" s="88">
        <f t="shared" si="293"/>
        <v>0</v>
      </c>
      <c r="AO201" s="88">
        <f t="shared" si="293"/>
        <v>144200000</v>
      </c>
      <c r="AP201" s="88">
        <f t="shared" si="293"/>
        <v>0</v>
      </c>
      <c r="AQ201" s="88">
        <f t="shared" si="293"/>
        <v>144200000</v>
      </c>
      <c r="AR201" s="90"/>
      <c r="AS201" s="90"/>
      <c r="AT201" s="90"/>
      <c r="AU201" s="90"/>
      <c r="AV201" s="90"/>
      <c r="AW201" s="90"/>
      <c r="AX201" s="90"/>
      <c r="AY201" s="90"/>
      <c r="AZ201" s="90"/>
      <c r="BA201" s="88">
        <f t="shared" ref="BA201" si="294">SUM(BA202:BA204)</f>
        <v>148526000</v>
      </c>
      <c r="BB201" s="90"/>
      <c r="BC201" s="90"/>
      <c r="BD201" s="90"/>
      <c r="BE201" s="90"/>
      <c r="BF201" s="90"/>
      <c r="BG201" s="90"/>
      <c r="BH201" s="90"/>
      <c r="BI201" s="90"/>
      <c r="BJ201" s="90"/>
      <c r="BK201" s="88">
        <f t="shared" ref="BK201:BL201" si="295">SUM(BK202:BK204)</f>
        <v>152981780</v>
      </c>
      <c r="BL201" s="88">
        <f t="shared" si="295"/>
        <v>585707780</v>
      </c>
    </row>
    <row r="202" spans="1:64" ht="171.75" customHeight="1" x14ac:dyDescent="0.2">
      <c r="A202" s="56">
        <v>139</v>
      </c>
      <c r="B202" s="56">
        <v>3</v>
      </c>
      <c r="C202" s="124"/>
      <c r="D202" s="124"/>
      <c r="E202" s="81">
        <v>24</v>
      </c>
      <c r="F202" s="285" t="s">
        <v>429</v>
      </c>
      <c r="G202" s="58" t="s">
        <v>430</v>
      </c>
      <c r="H202" s="284" t="s">
        <v>430</v>
      </c>
      <c r="I202" s="64">
        <v>139</v>
      </c>
      <c r="J202" s="60" t="s">
        <v>480</v>
      </c>
      <c r="K202" s="257" t="s">
        <v>481</v>
      </c>
      <c r="L202" s="512" t="s">
        <v>442</v>
      </c>
      <c r="M202" s="512">
        <v>2</v>
      </c>
      <c r="N202" s="286" t="s">
        <v>54</v>
      </c>
      <c r="O202" s="65">
        <v>0</v>
      </c>
      <c r="P202" s="65">
        <v>1</v>
      </c>
      <c r="Q202" s="287">
        <v>1</v>
      </c>
      <c r="R202" s="288">
        <v>1</v>
      </c>
      <c r="S202" s="288">
        <v>1</v>
      </c>
      <c r="T202" s="288">
        <v>1</v>
      </c>
      <c r="U202" s="282">
        <f>AG202/$AG$201</f>
        <v>0.6428571428571429</v>
      </c>
      <c r="V202" s="65">
        <v>2</v>
      </c>
      <c r="W202" s="157" t="s">
        <v>137</v>
      </c>
      <c r="X202" s="283"/>
      <c r="Y202" s="283"/>
      <c r="Z202" s="283"/>
      <c r="AA202" s="283"/>
      <c r="AB202" s="283"/>
      <c r="AC202" s="283"/>
      <c r="AD202" s="283"/>
      <c r="AE202" s="96">
        <f>30000000+60000000</f>
        <v>90000000</v>
      </c>
      <c r="AF202" s="161"/>
      <c r="AG202" s="69">
        <f>+X202+Y202+Z202+AA202+AB202+AC202+AD202+AE202+AF202</f>
        <v>90000000</v>
      </c>
      <c r="AH202" s="78"/>
      <c r="AI202" s="78"/>
      <c r="AJ202" s="78"/>
      <c r="AK202" s="78"/>
      <c r="AL202" s="78"/>
      <c r="AM202" s="78"/>
      <c r="AN202" s="78"/>
      <c r="AO202" s="511">
        <v>92700000</v>
      </c>
      <c r="AP202" s="78"/>
      <c r="AQ202" s="71">
        <f>AH202+AI202+AJ202+AK202+AL202+AM202+AN202+AO202+AP202</f>
        <v>92700000</v>
      </c>
      <c r="AR202" s="511"/>
      <c r="AS202" s="511"/>
      <c r="AT202" s="511"/>
      <c r="AU202" s="511"/>
      <c r="AV202" s="511"/>
      <c r="AW202" s="511"/>
      <c r="AX202" s="511"/>
      <c r="AY202" s="511">
        <v>95481000</v>
      </c>
      <c r="AZ202" s="511"/>
      <c r="BA202" s="511">
        <f>SUM(AR202:AZ202)</f>
        <v>95481000</v>
      </c>
      <c r="BB202" s="78"/>
      <c r="BC202" s="78"/>
      <c r="BD202" s="78"/>
      <c r="BE202" s="78"/>
      <c r="BF202" s="78"/>
      <c r="BG202" s="78"/>
      <c r="BH202" s="78"/>
      <c r="BI202" s="78">
        <v>98300000</v>
      </c>
      <c r="BJ202" s="78"/>
      <c r="BK202" s="78">
        <f>SUM(BB202:BJ202)</f>
        <v>98300000</v>
      </c>
      <c r="BL202" s="603">
        <f>AG202+AQ202+BA202+BK202</f>
        <v>376481000</v>
      </c>
    </row>
    <row r="203" spans="1:64" ht="114.75" customHeight="1" x14ac:dyDescent="0.2">
      <c r="A203" s="74">
        <v>140</v>
      </c>
      <c r="B203" s="56">
        <v>3</v>
      </c>
      <c r="C203" s="124"/>
      <c r="D203" s="124"/>
      <c r="E203" s="79" t="s">
        <v>482</v>
      </c>
      <c r="F203" s="516" t="s">
        <v>483</v>
      </c>
      <c r="G203" s="447">
        <v>1</v>
      </c>
      <c r="H203" s="447">
        <v>1</v>
      </c>
      <c r="I203" s="64">
        <v>140</v>
      </c>
      <c r="J203" s="60" t="s">
        <v>484</v>
      </c>
      <c r="K203" s="257" t="s">
        <v>441</v>
      </c>
      <c r="L203" s="512" t="s">
        <v>442</v>
      </c>
      <c r="M203" s="512">
        <v>2</v>
      </c>
      <c r="N203" s="286" t="s">
        <v>54</v>
      </c>
      <c r="O203" s="18">
        <v>1</v>
      </c>
      <c r="P203" s="65">
        <v>1</v>
      </c>
      <c r="Q203" s="277">
        <v>1</v>
      </c>
      <c r="R203" s="275">
        <v>1</v>
      </c>
      <c r="S203" s="275">
        <v>1</v>
      </c>
      <c r="T203" s="275">
        <v>1</v>
      </c>
      <c r="U203" s="282">
        <f>AG203/$AG$201</f>
        <v>0.17857142857142858</v>
      </c>
      <c r="V203" s="65">
        <v>3</v>
      </c>
      <c r="W203" s="157" t="s">
        <v>453</v>
      </c>
      <c r="X203" s="283"/>
      <c r="Y203" s="283"/>
      <c r="Z203" s="283"/>
      <c r="AA203" s="283"/>
      <c r="AB203" s="283"/>
      <c r="AC203" s="283"/>
      <c r="AD203" s="283"/>
      <c r="AE203" s="69">
        <v>25000000</v>
      </c>
      <c r="AF203" s="160"/>
      <c r="AG203" s="69">
        <f>+X203+Y203+Z203+AA203+AB203+AC203+AD203+AE203+AF203</f>
        <v>25000000</v>
      </c>
      <c r="AH203" s="72"/>
      <c r="AI203" s="72"/>
      <c r="AJ203" s="72"/>
      <c r="AK203" s="72"/>
      <c r="AL203" s="72"/>
      <c r="AM203" s="72"/>
      <c r="AN203" s="72"/>
      <c r="AO203" s="511">
        <v>25750000</v>
      </c>
      <c r="AP203" s="72"/>
      <c r="AQ203" s="71">
        <f>AH203+AI203+AJ203+AK203+AL203+AM203+AN203+AO203+AP203</f>
        <v>25750000</v>
      </c>
      <c r="AR203" s="511"/>
      <c r="AS203" s="511"/>
      <c r="AT203" s="511"/>
      <c r="AU203" s="511"/>
      <c r="AV203" s="511"/>
      <c r="AW203" s="511"/>
      <c r="AX203" s="511"/>
      <c r="AY203" s="511">
        <v>26522500</v>
      </c>
      <c r="AZ203" s="511"/>
      <c r="BA203" s="511">
        <f>SUM(AR203:AZ203)</f>
        <v>26522500</v>
      </c>
      <c r="BB203" s="78"/>
      <c r="BC203" s="78"/>
      <c r="BD203" s="78"/>
      <c r="BE203" s="78"/>
      <c r="BF203" s="78"/>
      <c r="BG203" s="78"/>
      <c r="BH203" s="78"/>
      <c r="BI203" s="78">
        <v>27300000</v>
      </c>
      <c r="BJ203" s="78"/>
      <c r="BK203" s="78">
        <f>SUM(BB203:BJ203)</f>
        <v>27300000</v>
      </c>
      <c r="BL203" s="603">
        <f>AG203+AQ203+BA203+BK203</f>
        <v>104572500</v>
      </c>
    </row>
    <row r="204" spans="1:64" ht="114.75" customHeight="1" x14ac:dyDescent="0.2">
      <c r="A204" s="56">
        <v>141</v>
      </c>
      <c r="B204" s="56">
        <v>3</v>
      </c>
      <c r="C204" s="124"/>
      <c r="D204" s="124"/>
      <c r="E204" s="506"/>
      <c r="F204" s="515"/>
      <c r="G204" s="289"/>
      <c r="H204" s="289"/>
      <c r="I204" s="64">
        <v>141</v>
      </c>
      <c r="J204" s="60" t="s">
        <v>485</v>
      </c>
      <c r="K204" s="257" t="s">
        <v>441</v>
      </c>
      <c r="L204" s="512" t="s">
        <v>442</v>
      </c>
      <c r="M204" s="512">
        <v>2</v>
      </c>
      <c r="N204" s="290" t="s">
        <v>54</v>
      </c>
      <c r="O204" s="65" t="s">
        <v>49</v>
      </c>
      <c r="P204" s="65">
        <v>1</v>
      </c>
      <c r="Q204" s="508">
        <v>1</v>
      </c>
      <c r="R204" s="528">
        <v>1</v>
      </c>
      <c r="S204" s="528">
        <v>1</v>
      </c>
      <c r="T204" s="528">
        <v>1</v>
      </c>
      <c r="U204" s="282">
        <f>AG204/$AG$201</f>
        <v>0.17857142857142858</v>
      </c>
      <c r="V204" s="65">
        <v>3</v>
      </c>
      <c r="W204" s="157" t="s">
        <v>453</v>
      </c>
      <c r="X204" s="283"/>
      <c r="Y204" s="283"/>
      <c r="Z204" s="283"/>
      <c r="AA204" s="283"/>
      <c r="AB204" s="283"/>
      <c r="AC204" s="283"/>
      <c r="AD204" s="283"/>
      <c r="AE204" s="69">
        <v>25000000</v>
      </c>
      <c r="AF204" s="160"/>
      <c r="AG204" s="69">
        <f>+X204+Y204+Z204+AA204+AB204+AC204+AD204+AE204+AF204</f>
        <v>25000000</v>
      </c>
      <c r="AH204" s="72"/>
      <c r="AI204" s="72"/>
      <c r="AJ204" s="72"/>
      <c r="AK204" s="72"/>
      <c r="AL204" s="72"/>
      <c r="AM204" s="72"/>
      <c r="AN204" s="72"/>
      <c r="AO204" s="511">
        <v>25750000</v>
      </c>
      <c r="AP204" s="72"/>
      <c r="AQ204" s="71">
        <f>AH204+AI204+AJ204+AK204+AL204+AM204+AN204+AO204+AP204</f>
        <v>25750000</v>
      </c>
      <c r="AR204" s="511"/>
      <c r="AS204" s="511"/>
      <c r="AT204" s="511"/>
      <c r="AU204" s="511"/>
      <c r="AV204" s="511"/>
      <c r="AW204" s="511"/>
      <c r="AX204" s="511"/>
      <c r="AY204" s="511">
        <v>26522500</v>
      </c>
      <c r="AZ204" s="511"/>
      <c r="BA204" s="511">
        <f>SUM(AR204:AZ204)</f>
        <v>26522500</v>
      </c>
      <c r="BB204" s="78"/>
      <c r="BC204" s="78"/>
      <c r="BD204" s="78"/>
      <c r="BE204" s="78"/>
      <c r="BF204" s="78"/>
      <c r="BG204" s="78"/>
      <c r="BH204" s="78"/>
      <c r="BI204" s="78">
        <v>27381780</v>
      </c>
      <c r="BJ204" s="78"/>
      <c r="BK204" s="78">
        <f>SUM(BB204:BJ204)</f>
        <v>27381780</v>
      </c>
      <c r="BL204" s="603">
        <f>AG204+AQ204+BA204+BK204</f>
        <v>104654280</v>
      </c>
    </row>
    <row r="205" spans="1:64" ht="24.75" customHeight="1" thickBot="1" x14ac:dyDescent="0.25">
      <c r="A205" s="56"/>
      <c r="B205" s="56"/>
      <c r="C205" s="124"/>
      <c r="D205" s="124"/>
      <c r="E205" s="44">
        <v>40</v>
      </c>
      <c r="F205" s="45" t="s">
        <v>486</v>
      </c>
      <c r="G205" s="84"/>
      <c r="H205" s="84"/>
      <c r="I205" s="47"/>
      <c r="J205" s="84"/>
      <c r="K205" s="84"/>
      <c r="L205" s="47"/>
      <c r="M205" s="47"/>
      <c r="N205" s="85"/>
      <c r="O205" s="84"/>
      <c r="P205" s="84"/>
      <c r="Q205" s="86"/>
      <c r="R205" s="84"/>
      <c r="S205" s="84"/>
      <c r="T205" s="47"/>
      <c r="U205" s="87"/>
      <c r="V205" s="47"/>
      <c r="W205" s="47"/>
      <c r="X205" s="89">
        <f t="shared" ref="X205:AF205" si="296">SUM(X206:X210)</f>
        <v>0</v>
      </c>
      <c r="Y205" s="89">
        <f t="shared" si="296"/>
        <v>0</v>
      </c>
      <c r="Z205" s="89">
        <f t="shared" si="296"/>
        <v>0</v>
      </c>
      <c r="AA205" s="89">
        <f t="shared" si="296"/>
        <v>7383</v>
      </c>
      <c r="AB205" s="89">
        <f t="shared" si="296"/>
        <v>0</v>
      </c>
      <c r="AC205" s="89">
        <f t="shared" si="296"/>
        <v>0</v>
      </c>
      <c r="AD205" s="89">
        <f t="shared" si="296"/>
        <v>0</v>
      </c>
      <c r="AE205" s="89">
        <f t="shared" si="296"/>
        <v>307812279</v>
      </c>
      <c r="AF205" s="89">
        <f t="shared" si="296"/>
        <v>0</v>
      </c>
      <c r="AG205" s="89">
        <f>SUM(AG206:AG210)</f>
        <v>307819662</v>
      </c>
      <c r="AH205" s="89">
        <f t="shared" ref="AH205:AQ205" si="297">SUM(AH206:AH210)</f>
        <v>0</v>
      </c>
      <c r="AI205" s="89">
        <f t="shared" si="297"/>
        <v>0</v>
      </c>
      <c r="AJ205" s="89">
        <f t="shared" si="297"/>
        <v>0</v>
      </c>
      <c r="AK205" s="89">
        <f t="shared" si="297"/>
        <v>0</v>
      </c>
      <c r="AL205" s="89">
        <f t="shared" si="297"/>
        <v>0</v>
      </c>
      <c r="AM205" s="89">
        <f t="shared" si="297"/>
        <v>0</v>
      </c>
      <c r="AN205" s="89">
        <f t="shared" si="297"/>
        <v>0</v>
      </c>
      <c r="AO205" s="89">
        <f t="shared" si="297"/>
        <v>189234597.36018443</v>
      </c>
      <c r="AP205" s="89">
        <f t="shared" si="297"/>
        <v>0</v>
      </c>
      <c r="AQ205" s="89">
        <f t="shared" si="297"/>
        <v>189234597.00000003</v>
      </c>
      <c r="AR205" s="90"/>
      <c r="AS205" s="90"/>
      <c r="AT205" s="90"/>
      <c r="AU205" s="90"/>
      <c r="AV205" s="90"/>
      <c r="AW205" s="90"/>
      <c r="AX205" s="90"/>
      <c r="AY205" s="90"/>
      <c r="AZ205" s="90"/>
      <c r="BA205" s="89">
        <f t="shared" ref="BA205" si="298">SUM(BA206:BA210)</f>
        <v>194911635</v>
      </c>
      <c r="BB205" s="90"/>
      <c r="BC205" s="90"/>
      <c r="BD205" s="90"/>
      <c r="BE205" s="90"/>
      <c r="BF205" s="90"/>
      <c r="BG205" s="90"/>
      <c r="BH205" s="90"/>
      <c r="BI205" s="90"/>
      <c r="BJ205" s="90"/>
      <c r="BK205" s="89">
        <f t="shared" ref="BK205:BL205" si="299">SUM(BK206:BK210)</f>
        <v>200758984.00142908</v>
      </c>
      <c r="BL205" s="607">
        <f t="shared" si="299"/>
        <v>892724878.00142908</v>
      </c>
    </row>
    <row r="206" spans="1:64" ht="95.25" customHeight="1" x14ac:dyDescent="0.2">
      <c r="A206" s="74">
        <v>142</v>
      </c>
      <c r="B206" s="56">
        <v>3</v>
      </c>
      <c r="C206" s="124"/>
      <c r="D206" s="124"/>
      <c r="E206" s="510">
        <v>25</v>
      </c>
      <c r="F206" s="516" t="s">
        <v>487</v>
      </c>
      <c r="G206" s="440" t="s">
        <v>488</v>
      </c>
      <c r="H206" s="284" t="s">
        <v>489</v>
      </c>
      <c r="I206" s="64">
        <v>142</v>
      </c>
      <c r="J206" s="60" t="s">
        <v>490</v>
      </c>
      <c r="K206" s="57" t="s">
        <v>491</v>
      </c>
      <c r="L206" s="512" t="s">
        <v>442</v>
      </c>
      <c r="M206" s="512">
        <v>2</v>
      </c>
      <c r="N206" s="286" t="s">
        <v>54</v>
      </c>
      <c r="O206" s="65" t="s">
        <v>49</v>
      </c>
      <c r="P206" s="65">
        <v>12</v>
      </c>
      <c r="Q206" s="509">
        <v>12</v>
      </c>
      <c r="R206" s="529">
        <v>12</v>
      </c>
      <c r="S206" s="288">
        <v>12</v>
      </c>
      <c r="T206" s="288">
        <v>12</v>
      </c>
      <c r="U206" s="282">
        <f>AG206/$AG$205</f>
        <v>3.2486553766666149E-2</v>
      </c>
      <c r="V206" s="64">
        <v>3</v>
      </c>
      <c r="W206" s="153" t="s">
        <v>453</v>
      </c>
      <c r="X206" s="283"/>
      <c r="Y206" s="283"/>
      <c r="Z206" s="283"/>
      <c r="AA206" s="283"/>
      <c r="AB206" s="283"/>
      <c r="AC206" s="283"/>
      <c r="AD206" s="283"/>
      <c r="AE206" s="283">
        <v>10000000</v>
      </c>
      <c r="AF206" s="283"/>
      <c r="AG206" s="69">
        <f>+X206+Y206+Z206+AA206+AB206+AC206+AD206+AE206+AF206</f>
        <v>10000000</v>
      </c>
      <c r="AH206" s="78"/>
      <c r="AI206" s="78"/>
      <c r="AJ206" s="78"/>
      <c r="AK206" s="78"/>
      <c r="AL206" s="78"/>
      <c r="AM206" s="78"/>
      <c r="AN206" s="78"/>
      <c r="AO206" s="511">
        <v>6147579.9099539006</v>
      </c>
      <c r="AP206" s="78"/>
      <c r="AQ206" s="71">
        <f>AH206+AI206+AJ206+AK206+AL206+AM206+AN206+AO206+AP206</f>
        <v>6147579.9099539006</v>
      </c>
      <c r="AR206" s="511"/>
      <c r="AS206" s="511"/>
      <c r="AT206" s="511"/>
      <c r="AU206" s="511"/>
      <c r="AV206" s="511"/>
      <c r="AW206" s="511"/>
      <c r="AX206" s="511"/>
      <c r="AY206" s="511">
        <v>6300000</v>
      </c>
      <c r="AZ206" s="511"/>
      <c r="BA206" s="511">
        <f>SUM(AR206:AZ206)</f>
        <v>6300000</v>
      </c>
      <c r="BB206" s="78"/>
      <c r="BC206" s="78"/>
      <c r="BD206" s="78"/>
      <c r="BE206" s="78"/>
      <c r="BF206" s="78"/>
      <c r="BG206" s="78"/>
      <c r="BH206" s="78"/>
      <c r="BI206" s="78">
        <v>6500000</v>
      </c>
      <c r="BJ206" s="511"/>
      <c r="BK206" s="78">
        <f>SUM(BB206:BI206)</f>
        <v>6500000</v>
      </c>
      <c r="BL206" s="603">
        <f>AG206+AQ206+BA206+BK206</f>
        <v>28947579.9099539</v>
      </c>
    </row>
    <row r="207" spans="1:64" ht="217.5" customHeight="1" x14ac:dyDescent="0.2">
      <c r="A207" s="56">
        <v>143</v>
      </c>
      <c r="B207" s="56">
        <v>3</v>
      </c>
      <c r="C207" s="124"/>
      <c r="D207" s="124"/>
      <c r="E207" s="81" t="s">
        <v>492</v>
      </c>
      <c r="F207" s="57" t="s">
        <v>493</v>
      </c>
      <c r="G207" s="64">
        <v>10</v>
      </c>
      <c r="H207" s="64" t="s">
        <v>494</v>
      </c>
      <c r="I207" s="64">
        <v>143</v>
      </c>
      <c r="J207" s="60" t="s">
        <v>495</v>
      </c>
      <c r="K207" s="57" t="s">
        <v>496</v>
      </c>
      <c r="L207" s="512" t="s">
        <v>442</v>
      </c>
      <c r="M207" s="512">
        <v>2</v>
      </c>
      <c r="N207" s="286" t="s">
        <v>54</v>
      </c>
      <c r="O207" s="65">
        <v>1</v>
      </c>
      <c r="P207" s="65">
        <v>1</v>
      </c>
      <c r="Q207" s="277">
        <v>1</v>
      </c>
      <c r="R207" s="275">
        <v>1</v>
      </c>
      <c r="S207" s="275">
        <v>1</v>
      </c>
      <c r="T207" s="275">
        <v>1</v>
      </c>
      <c r="U207" s="282">
        <f>AG207/$AG$205</f>
        <v>0</v>
      </c>
      <c r="V207" s="64">
        <v>3</v>
      </c>
      <c r="W207" s="153" t="s">
        <v>453</v>
      </c>
      <c r="X207" s="283"/>
      <c r="Y207" s="283"/>
      <c r="Z207" s="283"/>
      <c r="AA207" s="283"/>
      <c r="AB207" s="283"/>
      <c r="AC207" s="283"/>
      <c r="AD207" s="283"/>
      <c r="AE207" s="283"/>
      <c r="AF207" s="283"/>
      <c r="AG207" s="69">
        <f>+X207+Y207+Z207+AA207+AB207+AC207+AD207+AE207+AF207</f>
        <v>0</v>
      </c>
      <c r="AH207" s="78"/>
      <c r="AI207" s="78"/>
      <c r="AJ207" s="78"/>
      <c r="AK207" s="78"/>
      <c r="AL207" s="78"/>
      <c r="AM207" s="78"/>
      <c r="AN207" s="78"/>
      <c r="AO207" s="511">
        <v>0</v>
      </c>
      <c r="AP207" s="78"/>
      <c r="AQ207" s="71">
        <f>AH207+AI207+AJ207+AK207+AL207+AM207+AN207+AO207+AP207</f>
        <v>0</v>
      </c>
      <c r="AR207" s="511"/>
      <c r="AS207" s="511"/>
      <c r="AT207" s="511"/>
      <c r="AU207" s="511"/>
      <c r="AV207" s="511"/>
      <c r="AW207" s="511"/>
      <c r="AX207" s="511"/>
      <c r="AY207" s="511">
        <v>0</v>
      </c>
      <c r="AZ207" s="511"/>
      <c r="BA207" s="511">
        <f>SUM(AR207:AZ207)</f>
        <v>0</v>
      </c>
      <c r="BB207" s="78"/>
      <c r="BC207" s="78"/>
      <c r="BD207" s="78"/>
      <c r="BE207" s="78"/>
      <c r="BF207" s="78"/>
      <c r="BG207" s="78"/>
      <c r="BH207" s="78"/>
      <c r="BI207" s="78">
        <v>0</v>
      </c>
      <c r="BJ207" s="511"/>
      <c r="BK207" s="78">
        <f>SUM(BB207:BI207)</f>
        <v>0</v>
      </c>
      <c r="BL207" s="603">
        <f>AG207+AQ207+BA207+BK207</f>
        <v>0</v>
      </c>
    </row>
    <row r="208" spans="1:64" ht="343.5" customHeight="1" x14ac:dyDescent="0.2">
      <c r="A208" s="74">
        <v>144</v>
      </c>
      <c r="B208" s="56">
        <v>3</v>
      </c>
      <c r="C208" s="124"/>
      <c r="D208" s="124"/>
      <c r="E208" s="81">
        <v>25</v>
      </c>
      <c r="F208" s="263" t="s">
        <v>487</v>
      </c>
      <c r="G208" s="75" t="s">
        <v>488</v>
      </c>
      <c r="H208" s="284" t="s">
        <v>489</v>
      </c>
      <c r="I208" s="64">
        <v>144</v>
      </c>
      <c r="J208" s="60" t="s">
        <v>497</v>
      </c>
      <c r="K208" s="57" t="s">
        <v>498</v>
      </c>
      <c r="L208" s="512" t="s">
        <v>442</v>
      </c>
      <c r="M208" s="512">
        <v>2</v>
      </c>
      <c r="N208" s="286" t="s">
        <v>54</v>
      </c>
      <c r="O208" s="18">
        <v>5</v>
      </c>
      <c r="P208" s="65">
        <v>5</v>
      </c>
      <c r="Q208" s="277">
        <v>5</v>
      </c>
      <c r="R208" s="275">
        <v>5</v>
      </c>
      <c r="S208" s="275">
        <v>5</v>
      </c>
      <c r="T208" s="275">
        <v>5</v>
      </c>
      <c r="U208" s="282">
        <f>AG208/$AG$205</f>
        <v>0.58182362632832729</v>
      </c>
      <c r="V208" s="64">
        <v>3</v>
      </c>
      <c r="W208" s="153" t="s">
        <v>453</v>
      </c>
      <c r="X208" s="283"/>
      <c r="Y208" s="283"/>
      <c r="Z208" s="283"/>
      <c r="AA208" s="96">
        <v>7383</v>
      </c>
      <c r="AB208" s="283"/>
      <c r="AC208" s="283"/>
      <c r="AD208" s="283"/>
      <c r="AE208" s="283">
        <f>77600000+101489369</f>
        <v>179089369</v>
      </c>
      <c r="AF208" s="283"/>
      <c r="AG208" s="69">
        <f>+X208+Y208+Z208+AA208+AB208+AC208+AD208+AE208+AF208</f>
        <v>179096752</v>
      </c>
      <c r="AH208" s="78"/>
      <c r="AI208" s="78"/>
      <c r="AJ208" s="78"/>
      <c r="AK208" s="78"/>
      <c r="AL208" s="78"/>
      <c r="AM208" s="78"/>
      <c r="AN208" s="78"/>
      <c r="AO208" s="511">
        <v>110101159.45331961</v>
      </c>
      <c r="AP208" s="78"/>
      <c r="AQ208" s="71">
        <f>AH208+AI208+AJ208+AK208+AL208+AM208+AN208+AO208+AP208</f>
        <v>110101159.45331961</v>
      </c>
      <c r="AR208" s="511"/>
      <c r="AS208" s="511"/>
      <c r="AT208" s="511"/>
      <c r="AU208" s="511"/>
      <c r="AV208" s="511"/>
      <c r="AW208" s="511"/>
      <c r="AX208" s="511"/>
      <c r="AY208" s="511">
        <v>113400000</v>
      </c>
      <c r="AZ208" s="511"/>
      <c r="BA208" s="511">
        <f>SUM(AR208:AZ208)</f>
        <v>113400000</v>
      </c>
      <c r="BB208" s="78"/>
      <c r="BC208" s="78"/>
      <c r="BD208" s="78"/>
      <c r="BE208" s="78"/>
      <c r="BF208" s="78"/>
      <c r="BG208" s="78"/>
      <c r="BH208" s="78"/>
      <c r="BI208" s="78">
        <v>116800000</v>
      </c>
      <c r="BJ208" s="511"/>
      <c r="BK208" s="78">
        <f>SUM(BB208:BI208)</f>
        <v>116800000</v>
      </c>
      <c r="BL208" s="603">
        <f>AG208+AQ208+BA208+BK208</f>
        <v>519397911.45331961</v>
      </c>
    </row>
    <row r="209" spans="1:64" ht="95.25" customHeight="1" x14ac:dyDescent="0.2">
      <c r="A209" s="56">
        <v>145</v>
      </c>
      <c r="B209" s="56">
        <v>3</v>
      </c>
      <c r="C209" s="124"/>
      <c r="D209" s="124"/>
      <c r="E209" s="81" t="s">
        <v>499</v>
      </c>
      <c r="F209" s="57" t="s">
        <v>500</v>
      </c>
      <c r="G209" s="64" t="s">
        <v>501</v>
      </c>
      <c r="H209" s="280">
        <v>0.8</v>
      </c>
      <c r="I209" s="64">
        <v>145</v>
      </c>
      <c r="J209" s="60" t="s">
        <v>502</v>
      </c>
      <c r="K209" s="57" t="s">
        <v>441</v>
      </c>
      <c r="L209" s="512" t="s">
        <v>442</v>
      </c>
      <c r="M209" s="512">
        <v>2</v>
      </c>
      <c r="N209" s="286" t="s">
        <v>54</v>
      </c>
      <c r="O209" s="291" t="s">
        <v>49</v>
      </c>
      <c r="P209" s="292">
        <v>1</v>
      </c>
      <c r="Q209" s="277">
        <v>1</v>
      </c>
      <c r="R209" s="275">
        <v>1</v>
      </c>
      <c r="S209" s="275">
        <v>1</v>
      </c>
      <c r="T209" s="275">
        <v>1</v>
      </c>
      <c r="U209" s="282">
        <f>AG209/$AG$205</f>
        <v>0.25574360483834202</v>
      </c>
      <c r="V209" s="64">
        <v>3</v>
      </c>
      <c r="W209" s="153" t="s">
        <v>453</v>
      </c>
      <c r="X209" s="283"/>
      <c r="Y209" s="283"/>
      <c r="Z209" s="283"/>
      <c r="AA209" s="283"/>
      <c r="AB209" s="283"/>
      <c r="AC209" s="283"/>
      <c r="AD209" s="283"/>
      <c r="AE209" s="283">
        <v>78722910</v>
      </c>
      <c r="AF209" s="283"/>
      <c r="AG209" s="69">
        <f>+X209+Y209+Z209+AA209+AB209+AC209+AD209+AE209+AF209</f>
        <v>78722910</v>
      </c>
      <c r="AH209" s="78"/>
      <c r="AI209" s="78"/>
      <c r="AJ209" s="78"/>
      <c r="AK209" s="78"/>
      <c r="AL209" s="78"/>
      <c r="AM209" s="78"/>
      <c r="AN209" s="78"/>
      <c r="AO209" s="293">
        <v>48395537.9969109</v>
      </c>
      <c r="AP209" s="78"/>
      <c r="AQ209" s="71">
        <f>AH209+AI209+AJ209+AK209+AL209+AM209+AN209+AO209+AP209</f>
        <v>48395537.9969109</v>
      </c>
      <c r="AR209" s="511"/>
      <c r="AS209" s="511"/>
      <c r="AT209" s="511"/>
      <c r="AU209" s="511"/>
      <c r="AV209" s="511"/>
      <c r="AW209" s="511"/>
      <c r="AX209" s="511"/>
      <c r="AY209" s="511">
        <v>49800000</v>
      </c>
      <c r="AZ209" s="511"/>
      <c r="BA209" s="511">
        <f>SUM(AR209:AZ209)</f>
        <v>49800000</v>
      </c>
      <c r="BB209" s="78"/>
      <c r="BC209" s="78"/>
      <c r="BD209" s="78"/>
      <c r="BE209" s="78"/>
      <c r="BF209" s="78"/>
      <c r="BG209" s="78"/>
      <c r="BH209" s="78"/>
      <c r="BI209" s="78">
        <v>51300000</v>
      </c>
      <c r="BJ209" s="511"/>
      <c r="BK209" s="78">
        <f>SUM(BB209:BI209)</f>
        <v>51300000</v>
      </c>
      <c r="BL209" s="603">
        <f>AG209+AQ209+BA209+BK209</f>
        <v>228218447.9969109</v>
      </c>
    </row>
    <row r="210" spans="1:64" ht="408.75" customHeight="1" x14ac:dyDescent="0.2">
      <c r="A210" s="74">
        <v>146</v>
      </c>
      <c r="B210" s="56">
        <v>3</v>
      </c>
      <c r="C210" s="124"/>
      <c r="D210" s="124"/>
      <c r="E210" s="506" t="s">
        <v>503</v>
      </c>
      <c r="F210" s="57" t="s">
        <v>504</v>
      </c>
      <c r="G210" s="280">
        <v>0.68</v>
      </c>
      <c r="H210" s="280">
        <v>0.73</v>
      </c>
      <c r="I210" s="64">
        <v>146</v>
      </c>
      <c r="J210" s="60" t="s">
        <v>505</v>
      </c>
      <c r="K210" s="57" t="s">
        <v>506</v>
      </c>
      <c r="L210" s="512" t="s">
        <v>442</v>
      </c>
      <c r="M210" s="512">
        <v>2</v>
      </c>
      <c r="N210" s="286" t="s">
        <v>54</v>
      </c>
      <c r="O210" s="65" t="s">
        <v>49</v>
      </c>
      <c r="P210" s="65">
        <v>1</v>
      </c>
      <c r="Q210" s="277">
        <v>1</v>
      </c>
      <c r="R210" s="275">
        <v>1</v>
      </c>
      <c r="S210" s="275">
        <v>1</v>
      </c>
      <c r="T210" s="275">
        <v>1</v>
      </c>
      <c r="U210" s="282">
        <f>AG210/$AG$205</f>
        <v>0.12994621506666459</v>
      </c>
      <c r="V210" s="64">
        <v>3</v>
      </c>
      <c r="W210" s="153" t="s">
        <v>453</v>
      </c>
      <c r="X210" s="283"/>
      <c r="Y210" s="283"/>
      <c r="Z210" s="283"/>
      <c r="AA210" s="92"/>
      <c r="AB210" s="283"/>
      <c r="AC210" s="283"/>
      <c r="AD210" s="283"/>
      <c r="AE210" s="500">
        <v>40000000</v>
      </c>
      <c r="AF210" s="283"/>
      <c r="AG210" s="69">
        <f>+X210+Y210+Z210+AA210+AB210+AC210+AD210+AE210+AF210</f>
        <v>40000000</v>
      </c>
      <c r="AH210" s="78">
        <v>0</v>
      </c>
      <c r="AI210" s="78">
        <v>0</v>
      </c>
      <c r="AJ210" s="78"/>
      <c r="AK210" s="78"/>
      <c r="AL210" s="78"/>
      <c r="AM210" s="78"/>
      <c r="AN210" s="78"/>
      <c r="AO210" s="511">
        <v>24590320</v>
      </c>
      <c r="AP210" s="78"/>
      <c r="AQ210" s="71">
        <v>24590319.639815602</v>
      </c>
      <c r="AR210" s="511"/>
      <c r="AS210" s="511"/>
      <c r="AT210" s="511"/>
      <c r="AU210" s="511"/>
      <c r="AV210" s="511"/>
      <c r="AW210" s="511"/>
      <c r="AX210" s="511"/>
      <c r="AY210" s="511">
        <v>25411635</v>
      </c>
      <c r="AZ210" s="511"/>
      <c r="BA210" s="511">
        <f>SUM(AR210:AZ210)</f>
        <v>25411635</v>
      </c>
      <c r="BB210" s="78"/>
      <c r="BC210" s="78"/>
      <c r="BD210" s="78"/>
      <c r="BE210" s="78"/>
      <c r="BF210" s="78"/>
      <c r="BG210" s="78"/>
      <c r="BH210" s="78"/>
      <c r="BI210" s="78">
        <v>26158984.001429077</v>
      </c>
      <c r="BJ210" s="511"/>
      <c r="BK210" s="78">
        <f>SUM(BB210:BI210)</f>
        <v>26158984.001429077</v>
      </c>
      <c r="BL210" s="603">
        <f>AG210+AQ210+BA210+BK210</f>
        <v>116160938.64124468</v>
      </c>
    </row>
    <row r="211" spans="1:64" ht="24.75" customHeight="1" x14ac:dyDescent="0.2">
      <c r="A211" s="74"/>
      <c r="B211" s="56"/>
      <c r="C211" s="124"/>
      <c r="D211" s="124"/>
      <c r="E211" s="44">
        <v>41</v>
      </c>
      <c r="F211" s="45" t="s">
        <v>507</v>
      </c>
      <c r="G211" s="83"/>
      <c r="H211" s="84"/>
      <c r="I211" s="47"/>
      <c r="J211" s="84"/>
      <c r="K211" s="84"/>
      <c r="L211" s="47"/>
      <c r="M211" s="47"/>
      <c r="N211" s="86"/>
      <c r="O211" s="84"/>
      <c r="P211" s="84"/>
      <c r="Q211" s="86"/>
      <c r="R211" s="84"/>
      <c r="S211" s="86"/>
      <c r="T211" s="86"/>
      <c r="U211" s="86"/>
      <c r="V211" s="86"/>
      <c r="W211" s="86"/>
      <c r="X211" s="86"/>
      <c r="Y211" s="462">
        <f t="shared" ref="Y211:AN211" si="300">SUM(Y212:Y213)</f>
        <v>0</v>
      </c>
      <c r="Z211" s="462">
        <f t="shared" si="300"/>
        <v>0</v>
      </c>
      <c r="AA211" s="462">
        <f t="shared" si="300"/>
        <v>0</v>
      </c>
      <c r="AB211" s="462">
        <f t="shared" si="300"/>
        <v>0</v>
      </c>
      <c r="AC211" s="462">
        <f t="shared" si="300"/>
        <v>0</v>
      </c>
      <c r="AD211" s="462">
        <f t="shared" si="300"/>
        <v>0</v>
      </c>
      <c r="AE211" s="462">
        <f t="shared" si="300"/>
        <v>10000000</v>
      </c>
      <c r="AF211" s="462">
        <f t="shared" si="300"/>
        <v>0</v>
      </c>
      <c r="AG211" s="462">
        <f t="shared" si="300"/>
        <v>10000000</v>
      </c>
      <c r="AH211" s="462">
        <f t="shared" si="300"/>
        <v>0</v>
      </c>
      <c r="AI211" s="462">
        <f t="shared" si="300"/>
        <v>0</v>
      </c>
      <c r="AJ211" s="462">
        <f t="shared" si="300"/>
        <v>0</v>
      </c>
      <c r="AK211" s="462">
        <f t="shared" si="300"/>
        <v>0</v>
      </c>
      <c r="AL211" s="462">
        <f t="shared" si="300"/>
        <v>0</v>
      </c>
      <c r="AM211" s="462">
        <f t="shared" si="300"/>
        <v>0</v>
      </c>
      <c r="AN211" s="462">
        <f t="shared" si="300"/>
        <v>0</v>
      </c>
      <c r="AO211" s="462">
        <f t="shared" ref="AO211:AQ211" si="301">SUM(AO212:AO213)</f>
        <v>10300000</v>
      </c>
      <c r="AP211" s="462">
        <f t="shared" si="301"/>
        <v>0</v>
      </c>
      <c r="AQ211" s="462">
        <f t="shared" si="301"/>
        <v>10300000</v>
      </c>
      <c r="AR211" s="86"/>
      <c r="AS211" s="86"/>
      <c r="AT211" s="86"/>
      <c r="AU211" s="86"/>
      <c r="AV211" s="86"/>
      <c r="AW211" s="86"/>
      <c r="AX211" s="86"/>
      <c r="AY211" s="86"/>
      <c r="AZ211" s="86"/>
      <c r="BA211" s="462">
        <f t="shared" ref="BA211" si="302">SUM(BA212:BA213)</f>
        <v>10609000</v>
      </c>
      <c r="BB211" s="86"/>
      <c r="BC211" s="86"/>
      <c r="BD211" s="86"/>
      <c r="BE211" s="86"/>
      <c r="BF211" s="86"/>
      <c r="BG211" s="86"/>
      <c r="BH211" s="86"/>
      <c r="BI211" s="86"/>
      <c r="BJ211" s="86"/>
      <c r="BK211" s="462">
        <f t="shared" ref="BK211:BL211" si="303">SUM(BK212:BK213)</f>
        <v>10927270</v>
      </c>
      <c r="BL211" s="602">
        <f t="shared" si="303"/>
        <v>41836270</v>
      </c>
    </row>
    <row r="212" spans="1:64" ht="102.75" customHeight="1" x14ac:dyDescent="0.2">
      <c r="A212" s="56">
        <v>147</v>
      </c>
      <c r="B212" s="56">
        <v>3</v>
      </c>
      <c r="C212" s="124"/>
      <c r="D212" s="124"/>
      <c r="E212" s="510">
        <v>28</v>
      </c>
      <c r="F212" s="491" t="s">
        <v>508</v>
      </c>
      <c r="G212" s="448">
        <v>0.5</v>
      </c>
      <c r="H212" s="448">
        <v>1</v>
      </c>
      <c r="I212" s="64">
        <v>147</v>
      </c>
      <c r="J212" s="60" t="s">
        <v>509</v>
      </c>
      <c r="K212" s="257" t="s">
        <v>510</v>
      </c>
      <c r="L212" s="512" t="s">
        <v>442</v>
      </c>
      <c r="M212" s="512">
        <v>2</v>
      </c>
      <c r="N212" s="272" t="s">
        <v>54</v>
      </c>
      <c r="O212" s="65">
        <v>14</v>
      </c>
      <c r="P212" s="65">
        <v>14</v>
      </c>
      <c r="Q212" s="277">
        <v>14</v>
      </c>
      <c r="R212" s="275">
        <v>14</v>
      </c>
      <c r="S212" s="275">
        <v>14</v>
      </c>
      <c r="T212" s="275">
        <v>14</v>
      </c>
      <c r="U212" s="211">
        <f>AG212/AG211</f>
        <v>0.5</v>
      </c>
      <c r="V212" s="65">
        <v>3</v>
      </c>
      <c r="W212" s="62" t="s">
        <v>453</v>
      </c>
      <c r="X212" s="176"/>
      <c r="Y212" s="176"/>
      <c r="Z212" s="176"/>
      <c r="AA212" s="176"/>
      <c r="AB212" s="176"/>
      <c r="AC212" s="176"/>
      <c r="AD212" s="176"/>
      <c r="AE212" s="176">
        <v>5000000</v>
      </c>
      <c r="AF212" s="176"/>
      <c r="AG212" s="69">
        <f>+X212+Y212+Z212+AA212+AB212+AC212+AD212+AE212+AF212</f>
        <v>5000000</v>
      </c>
      <c r="AH212" s="78"/>
      <c r="AI212" s="78"/>
      <c r="AJ212" s="78"/>
      <c r="AK212" s="78"/>
      <c r="AL212" s="78"/>
      <c r="AM212" s="78"/>
      <c r="AN212" s="78"/>
      <c r="AO212" s="511">
        <v>5150000</v>
      </c>
      <c r="AP212" s="78"/>
      <c r="AQ212" s="71">
        <f>AH212+AI212+AJ212+AK212+AL212+AM212+AN212+AO212+AP212</f>
        <v>5150000</v>
      </c>
      <c r="AR212" s="511"/>
      <c r="AS212" s="511"/>
      <c r="AT212" s="511"/>
      <c r="AU212" s="511"/>
      <c r="AV212" s="511"/>
      <c r="AW212" s="511"/>
      <c r="AX212" s="511"/>
      <c r="AY212" s="511">
        <v>5304500</v>
      </c>
      <c r="AZ212" s="511"/>
      <c r="BA212" s="511">
        <f>SUM(AR212:AZ212)</f>
        <v>5304500</v>
      </c>
      <c r="BB212" s="78"/>
      <c r="BC212" s="78"/>
      <c r="BD212" s="78"/>
      <c r="BE212" s="78"/>
      <c r="BF212" s="78"/>
      <c r="BG212" s="78"/>
      <c r="BH212" s="78"/>
      <c r="BI212" s="511">
        <v>5500000</v>
      </c>
      <c r="BJ212" s="511"/>
      <c r="BK212" s="511">
        <f>SUM(BB212:BI212)</f>
        <v>5500000</v>
      </c>
      <c r="BL212" s="603">
        <f>AG212+AQ212+BA212+BK212</f>
        <v>20954500</v>
      </c>
    </row>
    <row r="213" spans="1:64" ht="71.25" customHeight="1" x14ac:dyDescent="0.2">
      <c r="A213" s="74">
        <v>148</v>
      </c>
      <c r="B213" s="56">
        <v>3</v>
      </c>
      <c r="C213" s="124"/>
      <c r="D213" s="124"/>
      <c r="E213" s="506"/>
      <c r="F213" s="492"/>
      <c r="G213" s="195"/>
      <c r="H213" s="195"/>
      <c r="I213" s="64">
        <v>148</v>
      </c>
      <c r="J213" s="60" t="s">
        <v>511</v>
      </c>
      <c r="K213" s="257" t="s">
        <v>512</v>
      </c>
      <c r="L213" s="512" t="s">
        <v>442</v>
      </c>
      <c r="M213" s="512">
        <v>2</v>
      </c>
      <c r="N213" s="449" t="s">
        <v>54</v>
      </c>
      <c r="O213" s="65" t="s">
        <v>49</v>
      </c>
      <c r="P213" s="65">
        <v>11</v>
      </c>
      <c r="Q213" s="508">
        <v>11</v>
      </c>
      <c r="R213" s="528">
        <v>11</v>
      </c>
      <c r="S213" s="528">
        <v>11</v>
      </c>
      <c r="T213" s="528">
        <v>11</v>
      </c>
      <c r="U213" s="211">
        <f>AG213/AG211</f>
        <v>0.5</v>
      </c>
      <c r="V213" s="65">
        <v>3</v>
      </c>
      <c r="W213" s="62" t="s">
        <v>453</v>
      </c>
      <c r="X213" s="176"/>
      <c r="Y213" s="176"/>
      <c r="Z213" s="176"/>
      <c r="AA213" s="176"/>
      <c r="AB213" s="176"/>
      <c r="AC213" s="176"/>
      <c r="AD213" s="176"/>
      <c r="AE213" s="176">
        <v>5000000</v>
      </c>
      <c r="AF213" s="176"/>
      <c r="AG213" s="69">
        <f>+X213+Y213+Z213+AA213+AB213+AC213+AD213+AE213+AF213</f>
        <v>5000000</v>
      </c>
      <c r="AH213" s="78"/>
      <c r="AI213" s="78"/>
      <c r="AJ213" s="78"/>
      <c r="AK213" s="78"/>
      <c r="AL213" s="78"/>
      <c r="AM213" s="78"/>
      <c r="AN213" s="78"/>
      <c r="AO213" s="511">
        <v>5150000</v>
      </c>
      <c r="AP213" s="78"/>
      <c r="AQ213" s="71">
        <f>AH213+AI213+AJ213+AK213+AL213+AM213+AN213+AO213+AP213</f>
        <v>5150000</v>
      </c>
      <c r="AR213" s="511"/>
      <c r="AS213" s="511"/>
      <c r="AT213" s="511"/>
      <c r="AU213" s="511"/>
      <c r="AV213" s="511"/>
      <c r="AW213" s="511"/>
      <c r="AX213" s="511"/>
      <c r="AY213" s="511">
        <v>5304500</v>
      </c>
      <c r="AZ213" s="511"/>
      <c r="BA213" s="511">
        <f>SUM(AR213:AZ213)</f>
        <v>5304500</v>
      </c>
      <c r="BB213" s="78"/>
      <c r="BC213" s="78"/>
      <c r="BD213" s="78"/>
      <c r="BE213" s="78"/>
      <c r="BF213" s="78"/>
      <c r="BG213" s="78"/>
      <c r="BH213" s="78"/>
      <c r="BI213" s="511">
        <v>5427270</v>
      </c>
      <c r="BJ213" s="511"/>
      <c r="BK213" s="511">
        <f>SUM(BB213:BI213)</f>
        <v>5427270</v>
      </c>
      <c r="BL213" s="603">
        <f>AG213+AQ213+BA213+BK213</f>
        <v>20881770</v>
      </c>
    </row>
    <row r="214" spans="1:64" ht="24.75" customHeight="1" thickBot="1" x14ac:dyDescent="0.25">
      <c r="A214" s="74"/>
      <c r="B214" s="56"/>
      <c r="C214" s="124"/>
      <c r="D214" s="124"/>
      <c r="E214" s="44">
        <v>42</v>
      </c>
      <c r="F214" s="45" t="s">
        <v>513</v>
      </c>
      <c r="G214" s="84"/>
      <c r="H214" s="84"/>
      <c r="I214" s="47"/>
      <c r="J214" s="84"/>
      <c r="K214" s="84"/>
      <c r="L214" s="47"/>
      <c r="M214" s="47"/>
      <c r="N214" s="85"/>
      <c r="O214" s="84"/>
      <c r="P214" s="84"/>
      <c r="Q214" s="86"/>
      <c r="R214" s="84"/>
      <c r="S214" s="84"/>
      <c r="T214" s="47"/>
      <c r="U214" s="87"/>
      <c r="V214" s="47"/>
      <c r="W214" s="47"/>
      <c r="X214" s="88">
        <f t="shared" ref="X214:AF214" si="304">SUM(X215:X216)</f>
        <v>0</v>
      </c>
      <c r="Y214" s="88">
        <f t="shared" si="304"/>
        <v>0</v>
      </c>
      <c r="Z214" s="88">
        <f t="shared" si="304"/>
        <v>0</v>
      </c>
      <c r="AA214" s="88">
        <f t="shared" si="304"/>
        <v>0</v>
      </c>
      <c r="AB214" s="88">
        <f t="shared" si="304"/>
        <v>0</v>
      </c>
      <c r="AC214" s="88">
        <f t="shared" si="304"/>
        <v>0</v>
      </c>
      <c r="AD214" s="88">
        <f t="shared" si="304"/>
        <v>0</v>
      </c>
      <c r="AE214" s="88">
        <f t="shared" si="304"/>
        <v>50000000</v>
      </c>
      <c r="AF214" s="88">
        <f t="shared" si="304"/>
        <v>0</v>
      </c>
      <c r="AG214" s="89">
        <f>SUM(AG215:AG216)</f>
        <v>50000000</v>
      </c>
      <c r="AH214" s="88">
        <f t="shared" ref="AH214:AQ214" si="305">SUM(AH215:AH216)</f>
        <v>0</v>
      </c>
      <c r="AI214" s="88">
        <f t="shared" si="305"/>
        <v>0</v>
      </c>
      <c r="AJ214" s="88">
        <f t="shared" si="305"/>
        <v>0</v>
      </c>
      <c r="AK214" s="88">
        <f t="shared" si="305"/>
        <v>0</v>
      </c>
      <c r="AL214" s="88">
        <f t="shared" si="305"/>
        <v>0</v>
      </c>
      <c r="AM214" s="88">
        <f t="shared" si="305"/>
        <v>0</v>
      </c>
      <c r="AN214" s="88">
        <f t="shared" si="305"/>
        <v>0</v>
      </c>
      <c r="AO214" s="88">
        <f t="shared" si="305"/>
        <v>51500000</v>
      </c>
      <c r="AP214" s="88">
        <f t="shared" si="305"/>
        <v>0</v>
      </c>
      <c r="AQ214" s="88">
        <f t="shared" si="305"/>
        <v>51500000</v>
      </c>
      <c r="AR214" s="90"/>
      <c r="AS214" s="90"/>
      <c r="AT214" s="90"/>
      <c r="AU214" s="90"/>
      <c r="AV214" s="90"/>
      <c r="AW214" s="90"/>
      <c r="AX214" s="90"/>
      <c r="AY214" s="90"/>
      <c r="AZ214" s="90"/>
      <c r="BA214" s="88">
        <f t="shared" ref="BA214" si="306">SUM(BA215:BA216)</f>
        <v>53045000</v>
      </c>
      <c r="BB214" s="90"/>
      <c r="BC214" s="90"/>
      <c r="BD214" s="90"/>
      <c r="BE214" s="90"/>
      <c r="BF214" s="90"/>
      <c r="BG214" s="90"/>
      <c r="BH214" s="90"/>
      <c r="BI214" s="90"/>
      <c r="BJ214" s="90"/>
      <c r="BK214" s="88">
        <f t="shared" ref="BK214:BL214" si="307">SUM(BK215:BK216)</f>
        <v>54636350</v>
      </c>
      <c r="BL214" s="88">
        <f t="shared" si="307"/>
        <v>209181350</v>
      </c>
    </row>
    <row r="215" spans="1:64" ht="164.25" customHeight="1" x14ac:dyDescent="0.2">
      <c r="A215" s="56">
        <v>149</v>
      </c>
      <c r="B215" s="56">
        <v>3</v>
      </c>
      <c r="C215" s="124"/>
      <c r="D215" s="124"/>
      <c r="E215" s="81" t="s">
        <v>514</v>
      </c>
      <c r="F215" s="263" t="s">
        <v>515</v>
      </c>
      <c r="G215" s="64" t="s">
        <v>516</v>
      </c>
      <c r="H215" s="64" t="s">
        <v>517</v>
      </c>
      <c r="I215" s="64">
        <v>149</v>
      </c>
      <c r="J215" s="60" t="s">
        <v>518</v>
      </c>
      <c r="K215" s="257" t="s">
        <v>519</v>
      </c>
      <c r="L215" s="153" t="s">
        <v>442</v>
      </c>
      <c r="M215" s="294">
        <v>2</v>
      </c>
      <c r="N215" s="286" t="s">
        <v>54</v>
      </c>
      <c r="O215" s="65" t="s">
        <v>49</v>
      </c>
      <c r="P215" s="65">
        <v>8</v>
      </c>
      <c r="Q215" s="287">
        <v>8</v>
      </c>
      <c r="R215" s="288">
        <v>8</v>
      </c>
      <c r="S215" s="288">
        <v>8</v>
      </c>
      <c r="T215" s="288">
        <v>8</v>
      </c>
      <c r="U215" s="295">
        <f>AG215/AG214</f>
        <v>0.75</v>
      </c>
      <c r="V215" s="65">
        <v>8</v>
      </c>
      <c r="W215" s="157" t="s">
        <v>131</v>
      </c>
      <c r="X215" s="161"/>
      <c r="Y215" s="161"/>
      <c r="Z215" s="161"/>
      <c r="AA215" s="161"/>
      <c r="AB215" s="161"/>
      <c r="AC215" s="161"/>
      <c r="AD215" s="161"/>
      <c r="AE215" s="96">
        <f>10000000+27500000</f>
        <v>37500000</v>
      </c>
      <c r="AF215" s="161"/>
      <c r="AG215" s="69">
        <f>+X215+Y215+Z215+AA215+AB215+AC215+AD215+AE215+AF215</f>
        <v>37500000</v>
      </c>
      <c r="AH215" s="78"/>
      <c r="AI215" s="78"/>
      <c r="AJ215" s="78"/>
      <c r="AK215" s="78"/>
      <c r="AL215" s="78"/>
      <c r="AM215" s="78"/>
      <c r="AN215" s="78"/>
      <c r="AO215" s="511">
        <v>38625000</v>
      </c>
      <c r="AP215" s="78"/>
      <c r="AQ215" s="71">
        <f>AH215+AI215+AJ215+AK215+AL215+AM215+AN215+AO215+AP215</f>
        <v>38625000</v>
      </c>
      <c r="AR215" s="511"/>
      <c r="AS215" s="511"/>
      <c r="AT215" s="511"/>
      <c r="AU215" s="511"/>
      <c r="AV215" s="511"/>
      <c r="AW215" s="511"/>
      <c r="AX215" s="511"/>
      <c r="AY215" s="511">
        <v>39783750</v>
      </c>
      <c r="AZ215" s="511"/>
      <c r="BA215" s="511">
        <f>SUM(AR215:AZ215)</f>
        <v>39783750</v>
      </c>
      <c r="BB215" s="78"/>
      <c r="BC215" s="78"/>
      <c r="BD215" s="78"/>
      <c r="BE215" s="78"/>
      <c r="BF215" s="78"/>
      <c r="BG215" s="78"/>
      <c r="BH215" s="78"/>
      <c r="BI215" s="511">
        <v>40900000</v>
      </c>
      <c r="BJ215" s="511"/>
      <c r="BK215" s="78">
        <f>SUM(BB215:BJ215)</f>
        <v>40900000</v>
      </c>
      <c r="BL215" s="603">
        <f>AG215+AQ215+BA215+BK215</f>
        <v>156808750</v>
      </c>
    </row>
    <row r="216" spans="1:64" ht="162" customHeight="1" x14ac:dyDescent="0.2">
      <c r="A216" s="74">
        <v>150</v>
      </c>
      <c r="B216" s="56">
        <v>3</v>
      </c>
      <c r="C216" s="124"/>
      <c r="D216" s="124"/>
      <c r="E216" s="506">
        <v>28</v>
      </c>
      <c r="F216" s="214" t="s">
        <v>520</v>
      </c>
      <c r="G216" s="280">
        <v>0.5</v>
      </c>
      <c r="H216" s="280">
        <v>1</v>
      </c>
      <c r="I216" s="64">
        <v>150</v>
      </c>
      <c r="J216" s="60" t="s">
        <v>521</v>
      </c>
      <c r="K216" s="257" t="s">
        <v>522</v>
      </c>
      <c r="L216" s="153" t="s">
        <v>442</v>
      </c>
      <c r="M216" s="294">
        <v>2</v>
      </c>
      <c r="N216" s="286" t="s">
        <v>54</v>
      </c>
      <c r="O216" s="65">
        <v>0</v>
      </c>
      <c r="P216" s="65">
        <v>14</v>
      </c>
      <c r="Q216" s="277">
        <v>14</v>
      </c>
      <c r="R216" s="275">
        <v>14</v>
      </c>
      <c r="S216" s="275">
        <v>14</v>
      </c>
      <c r="T216" s="275">
        <v>14</v>
      </c>
      <c r="U216" s="295">
        <f>AG216/AG214</f>
        <v>0.25</v>
      </c>
      <c r="V216" s="65">
        <v>3</v>
      </c>
      <c r="W216" s="157" t="s">
        <v>453</v>
      </c>
      <c r="X216" s="161"/>
      <c r="Y216" s="161"/>
      <c r="Z216" s="161"/>
      <c r="AA216" s="161"/>
      <c r="AB216" s="161"/>
      <c r="AC216" s="161"/>
      <c r="AD216" s="161"/>
      <c r="AE216" s="96">
        <v>12500000</v>
      </c>
      <c r="AF216" s="161"/>
      <c r="AG216" s="69">
        <f>+X216+Y216+Z216+AA216+AB216+AC216+AD216+AE216+AF216</f>
        <v>12500000</v>
      </c>
      <c r="AH216" s="78"/>
      <c r="AI216" s="78"/>
      <c r="AJ216" s="78"/>
      <c r="AK216" s="78"/>
      <c r="AL216" s="78"/>
      <c r="AM216" s="78"/>
      <c r="AN216" s="78"/>
      <c r="AO216" s="511">
        <v>12875000</v>
      </c>
      <c r="AP216" s="78"/>
      <c r="AQ216" s="71">
        <f>AH216+AI216+AJ216+AK216+AL216+AM216+AN216+AO216+AP216</f>
        <v>12875000</v>
      </c>
      <c r="AR216" s="511"/>
      <c r="AS216" s="511"/>
      <c r="AT216" s="511"/>
      <c r="AU216" s="511"/>
      <c r="AV216" s="511"/>
      <c r="AW216" s="511"/>
      <c r="AX216" s="511"/>
      <c r="AY216" s="511">
        <v>13261250</v>
      </c>
      <c r="AZ216" s="511"/>
      <c r="BA216" s="511">
        <f>SUM(AR216:AZ216)</f>
        <v>13261250</v>
      </c>
      <c r="BB216" s="78"/>
      <c r="BC216" s="78"/>
      <c r="BD216" s="78"/>
      <c r="BE216" s="78"/>
      <c r="BF216" s="78"/>
      <c r="BG216" s="78"/>
      <c r="BH216" s="78"/>
      <c r="BI216" s="511">
        <v>13736350</v>
      </c>
      <c r="BJ216" s="511"/>
      <c r="BK216" s="78">
        <f>SUM(BB216:BJ216)</f>
        <v>13736350</v>
      </c>
      <c r="BL216" s="603">
        <f>AG216+AQ216+BA216+BK216</f>
        <v>52372600</v>
      </c>
    </row>
    <row r="217" spans="1:64" ht="24.75" customHeight="1" x14ac:dyDescent="0.2">
      <c r="A217" s="74"/>
      <c r="B217" s="56"/>
      <c r="C217" s="124"/>
      <c r="D217" s="124"/>
      <c r="E217" s="44">
        <v>43</v>
      </c>
      <c r="F217" s="45" t="s">
        <v>523</v>
      </c>
      <c r="G217" s="48"/>
      <c r="H217" s="48"/>
      <c r="I217" s="47"/>
      <c r="J217" s="48"/>
      <c r="K217" s="48"/>
      <c r="L217" s="429"/>
      <c r="M217" s="430"/>
      <c r="N217" s="431"/>
      <c r="O217" s="48"/>
      <c r="P217" s="48"/>
      <c r="Q217" s="155"/>
      <c r="R217" s="156"/>
      <c r="S217" s="156"/>
      <c r="T217" s="430"/>
      <c r="U217" s="125"/>
      <c r="V217" s="49"/>
      <c r="W217" s="49"/>
      <c r="X217" s="53">
        <f t="shared" ref="X217:AF217" si="308">SUM(X218:X220)</f>
        <v>0</v>
      </c>
      <c r="Y217" s="53">
        <f t="shared" si="308"/>
        <v>1159435758</v>
      </c>
      <c r="Z217" s="53">
        <f t="shared" si="308"/>
        <v>150000000</v>
      </c>
      <c r="AA217" s="53">
        <f t="shared" si="308"/>
        <v>0</v>
      </c>
      <c r="AB217" s="53">
        <f t="shared" si="308"/>
        <v>0</v>
      </c>
      <c r="AC217" s="53">
        <f t="shared" si="308"/>
        <v>0</v>
      </c>
      <c r="AD217" s="53">
        <f t="shared" si="308"/>
        <v>0</v>
      </c>
      <c r="AE217" s="53">
        <f t="shared" si="308"/>
        <v>76771008</v>
      </c>
      <c r="AF217" s="53">
        <f t="shared" si="308"/>
        <v>0</v>
      </c>
      <c r="AG217" s="54">
        <f>SUM(AG218:AG220)</f>
        <v>1386206766</v>
      </c>
      <c r="AH217" s="53">
        <f t="shared" ref="AH217:AQ217" si="309">SUM(AH218:AH220)</f>
        <v>0</v>
      </c>
      <c r="AI217" s="53">
        <f t="shared" si="309"/>
        <v>717874879</v>
      </c>
      <c r="AJ217" s="53">
        <f t="shared" si="309"/>
        <v>100000000</v>
      </c>
      <c r="AK217" s="53">
        <f t="shared" si="309"/>
        <v>0</v>
      </c>
      <c r="AL217" s="53">
        <f t="shared" si="309"/>
        <v>0</v>
      </c>
      <c r="AM217" s="53">
        <f t="shared" si="309"/>
        <v>0</v>
      </c>
      <c r="AN217" s="53">
        <f t="shared" si="309"/>
        <v>0</v>
      </c>
      <c r="AO217" s="53">
        <f t="shared" si="309"/>
        <v>84258044</v>
      </c>
      <c r="AP217" s="53">
        <f t="shared" si="309"/>
        <v>0</v>
      </c>
      <c r="AQ217" s="53">
        <f t="shared" si="309"/>
        <v>902132923</v>
      </c>
      <c r="AR217" s="55"/>
      <c r="AS217" s="55"/>
      <c r="AT217" s="55"/>
      <c r="AU217" s="55"/>
      <c r="AV217" s="55"/>
      <c r="AW217" s="55"/>
      <c r="AX217" s="55"/>
      <c r="AY217" s="55"/>
      <c r="AZ217" s="55"/>
      <c r="BA217" s="53">
        <f t="shared" ref="BA217" si="310">SUM(BA218:BA220)</f>
        <v>826196910</v>
      </c>
      <c r="BB217" s="90"/>
      <c r="BC217" s="90"/>
      <c r="BD217" s="90"/>
      <c r="BE217" s="90"/>
      <c r="BF217" s="90"/>
      <c r="BG217" s="90"/>
      <c r="BH217" s="90"/>
      <c r="BI217" s="90"/>
      <c r="BJ217" s="90"/>
      <c r="BK217" s="53">
        <f t="shared" ref="BK217:BL217" si="311">SUM(BK218:BK220)</f>
        <v>850982817</v>
      </c>
      <c r="BL217" s="53">
        <f t="shared" si="311"/>
        <v>3965519416</v>
      </c>
    </row>
    <row r="218" spans="1:64" ht="408.75" customHeight="1" x14ac:dyDescent="0.2">
      <c r="A218" s="56">
        <v>151</v>
      </c>
      <c r="B218" s="56">
        <v>3</v>
      </c>
      <c r="C218" s="124"/>
      <c r="D218" s="124"/>
      <c r="E218" s="510" t="s">
        <v>524</v>
      </c>
      <c r="F218" s="656" t="s">
        <v>525</v>
      </c>
      <c r="G218" s="639">
        <v>0</v>
      </c>
      <c r="H218" s="639">
        <v>1</v>
      </c>
      <c r="I218" s="64">
        <v>151</v>
      </c>
      <c r="J218" s="60" t="s">
        <v>526</v>
      </c>
      <c r="K218" s="257" t="s">
        <v>527</v>
      </c>
      <c r="L218" s="153" t="s">
        <v>442</v>
      </c>
      <c r="M218" s="294">
        <v>2</v>
      </c>
      <c r="N218" s="275" t="s">
        <v>54</v>
      </c>
      <c r="O218" s="65" t="s">
        <v>49</v>
      </c>
      <c r="P218" s="65">
        <v>12</v>
      </c>
      <c r="Q218" s="277">
        <v>12</v>
      </c>
      <c r="R218" s="275">
        <v>12</v>
      </c>
      <c r="S218" s="275">
        <v>12</v>
      </c>
      <c r="T218" s="275">
        <v>12</v>
      </c>
      <c r="U218" s="295">
        <f>AG218/$AG$217</f>
        <v>0.10820896541490406</v>
      </c>
      <c r="V218" s="65">
        <v>3</v>
      </c>
      <c r="W218" s="157" t="s">
        <v>453</v>
      </c>
      <c r="X218" s="161"/>
      <c r="Y218" s="161"/>
      <c r="Z218" s="96">
        <v>150000000</v>
      </c>
      <c r="AA218" s="161"/>
      <c r="AB218" s="161"/>
      <c r="AC218" s="161"/>
      <c r="AD218" s="161"/>
      <c r="AE218" s="161"/>
      <c r="AF218" s="161"/>
      <c r="AG218" s="69">
        <f>+X218+Y218+Z218+AA218+AB218+AC218+AD218+AE218+AF218</f>
        <v>150000000</v>
      </c>
      <c r="AH218" s="78"/>
      <c r="AI218" s="511"/>
      <c r="AJ218" s="511"/>
      <c r="AK218" s="78"/>
      <c r="AL218" s="78"/>
      <c r="AM218" s="78"/>
      <c r="AN218" s="78"/>
      <c r="AO218" s="78"/>
      <c r="AP218" s="78"/>
      <c r="AQ218" s="71">
        <f>AH218+AI218+AJ218+AK218+AL218+AM218+AN218+AO218+AP218</f>
        <v>0</v>
      </c>
      <c r="AR218" s="511"/>
      <c r="AS218" s="511">
        <v>48314215.431800008</v>
      </c>
      <c r="AT218" s="511"/>
      <c r="AU218" s="511"/>
      <c r="AV218" s="511"/>
      <c r="AW218" s="511"/>
      <c r="AX218" s="511"/>
      <c r="AY218" s="511">
        <v>41085784.568199992</v>
      </c>
      <c r="AZ218" s="511"/>
      <c r="BA218" s="511">
        <f>SUM(AR218:AZ218)</f>
        <v>89400000</v>
      </c>
      <c r="BB218" s="78"/>
      <c r="BC218" s="99">
        <v>49710642</v>
      </c>
      <c r="BD218" s="78"/>
      <c r="BE218" s="78"/>
      <c r="BF218" s="78"/>
      <c r="BG218" s="78"/>
      <c r="BH218" s="78"/>
      <c r="BI218" s="78">
        <v>42289358</v>
      </c>
      <c r="BJ218" s="78"/>
      <c r="BK218" s="78">
        <f>SUM(BB218:BJ218)</f>
        <v>92000000</v>
      </c>
      <c r="BL218" s="603">
        <f>AG218+AQ218+BA218+BK218</f>
        <v>331400000</v>
      </c>
    </row>
    <row r="219" spans="1:64" ht="98.25" customHeight="1" x14ac:dyDescent="0.2">
      <c r="A219" s="74">
        <v>152</v>
      </c>
      <c r="B219" s="56">
        <v>3</v>
      </c>
      <c r="C219" s="124"/>
      <c r="D219" s="124"/>
      <c r="E219" s="79"/>
      <c r="F219" s="657"/>
      <c r="G219" s="640"/>
      <c r="H219" s="640"/>
      <c r="I219" s="64">
        <v>152</v>
      </c>
      <c r="J219" s="60" t="s">
        <v>528</v>
      </c>
      <c r="K219" s="257" t="s">
        <v>441</v>
      </c>
      <c r="L219" s="153" t="s">
        <v>442</v>
      </c>
      <c r="M219" s="294">
        <v>2</v>
      </c>
      <c r="N219" s="275" t="s">
        <v>54</v>
      </c>
      <c r="O219" s="65" t="s">
        <v>49</v>
      </c>
      <c r="P219" s="65">
        <v>1</v>
      </c>
      <c r="Q219" s="508">
        <v>1</v>
      </c>
      <c r="R219" s="528">
        <v>1</v>
      </c>
      <c r="S219" s="528">
        <v>1</v>
      </c>
      <c r="T219" s="528">
        <v>1</v>
      </c>
      <c r="U219" s="295">
        <f>AG219/$AG$217</f>
        <v>5.5382075663595487E-2</v>
      </c>
      <c r="V219" s="65">
        <v>3</v>
      </c>
      <c r="W219" s="157" t="s">
        <v>453</v>
      </c>
      <c r="X219" s="161"/>
      <c r="Y219" s="161"/>
      <c r="Z219" s="161"/>
      <c r="AA219" s="161"/>
      <c r="AB219" s="161"/>
      <c r="AC219" s="161"/>
      <c r="AD219" s="161"/>
      <c r="AE219" s="96">
        <v>76771008</v>
      </c>
      <c r="AF219" s="161"/>
      <c r="AG219" s="69">
        <f>+X219+Y219+Z219+AA219+AB219+AC219+AD219+AE219+AF219</f>
        <v>76771008</v>
      </c>
      <c r="AH219" s="78"/>
      <c r="AI219" s="511"/>
      <c r="AJ219" s="78">
        <f>100000000-AJ218</f>
        <v>100000000</v>
      </c>
      <c r="AK219" s="78"/>
      <c r="AL219" s="78"/>
      <c r="AM219" s="78"/>
      <c r="AN219" s="78"/>
      <c r="AO219" s="78">
        <v>84258044</v>
      </c>
      <c r="AP219" s="78"/>
      <c r="AQ219" s="71">
        <f>AH219+AI219+AJ219+AK219+AL219+AM219+AN219+AO219+AP219</f>
        <v>184258044</v>
      </c>
      <c r="AR219" s="511"/>
      <c r="AS219" s="296" t="s">
        <v>61</v>
      </c>
      <c r="AT219" s="511"/>
      <c r="AU219" s="511"/>
      <c r="AV219" s="511"/>
      <c r="AW219" s="511"/>
      <c r="AX219" s="511"/>
      <c r="AY219" s="511">
        <v>45700000</v>
      </c>
      <c r="AZ219" s="511"/>
      <c r="BA219" s="511">
        <f>SUM(AR219:AZ219)</f>
        <v>45700000</v>
      </c>
      <c r="BB219" s="78"/>
      <c r="BC219" s="78"/>
      <c r="BD219" s="78"/>
      <c r="BE219" s="78"/>
      <c r="BF219" s="78"/>
      <c r="BG219" s="78"/>
      <c r="BH219" s="78"/>
      <c r="BI219" s="78">
        <v>47100000</v>
      </c>
      <c r="BJ219" s="78"/>
      <c r="BK219" s="78">
        <f>SUM(BB219:BJ219)</f>
        <v>47100000</v>
      </c>
      <c r="BL219" s="603">
        <f>AG219+AQ219+BA219+BK219</f>
        <v>353829052</v>
      </c>
    </row>
    <row r="220" spans="1:64" ht="233.25" customHeight="1" x14ac:dyDescent="0.2">
      <c r="A220" s="56">
        <v>153</v>
      </c>
      <c r="B220" s="56">
        <v>3</v>
      </c>
      <c r="C220" s="124"/>
      <c r="D220" s="124"/>
      <c r="E220" s="506" t="s">
        <v>529</v>
      </c>
      <c r="F220" s="517" t="s">
        <v>530</v>
      </c>
      <c r="G220" s="227">
        <v>0</v>
      </c>
      <c r="H220" s="227">
        <v>1</v>
      </c>
      <c r="I220" s="64">
        <v>153</v>
      </c>
      <c r="J220" s="60" t="s">
        <v>531</v>
      </c>
      <c r="K220" s="257" t="s">
        <v>532</v>
      </c>
      <c r="L220" s="153" t="s">
        <v>442</v>
      </c>
      <c r="M220" s="294">
        <v>2</v>
      </c>
      <c r="N220" s="275" t="s">
        <v>54</v>
      </c>
      <c r="O220" s="65" t="s">
        <v>49</v>
      </c>
      <c r="P220" s="81">
        <v>150</v>
      </c>
      <c r="Q220" s="277">
        <v>150</v>
      </c>
      <c r="R220" s="275">
        <v>150</v>
      </c>
      <c r="S220" s="275">
        <v>150</v>
      </c>
      <c r="T220" s="275">
        <v>150</v>
      </c>
      <c r="U220" s="295">
        <f>AG220/$AG$217</f>
        <v>0.83640895892150047</v>
      </c>
      <c r="V220" s="65">
        <v>3</v>
      </c>
      <c r="W220" s="157" t="s">
        <v>453</v>
      </c>
      <c r="X220" s="161"/>
      <c r="Y220" s="500">
        <v>1159435758</v>
      </c>
      <c r="Z220" s="161"/>
      <c r="AA220" s="161"/>
      <c r="AB220" s="161"/>
      <c r="AC220" s="161"/>
      <c r="AD220" s="161"/>
      <c r="AE220" s="161"/>
      <c r="AF220" s="161"/>
      <c r="AG220" s="69">
        <f>+X220+Y220+Z220+AA220+AB220+AC220+AD220+AE220+AF220</f>
        <v>1159435758</v>
      </c>
      <c r="AH220" s="78"/>
      <c r="AI220" s="99">
        <v>717874879</v>
      </c>
      <c r="AJ220" s="78"/>
      <c r="AK220" s="78"/>
      <c r="AL220" s="78"/>
      <c r="AM220" s="78"/>
      <c r="AN220" s="78"/>
      <c r="AO220" s="78"/>
      <c r="AP220" s="78"/>
      <c r="AQ220" s="71">
        <f>AH220+AI220+AJ220+AK220+AL220+AM220+AN220+AO220+AP220</f>
        <v>717874879</v>
      </c>
      <c r="AR220" s="511"/>
      <c r="AS220" s="511">
        <v>691096910</v>
      </c>
      <c r="AT220" s="511"/>
      <c r="AU220" s="511"/>
      <c r="AV220" s="511"/>
      <c r="AW220" s="511"/>
      <c r="AX220" s="511"/>
      <c r="AY220" s="511"/>
      <c r="AZ220" s="511"/>
      <c r="BA220" s="511">
        <f>SUM(AR220:AZ220)</f>
        <v>691096910</v>
      </c>
      <c r="BB220" s="78"/>
      <c r="BC220" s="78">
        <v>711882817</v>
      </c>
      <c r="BD220" s="78"/>
      <c r="BE220" s="78"/>
      <c r="BF220" s="78"/>
      <c r="BG220" s="78"/>
      <c r="BH220" s="78"/>
      <c r="BI220" s="78" t="s">
        <v>61</v>
      </c>
      <c r="BJ220" s="78"/>
      <c r="BK220" s="78">
        <f>SUM(BB220:BJ220)</f>
        <v>711882817</v>
      </c>
      <c r="BL220" s="603">
        <f>AG220+AQ220+BA220+BK220</f>
        <v>3280290364</v>
      </c>
    </row>
    <row r="221" spans="1:64" ht="24.75" customHeight="1" x14ac:dyDescent="0.2">
      <c r="A221" s="56"/>
      <c r="B221" s="56"/>
      <c r="C221" s="124"/>
      <c r="D221" s="124"/>
      <c r="E221" s="44">
        <v>44</v>
      </c>
      <c r="F221" s="45" t="s">
        <v>533</v>
      </c>
      <c r="G221" s="48"/>
      <c r="H221" s="48"/>
      <c r="I221" s="47"/>
      <c r="J221" s="48"/>
      <c r="K221" s="48"/>
      <c r="L221" s="44"/>
      <c r="M221" s="221"/>
      <c r="N221" s="431"/>
      <c r="O221" s="48"/>
      <c r="P221" s="48"/>
      <c r="Q221" s="155"/>
      <c r="R221" s="156"/>
      <c r="S221" s="156"/>
      <c r="T221" s="430"/>
      <c r="U221" s="125"/>
      <c r="V221" s="49"/>
      <c r="W221" s="49"/>
      <c r="X221" s="54">
        <f t="shared" ref="X221:AE221" si="312">SUM(X222:X225)</f>
        <v>0</v>
      </c>
      <c r="Y221" s="54">
        <f t="shared" si="312"/>
        <v>0</v>
      </c>
      <c r="Z221" s="54">
        <f t="shared" si="312"/>
        <v>40000000</v>
      </c>
      <c r="AA221" s="54">
        <f t="shared" si="312"/>
        <v>0</v>
      </c>
      <c r="AB221" s="54">
        <f t="shared" si="312"/>
        <v>0</v>
      </c>
      <c r="AC221" s="54">
        <f t="shared" si="312"/>
        <v>0</v>
      </c>
      <c r="AD221" s="54">
        <f t="shared" si="312"/>
        <v>0</v>
      </c>
      <c r="AE221" s="54">
        <f t="shared" si="312"/>
        <v>210007383</v>
      </c>
      <c r="AF221" s="54">
        <f t="shared" ref="AF221:AM221" si="313">SUM(AF222:AF225)</f>
        <v>0</v>
      </c>
      <c r="AG221" s="54">
        <f t="shared" si="313"/>
        <v>250007383</v>
      </c>
      <c r="AH221" s="54">
        <f t="shared" si="313"/>
        <v>0</v>
      </c>
      <c r="AI221" s="54">
        <f t="shared" si="313"/>
        <v>0</v>
      </c>
      <c r="AJ221" s="54">
        <f t="shared" si="313"/>
        <v>30000000</v>
      </c>
      <c r="AK221" s="54">
        <f t="shared" si="313"/>
        <v>0</v>
      </c>
      <c r="AL221" s="54">
        <f t="shared" si="313"/>
        <v>0</v>
      </c>
      <c r="AM221" s="54">
        <f t="shared" si="313"/>
        <v>0</v>
      </c>
      <c r="AN221" s="54">
        <f t="shared" ref="AN221:AQ221" si="314">SUM(AN222:AN225)</f>
        <v>0</v>
      </c>
      <c r="AO221" s="54">
        <f t="shared" si="314"/>
        <v>216307604</v>
      </c>
      <c r="AP221" s="54">
        <f t="shared" si="314"/>
        <v>0</v>
      </c>
      <c r="AQ221" s="54">
        <f t="shared" si="314"/>
        <v>246307604</v>
      </c>
      <c r="AR221" s="55"/>
      <c r="AS221" s="55"/>
      <c r="AT221" s="55"/>
      <c r="AU221" s="55"/>
      <c r="AV221" s="55"/>
      <c r="AW221" s="55"/>
      <c r="AX221" s="55"/>
      <c r="AY221" s="55"/>
      <c r="AZ221" s="55"/>
      <c r="BA221" s="54">
        <f>SUM(BA222:BA225)</f>
        <v>252796832.99691775</v>
      </c>
      <c r="BB221" s="90"/>
      <c r="BC221" s="90"/>
      <c r="BD221" s="90"/>
      <c r="BE221" s="90"/>
      <c r="BF221" s="90"/>
      <c r="BG221" s="90"/>
      <c r="BH221" s="90"/>
      <c r="BI221" s="90"/>
      <c r="BJ221" s="90"/>
      <c r="BK221" s="54">
        <f>SUM(BK222:BK225)</f>
        <v>249480737.99512923</v>
      </c>
      <c r="BL221" s="609">
        <f>SUM(BL222:BL225)</f>
        <v>998592557.99204695</v>
      </c>
    </row>
    <row r="222" spans="1:64" ht="275.25" customHeight="1" x14ac:dyDescent="0.2">
      <c r="A222" s="74">
        <v>154</v>
      </c>
      <c r="B222" s="56">
        <v>3</v>
      </c>
      <c r="C222" s="124"/>
      <c r="D222" s="124"/>
      <c r="E222" s="81">
        <v>37</v>
      </c>
      <c r="F222" s="60" t="s">
        <v>534</v>
      </c>
      <c r="G222" s="64" t="s">
        <v>535</v>
      </c>
      <c r="H222" s="280">
        <v>0.6</v>
      </c>
      <c r="I222" s="64">
        <v>154</v>
      </c>
      <c r="J222" s="60" t="s">
        <v>536</v>
      </c>
      <c r="K222" s="257" t="s">
        <v>537</v>
      </c>
      <c r="L222" s="153" t="s">
        <v>442</v>
      </c>
      <c r="M222" s="294">
        <v>2</v>
      </c>
      <c r="N222" s="275" t="s">
        <v>54</v>
      </c>
      <c r="O222" s="65" t="s">
        <v>49</v>
      </c>
      <c r="P222" s="81">
        <v>5</v>
      </c>
      <c r="Q222" s="277">
        <v>5</v>
      </c>
      <c r="R222" s="275">
        <v>5</v>
      </c>
      <c r="S222" s="275">
        <v>5</v>
      </c>
      <c r="T222" s="275">
        <v>5</v>
      </c>
      <c r="U222" s="295">
        <f>AG222/AG221</f>
        <v>0.11999645626465359</v>
      </c>
      <c r="V222" s="65">
        <v>3</v>
      </c>
      <c r="W222" s="157" t="s">
        <v>453</v>
      </c>
      <c r="X222" s="161"/>
      <c r="Y222" s="161"/>
      <c r="Z222" s="161"/>
      <c r="AA222" s="161"/>
      <c r="AB222" s="161"/>
      <c r="AC222" s="161"/>
      <c r="AD222" s="161"/>
      <c r="AE222" s="96">
        <v>30000000</v>
      </c>
      <c r="AF222" s="161"/>
      <c r="AG222" s="69">
        <f>+X222+Y222+Z222+AA222+AB222+AC222+AD222+AE222+AF222</f>
        <v>30000000</v>
      </c>
      <c r="AH222" s="78"/>
      <c r="AI222" s="78"/>
      <c r="AJ222" s="78"/>
      <c r="AK222" s="78"/>
      <c r="AL222" s="78"/>
      <c r="AM222" s="78"/>
      <c r="AN222" s="78"/>
      <c r="AO222" s="511">
        <v>29500000</v>
      </c>
      <c r="AP222" s="78"/>
      <c r="AQ222" s="71">
        <f>AH222+AI222+AJ222+AK222+AL222+AM222+AN222+AO222+AP222</f>
        <v>29500000</v>
      </c>
      <c r="AR222" s="511"/>
      <c r="AS222" s="511"/>
      <c r="AT222" s="511"/>
      <c r="AU222" s="511"/>
      <c r="AV222" s="511"/>
      <c r="AW222" s="511"/>
      <c r="AX222" s="511"/>
      <c r="AY222" s="138">
        <v>30300000</v>
      </c>
      <c r="AZ222" s="511"/>
      <c r="BA222" s="138">
        <f>SUM(AR222:AZ222)</f>
        <v>30300000</v>
      </c>
      <c r="BB222" s="78"/>
      <c r="BC222" s="78"/>
      <c r="BD222" s="78"/>
      <c r="BE222" s="78"/>
      <c r="BF222" s="78"/>
      <c r="BG222" s="78"/>
      <c r="BH222" s="78"/>
      <c r="BI222" s="78">
        <v>29900000</v>
      </c>
      <c r="BJ222" s="78"/>
      <c r="BK222" s="78">
        <f>SUM(BB222:BJ222)</f>
        <v>29900000</v>
      </c>
      <c r="BL222" s="603">
        <f>AG222+AQ222+BA222+BK222</f>
        <v>119700000</v>
      </c>
    </row>
    <row r="223" spans="1:64" ht="323.25" customHeight="1" x14ac:dyDescent="0.2">
      <c r="A223" s="56">
        <v>155</v>
      </c>
      <c r="B223" s="56">
        <v>3</v>
      </c>
      <c r="C223" s="124"/>
      <c r="D223" s="124"/>
      <c r="E223" s="81">
        <v>13</v>
      </c>
      <c r="F223" s="297" t="s">
        <v>538</v>
      </c>
      <c r="G223" s="213" t="s">
        <v>539</v>
      </c>
      <c r="H223" s="58" t="s">
        <v>540</v>
      </c>
      <c r="I223" s="64">
        <v>155</v>
      </c>
      <c r="J223" s="60" t="s">
        <v>541</v>
      </c>
      <c r="K223" s="257" t="s">
        <v>542</v>
      </c>
      <c r="L223" s="153" t="s">
        <v>442</v>
      </c>
      <c r="M223" s="294">
        <v>2</v>
      </c>
      <c r="N223" s="286" t="s">
        <v>54</v>
      </c>
      <c r="O223" s="65">
        <v>0</v>
      </c>
      <c r="P223" s="81">
        <v>1</v>
      </c>
      <c r="Q223" s="277">
        <v>1</v>
      </c>
      <c r="R223" s="275">
        <v>1</v>
      </c>
      <c r="S223" s="275">
        <v>1</v>
      </c>
      <c r="T223" s="275">
        <v>1</v>
      </c>
      <c r="U223" s="295">
        <f>AG223/AG221</f>
        <v>0.25999232190674942</v>
      </c>
      <c r="V223" s="65">
        <v>16</v>
      </c>
      <c r="W223" s="157" t="s">
        <v>373</v>
      </c>
      <c r="X223" s="161"/>
      <c r="Y223" s="161"/>
      <c r="Z223" s="161">
        <v>40000000</v>
      </c>
      <c r="AA223" s="161"/>
      <c r="AB223" s="161"/>
      <c r="AC223" s="161"/>
      <c r="AD223" s="161"/>
      <c r="AE223" s="96">
        <v>25000000</v>
      </c>
      <c r="AF223" s="161"/>
      <c r="AG223" s="69">
        <f>+X223+Y223+Z223+AA223+AB223+AC223+AD223+AE223+AF223</f>
        <v>65000000</v>
      </c>
      <c r="AH223" s="78"/>
      <c r="AI223" s="78"/>
      <c r="AJ223" s="78">
        <v>30000000</v>
      </c>
      <c r="AK223" s="78"/>
      <c r="AL223" s="78"/>
      <c r="AM223" s="78"/>
      <c r="AN223" s="78"/>
      <c r="AO223" s="511">
        <v>34000000</v>
      </c>
      <c r="AP223" s="78"/>
      <c r="AQ223" s="71">
        <f>AH223+AI223+AJ223+AK223+AL223+AM223+AN223+AO223+AP223</f>
        <v>64000000</v>
      </c>
      <c r="AR223" s="511"/>
      <c r="AS223" s="511"/>
      <c r="AT223" s="511">
        <v>30000000</v>
      </c>
      <c r="AU223" s="511"/>
      <c r="AV223" s="511"/>
      <c r="AW223" s="511"/>
      <c r="AX223" s="511"/>
      <c r="AY223" s="138">
        <v>35700000</v>
      </c>
      <c r="AZ223" s="511"/>
      <c r="BA223" s="138">
        <f>SUM(AR223:AZ223)</f>
        <v>65700000</v>
      </c>
      <c r="BB223" s="78"/>
      <c r="BC223" s="78"/>
      <c r="BD223" s="78">
        <v>20000000</v>
      </c>
      <c r="BE223" s="78"/>
      <c r="BF223" s="78"/>
      <c r="BG223" s="78"/>
      <c r="BH223" s="78"/>
      <c r="BI223" s="78">
        <v>44800000</v>
      </c>
      <c r="BJ223" s="78"/>
      <c r="BK223" s="78">
        <f>SUM(BB223:BJ223)</f>
        <v>64800000</v>
      </c>
      <c r="BL223" s="603">
        <f>AG223+AQ223+BA223+BK223</f>
        <v>259500000</v>
      </c>
    </row>
    <row r="224" spans="1:64" ht="117" customHeight="1" x14ac:dyDescent="0.2">
      <c r="A224" s="74">
        <v>156</v>
      </c>
      <c r="B224" s="56">
        <v>3</v>
      </c>
      <c r="C224" s="124"/>
      <c r="D224" s="124"/>
      <c r="E224" s="65" t="s">
        <v>931</v>
      </c>
      <c r="F224" s="297" t="s">
        <v>543</v>
      </c>
      <c r="G224" s="213" t="s">
        <v>544</v>
      </c>
      <c r="H224" s="441" t="s">
        <v>544</v>
      </c>
      <c r="I224" s="549">
        <v>156</v>
      </c>
      <c r="J224" s="415" t="s">
        <v>545</v>
      </c>
      <c r="K224" s="57" t="s">
        <v>546</v>
      </c>
      <c r="L224" s="64" t="s">
        <v>442</v>
      </c>
      <c r="M224" s="187">
        <v>2</v>
      </c>
      <c r="N224" s="275" t="s">
        <v>54</v>
      </c>
      <c r="O224" s="65">
        <v>12</v>
      </c>
      <c r="P224" s="81">
        <v>12</v>
      </c>
      <c r="Q224" s="277">
        <v>12</v>
      </c>
      <c r="R224" s="275">
        <v>12</v>
      </c>
      <c r="S224" s="275">
        <v>12</v>
      </c>
      <c r="T224" s="275">
        <v>12</v>
      </c>
      <c r="U224" s="300">
        <f>AG224/AG221</f>
        <v>0.48401523806198954</v>
      </c>
      <c r="V224" s="65">
        <v>3</v>
      </c>
      <c r="W224" s="62" t="s">
        <v>453</v>
      </c>
      <c r="X224" s="584"/>
      <c r="Y224" s="584"/>
      <c r="Z224" s="584"/>
      <c r="AA224" s="584"/>
      <c r="AB224" s="584"/>
      <c r="AC224" s="584"/>
      <c r="AD224" s="584"/>
      <c r="AE224" s="584">
        <f>17462943+103544440</f>
        <v>121007383</v>
      </c>
      <c r="AF224" s="584"/>
      <c r="AG224" s="586">
        <f>+X224+Y224+Z224+AA224+AB224+AC224+AD224+AE224+AF224</f>
        <v>121007383</v>
      </c>
      <c r="AH224" s="584"/>
      <c r="AI224" s="584"/>
      <c r="AJ224" s="584"/>
      <c r="AK224" s="584"/>
      <c r="AL224" s="584"/>
      <c r="AM224" s="584"/>
      <c r="AN224" s="584"/>
      <c r="AO224" s="584">
        <v>119200000</v>
      </c>
      <c r="AP224" s="584"/>
      <c r="AQ224" s="585">
        <f>AH224+AI224+AJ224+AK224+AL224+AM224+AN224+AO224+AP224</f>
        <v>119200000</v>
      </c>
      <c r="AR224" s="584"/>
      <c r="AS224" s="584"/>
      <c r="AT224" s="584"/>
      <c r="AU224" s="584"/>
      <c r="AV224" s="584"/>
      <c r="AW224" s="584"/>
      <c r="AX224" s="584"/>
      <c r="AY224" s="586">
        <v>122300000</v>
      </c>
      <c r="AZ224" s="584"/>
      <c r="BA224" s="586">
        <f>SUM(AR224:AZ224)</f>
        <v>122300000</v>
      </c>
      <c r="BB224" s="587"/>
      <c r="BC224" s="587"/>
      <c r="BD224" s="587"/>
      <c r="BE224" s="587"/>
      <c r="BF224" s="587"/>
      <c r="BG224" s="587"/>
      <c r="BH224" s="587"/>
      <c r="BI224" s="212">
        <v>120750000</v>
      </c>
      <c r="BJ224" s="587"/>
      <c r="BK224" s="212">
        <f>SUM(BB224:BJ224)</f>
        <v>120750000</v>
      </c>
      <c r="BL224" s="615">
        <f>AG224+AQ224+BK224+BA224</f>
        <v>483257383</v>
      </c>
    </row>
    <row r="225" spans="1:64" ht="409.6" customHeight="1" x14ac:dyDescent="0.2">
      <c r="A225" s="56">
        <v>157</v>
      </c>
      <c r="B225" s="56">
        <v>3</v>
      </c>
      <c r="C225" s="124"/>
      <c r="D225" s="124"/>
      <c r="E225" s="506">
        <v>34</v>
      </c>
      <c r="F225" s="299" t="s">
        <v>549</v>
      </c>
      <c r="G225" s="196" t="s">
        <v>49</v>
      </c>
      <c r="H225" s="250">
        <v>0.4</v>
      </c>
      <c r="I225" s="64">
        <v>157</v>
      </c>
      <c r="J225" s="60" t="s">
        <v>550</v>
      </c>
      <c r="K225" s="547" t="s">
        <v>551</v>
      </c>
      <c r="L225" s="153" t="s">
        <v>442</v>
      </c>
      <c r="M225" s="294">
        <v>2</v>
      </c>
      <c r="N225" s="286" t="s">
        <v>54</v>
      </c>
      <c r="O225" s="563">
        <v>12</v>
      </c>
      <c r="P225" s="561">
        <v>12</v>
      </c>
      <c r="Q225" s="577">
        <v>12</v>
      </c>
      <c r="R225" s="558">
        <v>12</v>
      </c>
      <c r="S225" s="558">
        <v>12</v>
      </c>
      <c r="T225" s="558">
        <v>12</v>
      </c>
      <c r="U225" s="295">
        <f>AG225/AG221</f>
        <v>0.1359959837666074</v>
      </c>
      <c r="V225" s="563">
        <v>10</v>
      </c>
      <c r="W225" s="157" t="s">
        <v>386</v>
      </c>
      <c r="X225" s="161"/>
      <c r="Y225" s="161"/>
      <c r="Z225" s="161"/>
      <c r="AA225" s="161"/>
      <c r="AB225" s="161"/>
      <c r="AC225" s="161"/>
      <c r="AD225" s="161"/>
      <c r="AE225" s="161">
        <v>34000000</v>
      </c>
      <c r="AF225" s="161"/>
      <c r="AG225" s="160">
        <f>+X225+Y225+Z225+AA225+AB225+AC225+AD225+AE225+AF225</f>
        <v>34000000</v>
      </c>
      <c r="AH225" s="578"/>
      <c r="AI225" s="578"/>
      <c r="AJ225" s="578"/>
      <c r="AK225" s="578"/>
      <c r="AL225" s="578"/>
      <c r="AM225" s="578"/>
      <c r="AN225" s="578"/>
      <c r="AO225" s="575">
        <v>33607604</v>
      </c>
      <c r="AP225" s="578"/>
      <c r="AQ225" s="298">
        <f>AH225+AI225+AJ225+AK225+AL225+AM225+AN225+AO225+AP225</f>
        <v>33607604</v>
      </c>
      <c r="AR225" s="575"/>
      <c r="AS225" s="575"/>
      <c r="AT225" s="575"/>
      <c r="AU225" s="575"/>
      <c r="AV225" s="575"/>
      <c r="AW225" s="575"/>
      <c r="AX225" s="575"/>
      <c r="AY225" s="583">
        <v>34496832.996917762</v>
      </c>
      <c r="AZ225" s="575"/>
      <c r="BA225" s="583">
        <f>SUM(AR225:AZ225)</f>
        <v>34496832.996917762</v>
      </c>
      <c r="BB225" s="578"/>
      <c r="BC225" s="578"/>
      <c r="BD225" s="578"/>
      <c r="BE225" s="578"/>
      <c r="BF225" s="578"/>
      <c r="BG225" s="578"/>
      <c r="BH225" s="578"/>
      <c r="BI225" s="578">
        <v>34030737.995129235</v>
      </c>
      <c r="BJ225" s="578"/>
      <c r="BK225" s="578">
        <f>SUM(BB225:BJ225)</f>
        <v>34030737.995129235</v>
      </c>
      <c r="BL225" s="616">
        <f>AG225+AQ225+BA225+BK225</f>
        <v>136135174.99204698</v>
      </c>
    </row>
    <row r="226" spans="1:64" ht="24.75" customHeight="1" x14ac:dyDescent="0.2">
      <c r="A226" s="56"/>
      <c r="B226" s="56"/>
      <c r="C226" s="124"/>
      <c r="D226" s="124"/>
      <c r="E226" s="44">
        <v>45</v>
      </c>
      <c r="F226" s="45" t="s">
        <v>552</v>
      </c>
      <c r="G226" s="48"/>
      <c r="H226" s="48"/>
      <c r="I226" s="47"/>
      <c r="J226" s="48"/>
      <c r="K226" s="48"/>
      <c r="L226" s="47"/>
      <c r="M226" s="49"/>
      <c r="N226" s="50"/>
      <c r="O226" s="48"/>
      <c r="P226" s="48"/>
      <c r="Q226" s="51"/>
      <c r="R226" s="47"/>
      <c r="S226" s="51"/>
      <c r="T226" s="51"/>
      <c r="U226" s="125"/>
      <c r="V226" s="49"/>
      <c r="W226" s="49"/>
      <c r="X226" s="53">
        <f t="shared" ref="X226:AF226" si="315">SUM(X227:X228)</f>
        <v>0</v>
      </c>
      <c r="Y226" s="53">
        <f t="shared" si="315"/>
        <v>0</v>
      </c>
      <c r="Z226" s="53">
        <f t="shared" si="315"/>
        <v>0</v>
      </c>
      <c r="AA226" s="53">
        <f t="shared" si="315"/>
        <v>0</v>
      </c>
      <c r="AB226" s="53">
        <f t="shared" si="315"/>
        <v>0</v>
      </c>
      <c r="AC226" s="53">
        <f t="shared" si="315"/>
        <v>0</v>
      </c>
      <c r="AD226" s="53">
        <f t="shared" si="315"/>
        <v>0</v>
      </c>
      <c r="AE226" s="53">
        <f t="shared" si="315"/>
        <v>1023348969</v>
      </c>
      <c r="AF226" s="53">
        <f t="shared" si="315"/>
        <v>0</v>
      </c>
      <c r="AG226" s="54">
        <f>SUM(AG227:AG228)</f>
        <v>1023348969</v>
      </c>
      <c r="AH226" s="53">
        <f t="shared" ref="AH226:AQ226" si="316">SUM(AH227:AH228)</f>
        <v>0</v>
      </c>
      <c r="AI226" s="53">
        <f t="shared" si="316"/>
        <v>0</v>
      </c>
      <c r="AJ226" s="53">
        <f t="shared" si="316"/>
        <v>0</v>
      </c>
      <c r="AK226" s="53">
        <f t="shared" si="316"/>
        <v>0</v>
      </c>
      <c r="AL226" s="53">
        <f t="shared" si="316"/>
        <v>0</v>
      </c>
      <c r="AM226" s="53">
        <f t="shared" si="316"/>
        <v>0</v>
      </c>
      <c r="AN226" s="53">
        <f t="shared" si="316"/>
        <v>0</v>
      </c>
      <c r="AO226" s="53">
        <f t="shared" si="316"/>
        <v>1054049438</v>
      </c>
      <c r="AP226" s="53">
        <f t="shared" si="316"/>
        <v>0</v>
      </c>
      <c r="AQ226" s="53">
        <f t="shared" si="316"/>
        <v>1054049438</v>
      </c>
      <c r="AR226" s="55"/>
      <c r="AS226" s="55"/>
      <c r="AT226" s="55"/>
      <c r="AU226" s="55"/>
      <c r="AV226" s="55"/>
      <c r="AW226" s="55"/>
      <c r="AX226" s="55"/>
      <c r="AY226" s="55"/>
      <c r="AZ226" s="55"/>
      <c r="BA226" s="53">
        <f t="shared" ref="BA226" si="317">SUM(BA227:BA228)</f>
        <v>1085670921</v>
      </c>
      <c r="BB226" s="90"/>
      <c r="BC226" s="90"/>
      <c r="BD226" s="90"/>
      <c r="BE226" s="90"/>
      <c r="BF226" s="90"/>
      <c r="BG226" s="90"/>
      <c r="BH226" s="90"/>
      <c r="BI226" s="90"/>
      <c r="BJ226" s="90"/>
      <c r="BK226" s="53">
        <f t="shared" ref="BK226:BL226" si="318">SUM(BK227:BK228)</f>
        <v>1118241049</v>
      </c>
      <c r="BL226" s="53">
        <f t="shared" si="318"/>
        <v>4281310377</v>
      </c>
    </row>
    <row r="227" spans="1:64" ht="200.25" customHeight="1" x14ac:dyDescent="0.2">
      <c r="A227" s="74">
        <v>158</v>
      </c>
      <c r="B227" s="56">
        <v>3</v>
      </c>
      <c r="C227" s="124"/>
      <c r="D227" s="124"/>
      <c r="E227" s="510">
        <v>24</v>
      </c>
      <c r="F227" s="646" t="s">
        <v>553</v>
      </c>
      <c r="G227" s="646" t="s">
        <v>554</v>
      </c>
      <c r="H227" s="646" t="s">
        <v>555</v>
      </c>
      <c r="I227" s="64">
        <v>158</v>
      </c>
      <c r="J227" s="60" t="s">
        <v>556</v>
      </c>
      <c r="K227" s="257" t="s">
        <v>557</v>
      </c>
      <c r="L227" s="61" t="s">
        <v>442</v>
      </c>
      <c r="M227" s="240">
        <v>2</v>
      </c>
      <c r="N227" s="272" t="s">
        <v>54</v>
      </c>
      <c r="O227" s="81" t="s">
        <v>49</v>
      </c>
      <c r="P227" s="65">
        <v>11</v>
      </c>
      <c r="Q227" s="277">
        <v>11</v>
      </c>
      <c r="R227" s="275">
        <v>11</v>
      </c>
      <c r="S227" s="275">
        <v>11</v>
      </c>
      <c r="T227" s="275">
        <v>11</v>
      </c>
      <c r="U227" s="211">
        <f>AG227/AG226</f>
        <v>1</v>
      </c>
      <c r="V227" s="64">
        <v>3</v>
      </c>
      <c r="W227" s="61" t="s">
        <v>453</v>
      </c>
      <c r="X227" s="176"/>
      <c r="Y227" s="176"/>
      <c r="Z227" s="176"/>
      <c r="AA227" s="176"/>
      <c r="AB227" s="176"/>
      <c r="AC227" s="176"/>
      <c r="AD227" s="176"/>
      <c r="AE227" s="96">
        <v>1023348969</v>
      </c>
      <c r="AF227" s="96"/>
      <c r="AG227" s="69">
        <f>+X227+Y227+Z227+AA227+AB227+AC227+AD227+AE227+AF227</f>
        <v>1023348969</v>
      </c>
      <c r="AH227" s="78"/>
      <c r="AI227" s="78"/>
      <c r="AJ227" s="78"/>
      <c r="AK227" s="78"/>
      <c r="AL227" s="78"/>
      <c r="AM227" s="78"/>
      <c r="AN227" s="78"/>
      <c r="AO227" s="511">
        <v>1054049438</v>
      </c>
      <c r="AP227" s="78"/>
      <c r="AQ227" s="71">
        <f>AH227+AI227+AJ227+AK227+AL227+AM227+AN227+AO227+AP227</f>
        <v>1054049438</v>
      </c>
      <c r="AR227" s="511"/>
      <c r="AS227" s="511"/>
      <c r="AT227" s="511"/>
      <c r="AU227" s="511"/>
      <c r="AV227" s="511"/>
      <c r="AW227" s="511"/>
      <c r="AX227" s="511"/>
      <c r="AY227" s="511">
        <v>1085670921</v>
      </c>
      <c r="AZ227" s="511"/>
      <c r="BA227" s="511">
        <f>SUM(AR227:AZ227)</f>
        <v>1085670921</v>
      </c>
      <c r="BB227" s="78"/>
      <c r="BC227" s="78"/>
      <c r="BD227" s="78"/>
      <c r="BE227" s="78"/>
      <c r="BF227" s="78"/>
      <c r="BG227" s="78"/>
      <c r="BH227" s="78"/>
      <c r="BI227" s="78">
        <v>1118241049</v>
      </c>
      <c r="BJ227" s="78"/>
      <c r="BK227" s="78">
        <f>SUM(BB227:BJ227)</f>
        <v>1118241049</v>
      </c>
      <c r="BL227" s="603">
        <f>AG227+AQ227+BA227+BK227</f>
        <v>4281310377</v>
      </c>
    </row>
    <row r="228" spans="1:64" ht="63.75" customHeight="1" x14ac:dyDescent="0.2">
      <c r="A228" s="56">
        <v>159</v>
      </c>
      <c r="B228" s="56">
        <v>3</v>
      </c>
      <c r="C228" s="124"/>
      <c r="D228" s="124"/>
      <c r="E228" s="492" t="s">
        <v>935</v>
      </c>
      <c r="F228" s="647"/>
      <c r="G228" s="647"/>
      <c r="H228" s="647"/>
      <c r="I228" s="64">
        <v>159</v>
      </c>
      <c r="J228" s="60" t="s">
        <v>558</v>
      </c>
      <c r="K228" s="257" t="s">
        <v>559</v>
      </c>
      <c r="L228" s="61" t="s">
        <v>442</v>
      </c>
      <c r="M228" s="240">
        <v>2</v>
      </c>
      <c r="N228" s="272" t="s">
        <v>54</v>
      </c>
      <c r="O228" s="81" t="s">
        <v>49</v>
      </c>
      <c r="P228" s="65">
        <v>8</v>
      </c>
      <c r="Q228" s="277">
        <v>8</v>
      </c>
      <c r="R228" s="275">
        <v>8</v>
      </c>
      <c r="S228" s="275">
        <v>8</v>
      </c>
      <c r="T228" s="275">
        <v>8</v>
      </c>
      <c r="U228" s="211">
        <v>0</v>
      </c>
      <c r="V228" s="64">
        <v>3</v>
      </c>
      <c r="W228" s="61" t="s">
        <v>453</v>
      </c>
      <c r="X228" s="176"/>
      <c r="Y228" s="176"/>
      <c r="Z228" s="176"/>
      <c r="AA228" s="176"/>
      <c r="AB228" s="176"/>
      <c r="AC228" s="176"/>
      <c r="AD228" s="176"/>
      <c r="AE228" s="176"/>
      <c r="AF228" s="176"/>
      <c r="AG228" s="69">
        <f>+X228+Y228+Z228+AA228+AB228+AC228+AD228+AE228+AF228</f>
        <v>0</v>
      </c>
      <c r="AH228" s="78"/>
      <c r="AI228" s="78"/>
      <c r="AJ228" s="78"/>
      <c r="AK228" s="78"/>
      <c r="AL228" s="78"/>
      <c r="AM228" s="78"/>
      <c r="AN228" s="78"/>
      <c r="AO228" s="78"/>
      <c r="AP228" s="78"/>
      <c r="AQ228" s="71">
        <f>AH228+AI228+AJ228+AK228+AL228+AM228+AN228+AO228+AP228</f>
        <v>0</v>
      </c>
      <c r="AR228" s="511"/>
      <c r="AS228" s="511"/>
      <c r="AT228" s="511"/>
      <c r="AU228" s="511"/>
      <c r="AV228" s="511"/>
      <c r="AW228" s="511"/>
      <c r="AX228" s="511"/>
      <c r="AY228" s="511"/>
      <c r="AZ228" s="511"/>
      <c r="BA228" s="511">
        <f>SUM(AR228:AZ228)</f>
        <v>0</v>
      </c>
      <c r="BB228" s="78"/>
      <c r="BC228" s="78"/>
      <c r="BD228" s="78"/>
      <c r="BE228" s="78"/>
      <c r="BF228" s="78"/>
      <c r="BG228" s="78"/>
      <c r="BH228" s="78"/>
      <c r="BI228" s="78"/>
      <c r="BJ228" s="78"/>
      <c r="BK228" s="78">
        <f>SUM(BB228:BJ228)</f>
        <v>0</v>
      </c>
      <c r="BL228" s="603">
        <f>AG228+AQ228+BA228+BK228</f>
        <v>0</v>
      </c>
    </row>
    <row r="229" spans="1:64" ht="24.75" customHeight="1" x14ac:dyDescent="0.2">
      <c r="A229" s="56"/>
      <c r="B229" s="56"/>
      <c r="C229" s="124"/>
      <c r="D229" s="124"/>
      <c r="E229" s="44">
        <v>46</v>
      </c>
      <c r="F229" s="45" t="s">
        <v>560</v>
      </c>
      <c r="G229" s="48"/>
      <c r="H229" s="48"/>
      <c r="I229" s="47"/>
      <c r="J229" s="48"/>
      <c r="K229" s="48"/>
      <c r="L229" s="47"/>
      <c r="M229" s="49"/>
      <c r="N229" s="50"/>
      <c r="O229" s="48"/>
      <c r="P229" s="48"/>
      <c r="Q229" s="155"/>
      <c r="R229" s="155"/>
      <c r="S229" s="155"/>
      <c r="T229" s="155"/>
      <c r="U229" s="155"/>
      <c r="V229" s="155"/>
      <c r="W229" s="155"/>
      <c r="X229" s="478">
        <f>SUM(X230:X232)</f>
        <v>0</v>
      </c>
      <c r="Y229" s="478">
        <f t="shared" ref="Y229:AN229" si="319">SUM(Y230:Y232)</f>
        <v>0</v>
      </c>
      <c r="Z229" s="478">
        <f t="shared" si="319"/>
        <v>0</v>
      </c>
      <c r="AA229" s="478">
        <f t="shared" si="319"/>
        <v>0</v>
      </c>
      <c r="AB229" s="478">
        <f t="shared" si="319"/>
        <v>0</v>
      </c>
      <c r="AC229" s="478">
        <f t="shared" si="319"/>
        <v>0</v>
      </c>
      <c r="AD229" s="478">
        <f t="shared" si="319"/>
        <v>0</v>
      </c>
      <c r="AE229" s="478">
        <f t="shared" si="319"/>
        <v>1205340214</v>
      </c>
      <c r="AF229" s="478">
        <f t="shared" si="319"/>
        <v>0</v>
      </c>
      <c r="AG229" s="478">
        <f t="shared" si="319"/>
        <v>1205340214</v>
      </c>
      <c r="AH229" s="478">
        <f t="shared" si="319"/>
        <v>0</v>
      </c>
      <c r="AI229" s="478">
        <f t="shared" si="319"/>
        <v>0</v>
      </c>
      <c r="AJ229" s="478">
        <f t="shared" si="319"/>
        <v>0</v>
      </c>
      <c r="AK229" s="478">
        <f t="shared" si="319"/>
        <v>0</v>
      </c>
      <c r="AL229" s="478">
        <f t="shared" si="319"/>
        <v>0</v>
      </c>
      <c r="AM229" s="478">
        <f t="shared" si="319"/>
        <v>0</v>
      </c>
      <c r="AN229" s="478">
        <f t="shared" si="319"/>
        <v>0</v>
      </c>
      <c r="AO229" s="478">
        <f t="shared" ref="AO229:AQ229" si="320">SUM(AO230:AO232)</f>
        <v>1241500420.4200001</v>
      </c>
      <c r="AP229" s="478">
        <f t="shared" si="320"/>
        <v>0</v>
      </c>
      <c r="AQ229" s="478">
        <f t="shared" si="320"/>
        <v>1241500420.4200001</v>
      </c>
      <c r="AR229" s="155"/>
      <c r="AS229" s="155"/>
      <c r="AT229" s="155"/>
      <c r="AU229" s="155"/>
      <c r="AV229" s="155"/>
      <c r="AW229" s="155"/>
      <c r="AX229" s="155"/>
      <c r="AY229" s="155"/>
      <c r="AZ229" s="155"/>
      <c r="BA229" s="478">
        <f t="shared" ref="BA229" si="321">SUM(BA230:BA232)</f>
        <v>1278745433.03</v>
      </c>
      <c r="BB229" s="155"/>
      <c r="BC229" s="155"/>
      <c r="BD229" s="155"/>
      <c r="BE229" s="155"/>
      <c r="BF229" s="155"/>
      <c r="BG229" s="155"/>
      <c r="BH229" s="155"/>
      <c r="BI229" s="155"/>
      <c r="BJ229" s="155"/>
      <c r="BK229" s="478">
        <f t="shared" ref="BK229:BL229" si="322">SUM(BK230:BK232)</f>
        <v>1317107796.0278702</v>
      </c>
      <c r="BL229" s="617">
        <f t="shared" si="322"/>
        <v>5042693863.47787</v>
      </c>
    </row>
    <row r="230" spans="1:64" ht="93.75" customHeight="1" x14ac:dyDescent="0.2">
      <c r="A230" s="74">
        <v>160</v>
      </c>
      <c r="B230" s="56">
        <v>3</v>
      </c>
      <c r="C230" s="124"/>
      <c r="D230" s="124"/>
      <c r="E230" s="81">
        <v>26</v>
      </c>
      <c r="F230" s="515" t="s">
        <v>561</v>
      </c>
      <c r="G230" s="513" t="s">
        <v>562</v>
      </c>
      <c r="H230" s="513" t="s">
        <v>563</v>
      </c>
      <c r="I230" s="64">
        <v>160</v>
      </c>
      <c r="J230" s="186" t="s">
        <v>564</v>
      </c>
      <c r="K230" s="257" t="s">
        <v>565</v>
      </c>
      <c r="L230" s="64" t="s">
        <v>442</v>
      </c>
      <c r="M230" s="187">
        <v>2</v>
      </c>
      <c r="N230" s="275" t="s">
        <v>54</v>
      </c>
      <c r="O230" s="65">
        <v>250</v>
      </c>
      <c r="P230" s="65">
        <v>300</v>
      </c>
      <c r="Q230" s="277">
        <v>300</v>
      </c>
      <c r="R230" s="275">
        <v>300</v>
      </c>
      <c r="S230" s="275">
        <v>300</v>
      </c>
      <c r="T230" s="275">
        <v>300</v>
      </c>
      <c r="U230" s="300">
        <f>AG230/$AG$229</f>
        <v>0.77759987853520662</v>
      </c>
      <c r="V230" s="65">
        <v>3</v>
      </c>
      <c r="W230" s="65" t="s">
        <v>453</v>
      </c>
      <c r="X230" s="496"/>
      <c r="Y230" s="496"/>
      <c r="Z230" s="496"/>
      <c r="AA230" s="496"/>
      <c r="AB230" s="496"/>
      <c r="AC230" s="496"/>
      <c r="AD230" s="496"/>
      <c r="AE230" s="96">
        <v>937272404</v>
      </c>
      <c r="AF230" s="96"/>
      <c r="AG230" s="69">
        <f>+X230+Y230+Z230+AA230+AB230+AC230+AD230+AE230+AF230</f>
        <v>937272404</v>
      </c>
      <c r="AH230" s="78"/>
      <c r="AI230" s="78"/>
      <c r="AJ230" s="78"/>
      <c r="AK230" s="78"/>
      <c r="AL230" s="78"/>
      <c r="AM230" s="78"/>
      <c r="AN230" s="78"/>
      <c r="AO230" s="511">
        <v>965390576.12</v>
      </c>
      <c r="AP230" s="78"/>
      <c r="AQ230" s="71">
        <f>AH230+AI230+AJ230+AK230+AL230+AM230+AN230+AO230+AP230</f>
        <v>965390576.12</v>
      </c>
      <c r="AR230" s="511"/>
      <c r="AS230" s="511"/>
      <c r="AT230" s="511"/>
      <c r="AU230" s="511"/>
      <c r="AV230" s="511"/>
      <c r="AW230" s="511"/>
      <c r="AX230" s="511"/>
      <c r="AY230" s="511">
        <v>994350000</v>
      </c>
      <c r="AZ230" s="511"/>
      <c r="BA230" s="511">
        <f>SUM(AR230:AZ230)</f>
        <v>994350000</v>
      </c>
      <c r="BB230" s="78"/>
      <c r="BC230" s="78"/>
      <c r="BD230" s="78"/>
      <c r="BE230" s="78"/>
      <c r="BF230" s="78"/>
      <c r="BG230" s="78"/>
      <c r="BH230" s="78"/>
      <c r="BI230" s="78">
        <v>1024000000</v>
      </c>
      <c r="BJ230" s="78"/>
      <c r="BK230" s="78">
        <f>SUM(BB230:BJ230)</f>
        <v>1024000000</v>
      </c>
      <c r="BL230" s="603">
        <f>AG230+AQ230+BA230+BK230</f>
        <v>3921012980.1199999</v>
      </c>
    </row>
    <row r="231" spans="1:64" ht="141.75" customHeight="1" x14ac:dyDescent="0.2">
      <c r="A231" s="56">
        <v>161</v>
      </c>
      <c r="B231" s="56">
        <v>3</v>
      </c>
      <c r="C231" s="124"/>
      <c r="D231" s="124"/>
      <c r="E231" s="491" t="s">
        <v>936</v>
      </c>
      <c r="F231" s="450" t="s">
        <v>566</v>
      </c>
      <c r="G231" s="512" t="s">
        <v>567</v>
      </c>
      <c r="H231" s="512" t="s">
        <v>568</v>
      </c>
      <c r="I231" s="64">
        <v>161</v>
      </c>
      <c r="J231" s="60" t="s">
        <v>569</v>
      </c>
      <c r="K231" s="257" t="s">
        <v>570</v>
      </c>
      <c r="L231" s="64" t="s">
        <v>442</v>
      </c>
      <c r="M231" s="187">
        <v>2</v>
      </c>
      <c r="N231" s="275" t="s">
        <v>54</v>
      </c>
      <c r="O231" s="65">
        <v>90</v>
      </c>
      <c r="P231" s="65">
        <v>100</v>
      </c>
      <c r="Q231" s="277">
        <v>100</v>
      </c>
      <c r="R231" s="275">
        <v>100</v>
      </c>
      <c r="S231" s="275">
        <v>100</v>
      </c>
      <c r="T231" s="275">
        <v>100</v>
      </c>
      <c r="U231" s="300">
        <f>AG231/$AG$229</f>
        <v>4.9778476900630482E-2</v>
      </c>
      <c r="V231" s="65">
        <v>3</v>
      </c>
      <c r="W231" s="65" t="s">
        <v>453</v>
      </c>
      <c r="X231" s="496"/>
      <c r="Y231" s="496"/>
      <c r="Z231" s="496"/>
      <c r="AA231" s="496"/>
      <c r="AB231" s="496"/>
      <c r="AC231" s="496"/>
      <c r="AD231" s="496"/>
      <c r="AE231" s="96">
        <v>60000000</v>
      </c>
      <c r="AF231" s="96"/>
      <c r="AG231" s="69">
        <f>+X231+Y231+Z231+AA231+AB231+AC231+AD231+AE231+AF231</f>
        <v>60000000</v>
      </c>
      <c r="AH231" s="78"/>
      <c r="AI231" s="78"/>
      <c r="AJ231" s="78"/>
      <c r="AK231" s="78"/>
      <c r="AL231" s="78"/>
      <c r="AM231" s="78"/>
      <c r="AN231" s="78"/>
      <c r="AO231" s="511">
        <v>61800000.000000007</v>
      </c>
      <c r="AP231" s="78"/>
      <c r="AQ231" s="71">
        <f>AH231+AI231+AJ231+AK231+AL231+AM231+AN231+AO231+AP231</f>
        <v>61800000.000000007</v>
      </c>
      <c r="AR231" s="511"/>
      <c r="AS231" s="511"/>
      <c r="AT231" s="511"/>
      <c r="AU231" s="511"/>
      <c r="AV231" s="511"/>
      <c r="AW231" s="511"/>
      <c r="AX231" s="511"/>
      <c r="AY231" s="511">
        <v>63650000</v>
      </c>
      <c r="AZ231" s="511"/>
      <c r="BA231" s="511">
        <f>SUM(AR231:AZ231)</f>
        <v>63650000</v>
      </c>
      <c r="BB231" s="78"/>
      <c r="BC231" s="78"/>
      <c r="BD231" s="78"/>
      <c r="BE231" s="78"/>
      <c r="BF231" s="78"/>
      <c r="BG231" s="78"/>
      <c r="BH231" s="78"/>
      <c r="BI231" s="78">
        <v>65500000</v>
      </c>
      <c r="BJ231" s="78"/>
      <c r="BK231" s="78">
        <f>SUM(BB231:BJ231)</f>
        <v>65500000</v>
      </c>
      <c r="BL231" s="603">
        <f>AG231+AQ231+BA231+BK231</f>
        <v>250950000</v>
      </c>
    </row>
    <row r="232" spans="1:64" ht="171.75" customHeight="1" x14ac:dyDescent="0.2">
      <c r="A232" s="74">
        <v>162</v>
      </c>
      <c r="B232" s="56">
        <v>3</v>
      </c>
      <c r="C232" s="124"/>
      <c r="D232" s="253"/>
      <c r="E232" s="531"/>
      <c r="F232" s="301"/>
      <c r="G232" s="301"/>
      <c r="H232" s="301"/>
      <c r="I232" s="64">
        <v>162</v>
      </c>
      <c r="J232" s="60" t="s">
        <v>571</v>
      </c>
      <c r="K232" s="247" t="s">
        <v>572</v>
      </c>
      <c r="L232" s="280" t="s">
        <v>442</v>
      </c>
      <c r="M232" s="265">
        <v>2</v>
      </c>
      <c r="N232" s="275" t="s">
        <v>54</v>
      </c>
      <c r="O232" s="65">
        <v>83</v>
      </c>
      <c r="P232" s="65">
        <v>83</v>
      </c>
      <c r="Q232" s="277">
        <v>83</v>
      </c>
      <c r="R232" s="275">
        <v>83</v>
      </c>
      <c r="S232" s="275">
        <v>83</v>
      </c>
      <c r="T232" s="275">
        <v>83</v>
      </c>
      <c r="U232" s="300">
        <f>AG232/$AG$229</f>
        <v>0.17262164456416287</v>
      </c>
      <c r="V232" s="65">
        <v>3</v>
      </c>
      <c r="W232" s="65" t="s">
        <v>453</v>
      </c>
      <c r="X232" s="496"/>
      <c r="Y232" s="496"/>
      <c r="Z232" s="496"/>
      <c r="AA232" s="496"/>
      <c r="AB232" s="496"/>
      <c r="AC232" s="496"/>
      <c r="AD232" s="496"/>
      <c r="AE232" s="96">
        <v>208067810</v>
      </c>
      <c r="AF232" s="96"/>
      <c r="AG232" s="69">
        <f>+X232+Y232+Z232+AA232+AB232+AC232+AD232+AE232+AF232</f>
        <v>208067810</v>
      </c>
      <c r="AH232" s="78"/>
      <c r="AI232" s="78"/>
      <c r="AJ232" s="78"/>
      <c r="AK232" s="78"/>
      <c r="AL232" s="78"/>
      <c r="AM232" s="78"/>
      <c r="AN232" s="78"/>
      <c r="AO232" s="511">
        <v>214309844.30000004</v>
      </c>
      <c r="AP232" s="78"/>
      <c r="AQ232" s="71">
        <f>AH232+AI232+AJ232+AK232+AL232+AM232+AN232+AO232+AP232</f>
        <v>214309844.30000004</v>
      </c>
      <c r="AR232" s="511"/>
      <c r="AS232" s="511"/>
      <c r="AT232" s="511"/>
      <c r="AU232" s="511"/>
      <c r="AV232" s="511"/>
      <c r="AW232" s="511"/>
      <c r="AX232" s="511"/>
      <c r="AY232" s="511">
        <v>220745433.03</v>
      </c>
      <c r="AZ232" s="511"/>
      <c r="BA232" s="511">
        <f>SUM(AR232:AZ232)</f>
        <v>220745433.03</v>
      </c>
      <c r="BB232" s="78"/>
      <c r="BC232" s="78"/>
      <c r="BD232" s="78"/>
      <c r="BE232" s="78"/>
      <c r="BF232" s="78"/>
      <c r="BG232" s="78"/>
      <c r="BH232" s="78"/>
      <c r="BI232" s="78">
        <v>227607796.02787006</v>
      </c>
      <c r="BJ232" s="78"/>
      <c r="BK232" s="78">
        <f>SUM(BB232:BJ232)</f>
        <v>227607796.02787006</v>
      </c>
      <c r="BL232" s="603">
        <f>AG232+AQ232+BA232+BK232</f>
        <v>870730883.3578701</v>
      </c>
    </row>
    <row r="233" spans="1:64" ht="24.75" customHeight="1" x14ac:dyDescent="0.2">
      <c r="A233" s="74"/>
      <c r="B233" s="56"/>
      <c r="C233" s="124"/>
      <c r="D233" s="30">
        <v>13</v>
      </c>
      <c r="E233" s="254" t="s">
        <v>573</v>
      </c>
      <c r="F233" s="255"/>
      <c r="G233" s="255"/>
      <c r="H233" s="255"/>
      <c r="I233" s="34"/>
      <c r="J233" s="35"/>
      <c r="K233" s="35"/>
      <c r="L233" s="36"/>
      <c r="M233" s="34"/>
      <c r="N233" s="37"/>
      <c r="O233" s="35"/>
      <c r="P233" s="35"/>
      <c r="Q233" s="38"/>
      <c r="R233" s="35"/>
      <c r="S233" s="38"/>
      <c r="T233" s="38"/>
      <c r="U233" s="38"/>
      <c r="V233" s="38"/>
      <c r="W233" s="38"/>
      <c r="X233" s="461">
        <f>X234+X236+X238</f>
        <v>0</v>
      </c>
      <c r="Y233" s="461">
        <f t="shared" ref="Y233:AG233" si="323">Y234+Y236+Y238</f>
        <v>18910075816</v>
      </c>
      <c r="Z233" s="461">
        <f t="shared" si="323"/>
        <v>0</v>
      </c>
      <c r="AA233" s="461">
        <f t="shared" si="323"/>
        <v>0</v>
      </c>
      <c r="AB233" s="461">
        <f t="shared" si="323"/>
        <v>0</v>
      </c>
      <c r="AC233" s="461">
        <f t="shared" si="323"/>
        <v>0</v>
      </c>
      <c r="AD233" s="461">
        <f t="shared" si="323"/>
        <v>0</v>
      </c>
      <c r="AE233" s="461">
        <f t="shared" si="323"/>
        <v>0</v>
      </c>
      <c r="AF233" s="461">
        <f t="shared" si="323"/>
        <v>0</v>
      </c>
      <c r="AG233" s="461">
        <f t="shared" si="323"/>
        <v>18910075816</v>
      </c>
      <c r="AH233" s="461">
        <f t="shared" ref="AH233:AQ233" si="324">AH234+AH236+AH238</f>
        <v>0</v>
      </c>
      <c r="AI233" s="461">
        <f t="shared" si="324"/>
        <v>14820887397.66</v>
      </c>
      <c r="AJ233" s="461">
        <f t="shared" si="324"/>
        <v>0</v>
      </c>
      <c r="AK233" s="461">
        <f t="shared" si="324"/>
        <v>0</v>
      </c>
      <c r="AL233" s="461">
        <f t="shared" si="324"/>
        <v>0</v>
      </c>
      <c r="AM233" s="461">
        <f t="shared" si="324"/>
        <v>0</v>
      </c>
      <c r="AN233" s="461">
        <f t="shared" si="324"/>
        <v>0</v>
      </c>
      <c r="AO233" s="461">
        <f t="shared" si="324"/>
        <v>0</v>
      </c>
      <c r="AP233" s="461">
        <f t="shared" si="324"/>
        <v>0</v>
      </c>
      <c r="AQ233" s="461">
        <f t="shared" si="324"/>
        <v>14820887397.66</v>
      </c>
      <c r="AR233" s="38"/>
      <c r="AS233" s="38"/>
      <c r="AT233" s="38"/>
      <c r="AU233" s="38"/>
      <c r="AV233" s="38"/>
      <c r="AW233" s="38"/>
      <c r="AX233" s="38"/>
      <c r="AY233" s="38"/>
      <c r="AZ233" s="38"/>
      <c r="BA233" s="461">
        <f>BA234+BA236+BA238</f>
        <v>15265514018.5298</v>
      </c>
      <c r="BB233" s="38"/>
      <c r="BC233" s="38"/>
      <c r="BD233" s="38"/>
      <c r="BE233" s="38"/>
      <c r="BF233" s="38"/>
      <c r="BG233" s="38"/>
      <c r="BH233" s="38"/>
      <c r="BI233" s="38"/>
      <c r="BJ233" s="38"/>
      <c r="BK233" s="461">
        <f t="shared" ref="BK233" si="325">BK234+BK236+BK238</f>
        <v>15723479438.675694</v>
      </c>
      <c r="BL233" s="614">
        <f t="shared" ref="BL233" si="326">BL234+BL236+BL238</f>
        <v>64719956670.865494</v>
      </c>
    </row>
    <row r="234" spans="1:64" ht="24.75" customHeight="1" x14ac:dyDescent="0.2">
      <c r="A234" s="74"/>
      <c r="B234" s="56"/>
      <c r="C234" s="124"/>
      <c r="D234" s="417"/>
      <c r="E234" s="44">
        <v>47</v>
      </c>
      <c r="F234" s="45" t="s">
        <v>574</v>
      </c>
      <c r="G234" s="48"/>
      <c r="H234" s="48"/>
      <c r="I234" s="44"/>
      <c r="J234" s="45"/>
      <c r="K234" s="48"/>
      <c r="L234" s="47"/>
      <c r="M234" s="49"/>
      <c r="N234" s="50"/>
      <c r="O234" s="48"/>
      <c r="P234" s="48"/>
      <c r="Q234" s="51"/>
      <c r="R234" s="48"/>
      <c r="S234" s="48"/>
      <c r="T234" s="49"/>
      <c r="U234" s="125"/>
      <c r="V234" s="49"/>
      <c r="W234" s="49"/>
      <c r="X234" s="53">
        <f t="shared" ref="X234:AF234" si="327">SUM(X235)</f>
        <v>0</v>
      </c>
      <c r="Y234" s="53">
        <f t="shared" si="327"/>
        <v>28200000</v>
      </c>
      <c r="Z234" s="53">
        <f t="shared" si="327"/>
        <v>0</v>
      </c>
      <c r="AA234" s="53">
        <f t="shared" si="327"/>
        <v>0</v>
      </c>
      <c r="AB234" s="53">
        <f t="shared" si="327"/>
        <v>0</v>
      </c>
      <c r="AC234" s="53">
        <f t="shared" si="327"/>
        <v>0</v>
      </c>
      <c r="AD234" s="53">
        <f t="shared" si="327"/>
        <v>0</v>
      </c>
      <c r="AE234" s="53">
        <f t="shared" si="327"/>
        <v>0</v>
      </c>
      <c r="AF234" s="53">
        <f t="shared" si="327"/>
        <v>0</v>
      </c>
      <c r="AG234" s="54">
        <f>SUM(AG235)</f>
        <v>28200000</v>
      </c>
      <c r="AH234" s="53">
        <f t="shared" ref="AH234:AQ234" si="328">SUM(AH235)</f>
        <v>0</v>
      </c>
      <c r="AI234" s="53">
        <f t="shared" si="328"/>
        <v>29046000</v>
      </c>
      <c r="AJ234" s="53">
        <f t="shared" si="328"/>
        <v>0</v>
      </c>
      <c r="AK234" s="53">
        <f t="shared" si="328"/>
        <v>0</v>
      </c>
      <c r="AL234" s="53">
        <f t="shared" si="328"/>
        <v>0</v>
      </c>
      <c r="AM234" s="53">
        <f t="shared" si="328"/>
        <v>0</v>
      </c>
      <c r="AN234" s="53">
        <f t="shared" si="328"/>
        <v>0</v>
      </c>
      <c r="AO234" s="53">
        <f t="shared" si="328"/>
        <v>0</v>
      </c>
      <c r="AP234" s="53">
        <f t="shared" si="328"/>
        <v>0</v>
      </c>
      <c r="AQ234" s="53">
        <f t="shared" si="328"/>
        <v>29046000</v>
      </c>
      <c r="AR234" s="55"/>
      <c r="AS234" s="55"/>
      <c r="AT234" s="55"/>
      <c r="AU234" s="55"/>
      <c r="AV234" s="55"/>
      <c r="AW234" s="55"/>
      <c r="AX234" s="55"/>
      <c r="AY234" s="55"/>
      <c r="AZ234" s="55"/>
      <c r="BA234" s="53">
        <f t="shared" ref="BA234" si="329">SUM(BA235)</f>
        <v>29917380</v>
      </c>
      <c r="BB234" s="55"/>
      <c r="BC234" s="55"/>
      <c r="BD234" s="55"/>
      <c r="BE234" s="55"/>
      <c r="BF234" s="55"/>
      <c r="BG234" s="55"/>
      <c r="BH234" s="55"/>
      <c r="BI234" s="55"/>
      <c r="BJ234" s="55"/>
      <c r="BK234" s="53">
        <f t="shared" ref="BK234:BL234" si="330">SUM(BK235)</f>
        <v>30814901.400000002</v>
      </c>
      <c r="BL234" s="53">
        <f t="shared" si="330"/>
        <v>117978281.40000001</v>
      </c>
    </row>
    <row r="235" spans="1:64" ht="93.75" customHeight="1" x14ac:dyDescent="0.2">
      <c r="A235" s="56">
        <v>163</v>
      </c>
      <c r="B235" s="56">
        <v>3</v>
      </c>
      <c r="C235" s="124"/>
      <c r="D235" s="124"/>
      <c r="E235" s="510">
        <v>27</v>
      </c>
      <c r="F235" s="516" t="s">
        <v>575</v>
      </c>
      <c r="G235" s="58" t="s">
        <v>576</v>
      </c>
      <c r="H235" s="278">
        <v>0.92</v>
      </c>
      <c r="I235" s="64">
        <v>163</v>
      </c>
      <c r="J235" s="60" t="s">
        <v>577</v>
      </c>
      <c r="K235" s="247" t="s">
        <v>578</v>
      </c>
      <c r="L235" s="302" t="s">
        <v>442</v>
      </c>
      <c r="M235" s="265">
        <v>2</v>
      </c>
      <c r="N235" s="272" t="s">
        <v>54</v>
      </c>
      <c r="O235" s="65">
        <v>12</v>
      </c>
      <c r="P235" s="65">
        <v>12</v>
      </c>
      <c r="Q235" s="277">
        <v>12</v>
      </c>
      <c r="R235" s="275">
        <v>12</v>
      </c>
      <c r="S235" s="275">
        <v>12</v>
      </c>
      <c r="T235" s="275">
        <v>12</v>
      </c>
      <c r="U235" s="303">
        <f>AG235/AG234</f>
        <v>1</v>
      </c>
      <c r="V235" s="65">
        <v>3</v>
      </c>
      <c r="W235" s="130" t="s">
        <v>453</v>
      </c>
      <c r="X235" s="304"/>
      <c r="Y235" s="96">
        <v>28200000</v>
      </c>
      <c r="Z235" s="304"/>
      <c r="AA235" s="304"/>
      <c r="AB235" s="304"/>
      <c r="AC235" s="304"/>
      <c r="AD235" s="304"/>
      <c r="AE235" s="304"/>
      <c r="AF235" s="304"/>
      <c r="AG235" s="69">
        <f>+X235+Y235+Z235+AA235+AB235+AC235+AD235+AE235+AF235</f>
        <v>28200000</v>
      </c>
      <c r="AH235" s="78"/>
      <c r="AI235" s="511">
        <v>29046000</v>
      </c>
      <c r="AJ235" s="78"/>
      <c r="AK235" s="78"/>
      <c r="AL235" s="78"/>
      <c r="AM235" s="78"/>
      <c r="AN235" s="78"/>
      <c r="AO235" s="78"/>
      <c r="AP235" s="78"/>
      <c r="AQ235" s="71">
        <f>AH235+AI235+AJ235+AK235+AL235+AM235+AN235+AO235+AP235</f>
        <v>29046000</v>
      </c>
      <c r="AR235" s="511"/>
      <c r="AS235" s="511">
        <v>29917380</v>
      </c>
      <c r="AT235" s="511"/>
      <c r="AU235" s="511"/>
      <c r="AV235" s="511"/>
      <c r="AW235" s="511"/>
      <c r="AX235" s="511"/>
      <c r="AY235" s="511"/>
      <c r="AZ235" s="511"/>
      <c r="BA235" s="511">
        <f>SUM(AR235:AZ235)</f>
        <v>29917380</v>
      </c>
      <c r="BB235" s="78"/>
      <c r="BC235" s="78">
        <v>30814901.400000002</v>
      </c>
      <c r="BD235" s="78"/>
      <c r="BE235" s="78"/>
      <c r="BF235" s="78"/>
      <c r="BG235" s="78"/>
      <c r="BH235" s="78"/>
      <c r="BI235" s="78"/>
      <c r="BJ235" s="78"/>
      <c r="BK235" s="78">
        <f>SUM(BB235:BJ235)</f>
        <v>30814901.400000002</v>
      </c>
      <c r="BL235" s="603">
        <f>AG235+AQ235+BA235+BK235</f>
        <v>117978281.40000001</v>
      </c>
    </row>
    <row r="236" spans="1:64" ht="24.75" customHeight="1" x14ac:dyDescent="0.2">
      <c r="A236" s="56"/>
      <c r="B236" s="56"/>
      <c r="C236" s="124"/>
      <c r="D236" s="124"/>
      <c r="E236" s="44">
        <v>48</v>
      </c>
      <c r="F236" s="45" t="s">
        <v>579</v>
      </c>
      <c r="G236" s="48"/>
      <c r="H236" s="48"/>
      <c r="I236" s="44"/>
      <c r="J236" s="45"/>
      <c r="K236" s="48"/>
      <c r="L236" s="47"/>
      <c r="M236" s="49"/>
      <c r="N236" s="49"/>
      <c r="O236" s="48"/>
      <c r="P236" s="48"/>
      <c r="Q236" s="48"/>
      <c r="R236" s="47"/>
      <c r="S236" s="48"/>
      <c r="T236" s="51"/>
      <c r="U236" s="125"/>
      <c r="V236" s="49"/>
      <c r="W236" s="49"/>
      <c r="X236" s="53">
        <f t="shared" ref="X236:AF236" si="331">SUM(X237)</f>
        <v>0</v>
      </c>
      <c r="Y236" s="53">
        <f t="shared" si="331"/>
        <v>18861571816</v>
      </c>
      <c r="Z236" s="53">
        <f t="shared" si="331"/>
        <v>0</v>
      </c>
      <c r="AA236" s="53">
        <f t="shared" si="331"/>
        <v>0</v>
      </c>
      <c r="AB236" s="53">
        <f t="shared" si="331"/>
        <v>0</v>
      </c>
      <c r="AC236" s="53">
        <f t="shared" si="331"/>
        <v>0</v>
      </c>
      <c r="AD236" s="53">
        <f t="shared" si="331"/>
        <v>0</v>
      </c>
      <c r="AE236" s="53">
        <f t="shared" si="331"/>
        <v>0</v>
      </c>
      <c r="AF236" s="53">
        <f t="shared" si="331"/>
        <v>0</v>
      </c>
      <c r="AG236" s="54">
        <f>SUM(AG237)</f>
        <v>18861571816</v>
      </c>
      <c r="AH236" s="53">
        <f t="shared" ref="AH236:AQ236" si="332">SUM(AH237)</f>
        <v>0</v>
      </c>
      <c r="AI236" s="53">
        <f t="shared" si="332"/>
        <v>14770928277.66</v>
      </c>
      <c r="AJ236" s="53">
        <f t="shared" si="332"/>
        <v>0</v>
      </c>
      <c r="AK236" s="53">
        <f t="shared" si="332"/>
        <v>0</v>
      </c>
      <c r="AL236" s="53">
        <f t="shared" si="332"/>
        <v>0</v>
      </c>
      <c r="AM236" s="53">
        <f t="shared" si="332"/>
        <v>0</v>
      </c>
      <c r="AN236" s="53">
        <f t="shared" si="332"/>
        <v>0</v>
      </c>
      <c r="AO236" s="53">
        <f t="shared" si="332"/>
        <v>0</v>
      </c>
      <c r="AP236" s="53">
        <f t="shared" si="332"/>
        <v>0</v>
      </c>
      <c r="AQ236" s="53">
        <f t="shared" si="332"/>
        <v>14770928277.66</v>
      </c>
      <c r="AR236" s="55"/>
      <c r="AS236" s="55"/>
      <c r="AT236" s="55"/>
      <c r="AU236" s="55"/>
      <c r="AV236" s="55"/>
      <c r="AW236" s="55"/>
      <c r="AX236" s="55"/>
      <c r="AY236" s="55"/>
      <c r="AZ236" s="55"/>
      <c r="BA236" s="53">
        <f t="shared" ref="BA236" si="333">SUM(BA237)</f>
        <v>15214056124.9298</v>
      </c>
      <c r="BB236" s="55"/>
      <c r="BC236" s="55"/>
      <c r="BD236" s="55"/>
      <c r="BE236" s="55"/>
      <c r="BF236" s="55"/>
      <c r="BG236" s="55"/>
      <c r="BH236" s="55"/>
      <c r="BI236" s="55"/>
      <c r="BJ236" s="55"/>
      <c r="BK236" s="53">
        <f t="shared" ref="BK236:BL236" si="334">SUM(BK237)</f>
        <v>15670477808.267694</v>
      </c>
      <c r="BL236" s="53">
        <f t="shared" si="334"/>
        <v>64517034026.857491</v>
      </c>
    </row>
    <row r="237" spans="1:64" ht="93.75" customHeight="1" x14ac:dyDescent="0.2">
      <c r="A237" s="74">
        <v>164</v>
      </c>
      <c r="B237" s="56">
        <v>3</v>
      </c>
      <c r="C237" s="124"/>
      <c r="D237" s="124"/>
      <c r="E237" s="79">
        <v>27</v>
      </c>
      <c r="F237" s="516" t="s">
        <v>575</v>
      </c>
      <c r="G237" s="81" t="s">
        <v>576</v>
      </c>
      <c r="H237" s="194">
        <v>0.92</v>
      </c>
      <c r="I237" s="64">
        <v>164</v>
      </c>
      <c r="J237" s="57" t="s">
        <v>580</v>
      </c>
      <c r="K237" s="247" t="s">
        <v>581</v>
      </c>
      <c r="L237" s="305" t="s">
        <v>442</v>
      </c>
      <c r="M237" s="266">
        <v>2</v>
      </c>
      <c r="N237" s="272" t="s">
        <v>54</v>
      </c>
      <c r="O237" s="65">
        <v>12</v>
      </c>
      <c r="P237" s="65">
        <v>12</v>
      </c>
      <c r="Q237" s="277">
        <v>12</v>
      </c>
      <c r="R237" s="275">
        <v>12</v>
      </c>
      <c r="S237" s="275">
        <v>12</v>
      </c>
      <c r="T237" s="275">
        <v>12</v>
      </c>
      <c r="U237" s="303">
        <f>AG237/AG236</f>
        <v>1</v>
      </c>
      <c r="V237" s="65">
        <v>3</v>
      </c>
      <c r="W237" s="130" t="s">
        <v>453</v>
      </c>
      <c r="X237" s="304">
        <v>0</v>
      </c>
      <c r="Y237" s="96">
        <v>18861571816</v>
      </c>
      <c r="Z237" s="304">
        <v>0</v>
      </c>
      <c r="AA237" s="176">
        <v>0</v>
      </c>
      <c r="AB237" s="304">
        <v>0</v>
      </c>
      <c r="AC237" s="304">
        <v>0</v>
      </c>
      <c r="AD237" s="304">
        <v>0</v>
      </c>
      <c r="AE237" s="304">
        <v>0</v>
      </c>
      <c r="AF237" s="304">
        <v>0</v>
      </c>
      <c r="AG237" s="69">
        <f>+X237+Y237+Z237+AA237+AB237+AC237+AD237+AE237+AF237</f>
        <v>18861571816</v>
      </c>
      <c r="AH237" s="78"/>
      <c r="AI237" s="511">
        <v>14770928277.66</v>
      </c>
      <c r="AJ237" s="78"/>
      <c r="AK237" s="78"/>
      <c r="AL237" s="78"/>
      <c r="AM237" s="78"/>
      <c r="AN237" s="78"/>
      <c r="AO237" s="78"/>
      <c r="AP237" s="78"/>
      <c r="AQ237" s="71">
        <f>AH237+AI237+AJ237+AK237+AL237+AM237+AN237+AO237+AP237</f>
        <v>14770928277.66</v>
      </c>
      <c r="AR237" s="511"/>
      <c r="AS237" s="511">
        <v>15214056124.9298</v>
      </c>
      <c r="AT237" s="511"/>
      <c r="AU237" s="511"/>
      <c r="AV237" s="511"/>
      <c r="AW237" s="511"/>
      <c r="AX237" s="511"/>
      <c r="AY237" s="511"/>
      <c r="AZ237" s="511"/>
      <c r="BA237" s="511">
        <f>SUM(AR237:AZ237)</f>
        <v>15214056124.9298</v>
      </c>
      <c r="BB237" s="78"/>
      <c r="BC237" s="78">
        <v>15670477808.267694</v>
      </c>
      <c r="BD237" s="78"/>
      <c r="BE237" s="78"/>
      <c r="BF237" s="78"/>
      <c r="BG237" s="78"/>
      <c r="BH237" s="78"/>
      <c r="BI237" s="78"/>
      <c r="BJ237" s="78"/>
      <c r="BK237" s="78">
        <f>SUM(BB237:BJ237)</f>
        <v>15670477808.267694</v>
      </c>
      <c r="BL237" s="603">
        <f>AG237+AQ237+BA237+BK237</f>
        <v>64517034026.857491</v>
      </c>
    </row>
    <row r="238" spans="1:64" ht="24.75" customHeight="1" x14ac:dyDescent="0.2">
      <c r="A238" s="74"/>
      <c r="B238" s="56"/>
      <c r="C238" s="124"/>
      <c r="D238" s="124"/>
      <c r="E238" s="44">
        <v>49</v>
      </c>
      <c r="F238" s="45" t="s">
        <v>582</v>
      </c>
      <c r="G238" s="48"/>
      <c r="H238" s="48"/>
      <c r="I238" s="44"/>
      <c r="J238" s="45"/>
      <c r="K238" s="48"/>
      <c r="L238" s="47"/>
      <c r="M238" s="49"/>
      <c r="N238" s="50"/>
      <c r="O238" s="48"/>
      <c r="P238" s="48"/>
      <c r="Q238" s="51"/>
      <c r="R238" s="47"/>
      <c r="S238" s="51"/>
      <c r="T238" s="51"/>
      <c r="U238" s="125"/>
      <c r="V238" s="49"/>
      <c r="W238" s="49"/>
      <c r="X238" s="53">
        <f t="shared" ref="X238:AF238" si="335">SUM(X239)</f>
        <v>0</v>
      </c>
      <c r="Y238" s="53">
        <f t="shared" si="335"/>
        <v>20304000</v>
      </c>
      <c r="Z238" s="53">
        <f t="shared" si="335"/>
        <v>0</v>
      </c>
      <c r="AA238" s="53">
        <f t="shared" si="335"/>
        <v>0</v>
      </c>
      <c r="AB238" s="53">
        <f t="shared" si="335"/>
        <v>0</v>
      </c>
      <c r="AC238" s="53">
        <f t="shared" si="335"/>
        <v>0</v>
      </c>
      <c r="AD238" s="53">
        <f t="shared" si="335"/>
        <v>0</v>
      </c>
      <c r="AE238" s="53">
        <f t="shared" si="335"/>
        <v>0</v>
      </c>
      <c r="AF238" s="53">
        <f t="shared" si="335"/>
        <v>0</v>
      </c>
      <c r="AG238" s="54">
        <f>SUM(AG239)</f>
        <v>20304000</v>
      </c>
      <c r="AH238" s="53">
        <f t="shared" ref="AH238:AQ238" si="336">SUM(AH239)</f>
        <v>0</v>
      </c>
      <c r="AI238" s="53">
        <f t="shared" si="336"/>
        <v>20913120</v>
      </c>
      <c r="AJ238" s="53">
        <f t="shared" si="336"/>
        <v>0</v>
      </c>
      <c r="AK238" s="53">
        <f t="shared" si="336"/>
        <v>0</v>
      </c>
      <c r="AL238" s="53">
        <f t="shared" si="336"/>
        <v>0</v>
      </c>
      <c r="AM238" s="53">
        <f t="shared" si="336"/>
        <v>0</v>
      </c>
      <c r="AN238" s="53">
        <f t="shared" si="336"/>
        <v>0</v>
      </c>
      <c r="AO238" s="53">
        <f t="shared" si="336"/>
        <v>0</v>
      </c>
      <c r="AP238" s="53">
        <f t="shared" si="336"/>
        <v>0</v>
      </c>
      <c r="AQ238" s="53">
        <f t="shared" si="336"/>
        <v>20913120</v>
      </c>
      <c r="AR238" s="55"/>
      <c r="AS238" s="55"/>
      <c r="AT238" s="55"/>
      <c r="AU238" s="55"/>
      <c r="AV238" s="55"/>
      <c r="AW238" s="55"/>
      <c r="AX238" s="55"/>
      <c r="AY238" s="55"/>
      <c r="AZ238" s="55"/>
      <c r="BA238" s="53">
        <f t="shared" ref="BA238" si="337">SUM(BA239)</f>
        <v>21540513.600000001</v>
      </c>
      <c r="BB238" s="55"/>
      <c r="BC238" s="55"/>
      <c r="BD238" s="55"/>
      <c r="BE238" s="55"/>
      <c r="BF238" s="55"/>
      <c r="BG238" s="55"/>
      <c r="BH238" s="55"/>
      <c r="BI238" s="55"/>
      <c r="BJ238" s="55"/>
      <c r="BK238" s="53">
        <f t="shared" ref="BK238:BL238" si="338">SUM(BK239)</f>
        <v>22186729.008000001</v>
      </c>
      <c r="BL238" s="53">
        <f t="shared" si="338"/>
        <v>84944362.60800001</v>
      </c>
    </row>
    <row r="239" spans="1:64" ht="93.75" customHeight="1" x14ac:dyDescent="0.2">
      <c r="A239" s="56">
        <v>165</v>
      </c>
      <c r="B239" s="56">
        <v>3</v>
      </c>
      <c r="C239" s="124"/>
      <c r="D239" s="183"/>
      <c r="E239" s="506">
        <v>27</v>
      </c>
      <c r="F239" s="415" t="s">
        <v>575</v>
      </c>
      <c r="G239" s="58" t="s">
        <v>576</v>
      </c>
      <c r="H239" s="278">
        <v>0.92</v>
      </c>
      <c r="I239" s="64">
        <v>165</v>
      </c>
      <c r="J239" s="60" t="s">
        <v>583</v>
      </c>
      <c r="K239" s="247" t="s">
        <v>584</v>
      </c>
      <c r="L239" s="302" t="s">
        <v>442</v>
      </c>
      <c r="M239" s="265">
        <v>2</v>
      </c>
      <c r="N239" s="272" t="s">
        <v>54</v>
      </c>
      <c r="O239" s="267">
        <v>12</v>
      </c>
      <c r="P239" s="267">
        <v>12</v>
      </c>
      <c r="Q239" s="277">
        <v>12</v>
      </c>
      <c r="R239" s="275">
        <v>12</v>
      </c>
      <c r="S239" s="275">
        <v>12</v>
      </c>
      <c r="T239" s="275">
        <v>12</v>
      </c>
      <c r="U239" s="303">
        <f>AG239/AG238</f>
        <v>1</v>
      </c>
      <c r="V239" s="65">
        <v>3</v>
      </c>
      <c r="W239" s="130" t="s">
        <v>453</v>
      </c>
      <c r="X239" s="304"/>
      <c r="Y239" s="96">
        <v>20304000</v>
      </c>
      <c r="Z239" s="304"/>
      <c r="AA239" s="304"/>
      <c r="AB239" s="304"/>
      <c r="AC239" s="304"/>
      <c r="AD239" s="304"/>
      <c r="AE239" s="304"/>
      <c r="AF239" s="304"/>
      <c r="AG239" s="69">
        <f>+X239+Y239+Z239+AA239+AB239+AC239+AD239+AE239+AF239</f>
        <v>20304000</v>
      </c>
      <c r="AH239" s="78"/>
      <c r="AI239" s="511">
        <v>20913120</v>
      </c>
      <c r="AJ239" s="78"/>
      <c r="AK239" s="78"/>
      <c r="AL239" s="78"/>
      <c r="AM239" s="78"/>
      <c r="AN239" s="78"/>
      <c r="AO239" s="78"/>
      <c r="AP239" s="78"/>
      <c r="AQ239" s="71">
        <f>AH239+AI239+AJ239+AK239+AL239+AM239+AN239+AO239+AP239</f>
        <v>20913120</v>
      </c>
      <c r="AR239" s="511"/>
      <c r="AS239" s="511">
        <v>21540513.600000001</v>
      </c>
      <c r="AT239" s="511"/>
      <c r="AU239" s="511"/>
      <c r="AV239" s="511"/>
      <c r="AW239" s="511"/>
      <c r="AX239" s="511"/>
      <c r="AY239" s="511"/>
      <c r="AZ239" s="511"/>
      <c r="BA239" s="511">
        <f>SUM(AR239:AZ239)</f>
        <v>21540513.600000001</v>
      </c>
      <c r="BB239" s="78"/>
      <c r="BC239" s="78">
        <v>22186729.008000001</v>
      </c>
      <c r="BD239" s="78"/>
      <c r="BE239" s="78"/>
      <c r="BF239" s="78"/>
      <c r="BG239" s="78"/>
      <c r="BH239" s="78"/>
      <c r="BI239" s="78"/>
      <c r="BJ239" s="78"/>
      <c r="BK239" s="78">
        <f>SUM(BB239:BJ239)</f>
        <v>22186729.008000001</v>
      </c>
      <c r="BL239" s="603">
        <f>AG239+AQ239+BA239+BK239</f>
        <v>84944362.60800001</v>
      </c>
    </row>
    <row r="240" spans="1:64" ht="24.75" customHeight="1" x14ac:dyDescent="0.2">
      <c r="A240" s="56"/>
      <c r="B240" s="56"/>
      <c r="C240" s="124"/>
      <c r="D240" s="306">
        <v>14</v>
      </c>
      <c r="E240" s="122" t="s">
        <v>585</v>
      </c>
      <c r="F240" s="307"/>
      <c r="G240" s="307"/>
      <c r="H240" s="307"/>
      <c r="I240" s="262"/>
      <c r="J240" s="35"/>
      <c r="K240" s="35"/>
      <c r="L240" s="36"/>
      <c r="M240" s="34"/>
      <c r="N240" s="37"/>
      <c r="O240" s="35"/>
      <c r="P240" s="35"/>
      <c r="Q240" s="38"/>
      <c r="R240" s="35"/>
      <c r="S240" s="35"/>
      <c r="T240" s="34"/>
      <c r="U240" s="123"/>
      <c r="V240" s="34"/>
      <c r="W240" s="34"/>
      <c r="X240" s="40">
        <f t="shared" ref="X240:AF240" si="339">X241+X245+X247+X251+X254</f>
        <v>0</v>
      </c>
      <c r="Y240" s="40">
        <f t="shared" si="339"/>
        <v>4620095942</v>
      </c>
      <c r="Z240" s="40">
        <f t="shared" si="339"/>
        <v>310000000</v>
      </c>
      <c r="AA240" s="40">
        <f t="shared" si="339"/>
        <v>1159946856</v>
      </c>
      <c r="AB240" s="40">
        <f t="shared" si="339"/>
        <v>0</v>
      </c>
      <c r="AC240" s="40">
        <f t="shared" si="339"/>
        <v>0</v>
      </c>
      <c r="AD240" s="40">
        <f t="shared" si="339"/>
        <v>0</v>
      </c>
      <c r="AE240" s="40">
        <f t="shared" si="339"/>
        <v>7882699266</v>
      </c>
      <c r="AF240" s="40">
        <f t="shared" si="339"/>
        <v>0</v>
      </c>
      <c r="AG240" s="41">
        <f>AG241+AG245+AG247+AG251+AG254</f>
        <v>13972742064</v>
      </c>
      <c r="AH240" s="40">
        <f t="shared" ref="AH240:AQ240" si="340">AH241+AH245+AH247+AH251+AH254</f>
        <v>0</v>
      </c>
      <c r="AI240" s="40">
        <f t="shared" si="340"/>
        <v>4134875595.7799997</v>
      </c>
      <c r="AJ240" s="40">
        <f t="shared" si="340"/>
        <v>300000000</v>
      </c>
      <c r="AK240" s="40">
        <f t="shared" si="340"/>
        <v>0</v>
      </c>
      <c r="AL240" s="40">
        <f t="shared" si="340"/>
        <v>0</v>
      </c>
      <c r="AM240" s="40">
        <f t="shared" si="340"/>
        <v>0</v>
      </c>
      <c r="AN240" s="40">
        <f t="shared" si="340"/>
        <v>0</v>
      </c>
      <c r="AO240" s="40">
        <f t="shared" si="340"/>
        <v>7334790933</v>
      </c>
      <c r="AP240" s="40">
        <f t="shared" si="340"/>
        <v>0</v>
      </c>
      <c r="AQ240" s="40">
        <f t="shared" si="340"/>
        <v>11769666528.780001</v>
      </c>
      <c r="AR240" s="42"/>
      <c r="AS240" s="42"/>
      <c r="AT240" s="42"/>
      <c r="AU240" s="42"/>
      <c r="AV240" s="42"/>
      <c r="AW240" s="42"/>
      <c r="AX240" s="42"/>
      <c r="AY240" s="42"/>
      <c r="AZ240" s="42"/>
      <c r="BA240" s="40">
        <f>BA241+BA245+BA247+BA251+BA254</f>
        <v>11963756525.653402</v>
      </c>
      <c r="BB240" s="42"/>
      <c r="BC240" s="42"/>
      <c r="BD240" s="42"/>
      <c r="BE240" s="42"/>
      <c r="BF240" s="42"/>
      <c r="BG240" s="42"/>
      <c r="BH240" s="42"/>
      <c r="BI240" s="42"/>
      <c r="BJ240" s="42"/>
      <c r="BK240" s="40">
        <f t="shared" ref="BK240" si="341">BK241+BK245+BK247+BK251+BK254</f>
        <v>12218169220.415003</v>
      </c>
      <c r="BL240" s="40">
        <f t="shared" ref="BL240" si="342">BL241+BL245+BL247+BL251+BL254</f>
        <v>49924334338.848396</v>
      </c>
    </row>
    <row r="241" spans="1:64" ht="24.75" customHeight="1" x14ac:dyDescent="0.2">
      <c r="A241" s="56"/>
      <c r="B241" s="56"/>
      <c r="C241" s="124"/>
      <c r="D241" s="417"/>
      <c r="E241" s="44">
        <v>50</v>
      </c>
      <c r="F241" s="45" t="s">
        <v>586</v>
      </c>
      <c r="G241" s="48"/>
      <c r="H241" s="48"/>
      <c r="I241" s="44"/>
      <c r="J241" s="45"/>
      <c r="K241" s="48"/>
      <c r="L241" s="47"/>
      <c r="M241" s="49"/>
      <c r="N241" s="50"/>
      <c r="O241" s="48"/>
      <c r="P241" s="48"/>
      <c r="Q241" s="51"/>
      <c r="R241" s="48"/>
      <c r="S241" s="48"/>
      <c r="T241" s="49"/>
      <c r="U241" s="125"/>
      <c r="V241" s="49"/>
      <c r="W241" s="49"/>
      <c r="X241" s="53">
        <f t="shared" ref="X241:AF241" si="343">SUM(X242:X244)</f>
        <v>0</v>
      </c>
      <c r="Y241" s="53">
        <f t="shared" si="343"/>
        <v>4379703942</v>
      </c>
      <c r="Z241" s="53">
        <f t="shared" si="343"/>
        <v>0</v>
      </c>
      <c r="AA241" s="53">
        <f t="shared" si="343"/>
        <v>1159946856</v>
      </c>
      <c r="AB241" s="53">
        <f t="shared" si="343"/>
        <v>0</v>
      </c>
      <c r="AC241" s="53">
        <f t="shared" si="343"/>
        <v>0</v>
      </c>
      <c r="AD241" s="53">
        <f t="shared" si="343"/>
        <v>0</v>
      </c>
      <c r="AE241" s="53">
        <f t="shared" si="343"/>
        <v>7882699266</v>
      </c>
      <c r="AF241" s="53">
        <f t="shared" si="343"/>
        <v>0</v>
      </c>
      <c r="AG241" s="54">
        <f>SUM(AG242:AG244)</f>
        <v>13422350064</v>
      </c>
      <c r="AH241" s="53">
        <f t="shared" ref="AH241:AQ241" si="344">SUM(AH242:AH244)</f>
        <v>0</v>
      </c>
      <c r="AI241" s="53">
        <f t="shared" si="344"/>
        <v>3887271835.7800002</v>
      </c>
      <c r="AJ241" s="53">
        <f t="shared" si="344"/>
        <v>0</v>
      </c>
      <c r="AK241" s="53">
        <f t="shared" si="344"/>
        <v>0</v>
      </c>
      <c r="AL241" s="53">
        <f t="shared" si="344"/>
        <v>0</v>
      </c>
      <c r="AM241" s="53">
        <f t="shared" si="344"/>
        <v>0</v>
      </c>
      <c r="AN241" s="53">
        <f t="shared" si="344"/>
        <v>0</v>
      </c>
      <c r="AO241" s="53">
        <f t="shared" si="344"/>
        <v>7334790933</v>
      </c>
      <c r="AP241" s="53">
        <f t="shared" si="344"/>
        <v>0</v>
      </c>
      <c r="AQ241" s="53">
        <f t="shared" si="344"/>
        <v>11222062768.780001</v>
      </c>
      <c r="AR241" s="55"/>
      <c r="AS241" s="55"/>
      <c r="AT241" s="55"/>
      <c r="AU241" s="55"/>
      <c r="AV241" s="55"/>
      <c r="AW241" s="55"/>
      <c r="AX241" s="55"/>
      <c r="AY241" s="55"/>
      <c r="AZ241" s="55"/>
      <c r="BA241" s="53">
        <f t="shared" ref="BA241" si="345">SUM(BA242:BA244)</f>
        <v>11558724652.853401</v>
      </c>
      <c r="BB241" s="55"/>
      <c r="BC241" s="55"/>
      <c r="BD241" s="55"/>
      <c r="BE241" s="55"/>
      <c r="BF241" s="55"/>
      <c r="BG241" s="55"/>
      <c r="BH241" s="55"/>
      <c r="BI241" s="55"/>
      <c r="BJ241" s="55"/>
      <c r="BK241" s="53">
        <f t="shared" ref="BK241" si="346">SUM(BK242:BK244)</f>
        <v>11905486391.579002</v>
      </c>
      <c r="BL241" s="53">
        <f t="shared" ref="BL241" si="347">SUM(BL242:BL244)</f>
        <v>48108623877.212402</v>
      </c>
    </row>
    <row r="242" spans="1:64" ht="93.75" customHeight="1" x14ac:dyDescent="0.2">
      <c r="A242" s="74">
        <v>166</v>
      </c>
      <c r="B242" s="56">
        <v>3</v>
      </c>
      <c r="C242" s="124"/>
      <c r="D242" s="124"/>
      <c r="E242" s="510">
        <v>28</v>
      </c>
      <c r="F242" s="451" t="s">
        <v>587</v>
      </c>
      <c r="G242" s="418">
        <v>0.5</v>
      </c>
      <c r="H242" s="418">
        <v>1</v>
      </c>
      <c r="I242" s="64">
        <v>166</v>
      </c>
      <c r="J242" s="60" t="s">
        <v>588</v>
      </c>
      <c r="K242" s="247" t="s">
        <v>589</v>
      </c>
      <c r="L242" s="302" t="s">
        <v>442</v>
      </c>
      <c r="M242" s="265">
        <v>2</v>
      </c>
      <c r="N242" s="272" t="s">
        <v>54</v>
      </c>
      <c r="O242" s="267">
        <v>1</v>
      </c>
      <c r="P242" s="267">
        <v>0.8</v>
      </c>
      <c r="Q242" s="277">
        <v>1</v>
      </c>
      <c r="R242" s="275">
        <v>1</v>
      </c>
      <c r="S242" s="275">
        <v>1</v>
      </c>
      <c r="T242" s="275">
        <v>1</v>
      </c>
      <c r="U242" s="308"/>
      <c r="V242" s="64">
        <v>3</v>
      </c>
      <c r="W242" s="61" t="s">
        <v>453</v>
      </c>
      <c r="X242" s="96"/>
      <c r="Y242" s="96"/>
      <c r="Z242" s="96"/>
      <c r="AA242" s="96"/>
      <c r="AB242" s="96"/>
      <c r="AC242" s="96"/>
      <c r="AD242" s="96"/>
      <c r="AE242" s="96"/>
      <c r="AF242" s="96"/>
      <c r="AG242" s="69">
        <f>+X242+Y242+Z242+AA242+AB242+AC242+AD242+AE242+AF242</f>
        <v>0</v>
      </c>
      <c r="AH242" s="78"/>
      <c r="AI242" s="78"/>
      <c r="AJ242" s="78"/>
      <c r="AK242" s="78"/>
      <c r="AL242" s="78"/>
      <c r="AM242" s="78"/>
      <c r="AN242" s="78"/>
      <c r="AO242" s="78"/>
      <c r="AP242" s="78"/>
      <c r="AQ242" s="71">
        <f>AH242+AI242+AJ242+AK242+AL242+AM242+AN242+AO242+AP242</f>
        <v>0</v>
      </c>
      <c r="AR242" s="511"/>
      <c r="AS242" s="511"/>
      <c r="AT242" s="511"/>
      <c r="AU242" s="511"/>
      <c r="AV242" s="511"/>
      <c r="AW242" s="511"/>
      <c r="AX242" s="511"/>
      <c r="AY242" s="511"/>
      <c r="AZ242" s="511"/>
      <c r="BA242" s="511"/>
      <c r="BB242" s="78"/>
      <c r="BC242" s="78"/>
      <c r="BD242" s="78"/>
      <c r="BE242" s="78"/>
      <c r="BF242" s="78"/>
      <c r="BG242" s="78"/>
      <c r="BH242" s="78"/>
      <c r="BI242" s="78"/>
      <c r="BJ242" s="78"/>
      <c r="BK242" s="78"/>
      <c r="BL242" s="603">
        <f>AG242+AQ242+BA242+BK242</f>
        <v>0</v>
      </c>
    </row>
    <row r="243" spans="1:64" s="73" customFormat="1" ht="93.75" customHeight="1" x14ac:dyDescent="0.25">
      <c r="A243" s="56">
        <v>167</v>
      </c>
      <c r="B243" s="56">
        <v>3</v>
      </c>
      <c r="C243" s="124"/>
      <c r="D243" s="124"/>
      <c r="E243" s="79"/>
      <c r="F243" s="309"/>
      <c r="G243" s="164"/>
      <c r="H243" s="164"/>
      <c r="I243" s="64">
        <v>167</v>
      </c>
      <c r="J243" s="60" t="s">
        <v>590</v>
      </c>
      <c r="K243" s="247" t="s">
        <v>591</v>
      </c>
      <c r="L243" s="302" t="s">
        <v>442</v>
      </c>
      <c r="M243" s="265">
        <v>2</v>
      </c>
      <c r="N243" s="272" t="s">
        <v>54</v>
      </c>
      <c r="O243" s="267">
        <v>15</v>
      </c>
      <c r="P243" s="267">
        <v>15</v>
      </c>
      <c r="Q243" s="277">
        <v>15</v>
      </c>
      <c r="R243" s="275">
        <v>15</v>
      </c>
      <c r="S243" s="275">
        <v>15</v>
      </c>
      <c r="T243" s="275">
        <v>15</v>
      </c>
      <c r="U243" s="252">
        <f>AG243/AG241</f>
        <v>1</v>
      </c>
      <c r="V243" s="64">
        <v>3</v>
      </c>
      <c r="W243" s="61" t="s">
        <v>453</v>
      </c>
      <c r="X243" s="96"/>
      <c r="Y243" s="70">
        <v>4379703942</v>
      </c>
      <c r="Z243" s="96"/>
      <c r="AA243" s="176">
        <f>68256639+34500717+423437500+633752000</f>
        <v>1159946856</v>
      </c>
      <c r="AB243" s="176"/>
      <c r="AC243" s="96"/>
      <c r="AD243" s="96"/>
      <c r="AE243" s="500">
        <v>7882699266</v>
      </c>
      <c r="AF243" s="96"/>
      <c r="AG243" s="69">
        <f>+X243+Y243+Z243+AA243+AB243+AC243+AD243+AE243+AF243</f>
        <v>13422350064</v>
      </c>
      <c r="AH243" s="78"/>
      <c r="AI243" s="78">
        <v>3887271835.7800002</v>
      </c>
      <c r="AJ243" s="78"/>
      <c r="AK243" s="78"/>
      <c r="AL243" s="78"/>
      <c r="AM243" s="78"/>
      <c r="AN243" s="78"/>
      <c r="AO243" s="78">
        <v>7334790933</v>
      </c>
      <c r="AP243" s="78"/>
      <c r="AQ243" s="71">
        <f>AH243+AI243+AJ243+AK243+AL243+AM243+AN243+AO243+AP243</f>
        <v>11222062768.780001</v>
      </c>
      <c r="AR243" s="511"/>
      <c r="AS243" s="310">
        <v>4003889990.8534002</v>
      </c>
      <c r="AT243" s="511"/>
      <c r="AU243" s="511"/>
      <c r="AV243" s="511"/>
      <c r="AW243" s="511"/>
      <c r="AX243" s="511"/>
      <c r="AY243" s="511">
        <v>7554834662</v>
      </c>
      <c r="AZ243" s="511"/>
      <c r="BA243" s="511">
        <f>SUM(AR243:AZ243)</f>
        <v>11558724652.853401</v>
      </c>
      <c r="BB243" s="511"/>
      <c r="BC243" s="99">
        <v>4124006690.5790024</v>
      </c>
      <c r="BD243" s="78"/>
      <c r="BE243" s="78"/>
      <c r="BF243" s="78"/>
      <c r="BG243" s="78"/>
      <c r="BH243" s="539"/>
      <c r="BI243" s="310">
        <v>7781479701</v>
      </c>
      <c r="BJ243" s="78"/>
      <c r="BK243" s="78">
        <f>SUM(BB243:BJ243)</f>
        <v>11905486391.579002</v>
      </c>
      <c r="BL243" s="603">
        <f>AG243+AQ243+BA243+BK243</f>
        <v>48108623877.212402</v>
      </c>
    </row>
    <row r="244" spans="1:64" ht="93.75" customHeight="1" x14ac:dyDescent="0.2">
      <c r="A244" s="74">
        <v>168</v>
      </c>
      <c r="B244" s="56">
        <v>3</v>
      </c>
      <c r="C244" s="124"/>
      <c r="D244" s="124"/>
      <c r="E244" s="506"/>
      <c r="F244" s="311"/>
      <c r="G244" s="189"/>
      <c r="H244" s="189"/>
      <c r="I244" s="64">
        <v>168</v>
      </c>
      <c r="J244" s="60" t="s">
        <v>592</v>
      </c>
      <c r="K244" s="247" t="s">
        <v>593</v>
      </c>
      <c r="L244" s="302" t="s">
        <v>442</v>
      </c>
      <c r="M244" s="265">
        <v>2</v>
      </c>
      <c r="N244" s="272" t="s">
        <v>54</v>
      </c>
      <c r="O244" s="267">
        <v>7</v>
      </c>
      <c r="P244" s="267">
        <v>14</v>
      </c>
      <c r="Q244" s="277">
        <v>14</v>
      </c>
      <c r="R244" s="275">
        <v>14</v>
      </c>
      <c r="S244" s="275">
        <v>14</v>
      </c>
      <c r="T244" s="275">
        <v>14</v>
      </c>
      <c r="U244" s="308"/>
      <c r="V244" s="64">
        <v>3</v>
      </c>
      <c r="W244" s="61" t="s">
        <v>453</v>
      </c>
      <c r="X244" s="96"/>
      <c r="Y244" s="96"/>
      <c r="Z244" s="96"/>
      <c r="AA244" s="96"/>
      <c r="AB244" s="96"/>
      <c r="AC244" s="96"/>
      <c r="AD244" s="96"/>
      <c r="AE244" s="96"/>
      <c r="AF244" s="96"/>
      <c r="AG244" s="69">
        <f>+X244+Y244+Z244+AA244+AB244+AC244+AD244+AE244+AF244</f>
        <v>0</v>
      </c>
      <c r="AH244" s="78"/>
      <c r="AI244" s="78"/>
      <c r="AJ244" s="78"/>
      <c r="AK244" s="78"/>
      <c r="AL244" s="78"/>
      <c r="AM244" s="78"/>
      <c r="AN244" s="78"/>
      <c r="AO244" s="78"/>
      <c r="AP244" s="78"/>
      <c r="AQ244" s="71">
        <f>AH244+AI244+AJ244+AK244+AL244+AM244+AN244+AO244+AP244</f>
        <v>0</v>
      </c>
      <c r="AR244" s="511"/>
      <c r="AS244" s="511"/>
      <c r="AT244" s="511"/>
      <c r="AU244" s="511"/>
      <c r="AV244" s="511"/>
      <c r="AW244" s="511"/>
      <c r="AX244" s="511"/>
      <c r="AY244" s="511"/>
      <c r="AZ244" s="511"/>
      <c r="BA244" s="511"/>
      <c r="BB244" s="78"/>
      <c r="BC244" s="78"/>
      <c r="BD244" s="78"/>
      <c r="BE244" s="78"/>
      <c r="BF244" s="78"/>
      <c r="BG244" s="78"/>
      <c r="BH244" s="78"/>
      <c r="BI244" s="78"/>
      <c r="BJ244" s="78"/>
      <c r="BK244" s="78"/>
      <c r="BL244" s="603">
        <f>AG244+AQ244+BA244+BK244</f>
        <v>0</v>
      </c>
    </row>
    <row r="245" spans="1:64" ht="24.75" customHeight="1" x14ac:dyDescent="0.2">
      <c r="A245" s="74"/>
      <c r="B245" s="56"/>
      <c r="C245" s="124"/>
      <c r="D245" s="124"/>
      <c r="E245" s="44">
        <v>51</v>
      </c>
      <c r="F245" s="45" t="s">
        <v>594</v>
      </c>
      <c r="G245" s="48"/>
      <c r="H245" s="48"/>
      <c r="I245" s="47"/>
      <c r="J245" s="48"/>
      <c r="K245" s="48"/>
      <c r="L245" s="47"/>
      <c r="M245" s="49"/>
      <c r="N245" s="50"/>
      <c r="O245" s="48"/>
      <c r="P245" s="48"/>
      <c r="Q245" s="51"/>
      <c r="R245" s="48"/>
      <c r="S245" s="48"/>
      <c r="T245" s="49"/>
      <c r="U245" s="125"/>
      <c r="V245" s="49"/>
      <c r="W245" s="49"/>
      <c r="X245" s="53">
        <f t="shared" ref="X245:AF245" si="348">SUM(X246)</f>
        <v>0</v>
      </c>
      <c r="Y245" s="53">
        <f t="shared" si="348"/>
        <v>42864000</v>
      </c>
      <c r="Z245" s="53">
        <f t="shared" si="348"/>
        <v>0</v>
      </c>
      <c r="AA245" s="53">
        <f t="shared" si="348"/>
        <v>0</v>
      </c>
      <c r="AB245" s="53">
        <f t="shared" si="348"/>
        <v>0</v>
      </c>
      <c r="AC245" s="53">
        <f t="shared" si="348"/>
        <v>0</v>
      </c>
      <c r="AD245" s="53">
        <f t="shared" si="348"/>
        <v>0</v>
      </c>
      <c r="AE245" s="53">
        <f t="shared" si="348"/>
        <v>0</v>
      </c>
      <c r="AF245" s="53">
        <f t="shared" si="348"/>
        <v>0</v>
      </c>
      <c r="AG245" s="54">
        <f>SUM(AG246)</f>
        <v>42864000</v>
      </c>
      <c r="AH245" s="53">
        <f t="shared" ref="AH245:AQ245" si="349">SUM(AH246)</f>
        <v>0</v>
      </c>
      <c r="AI245" s="53">
        <f t="shared" si="349"/>
        <v>44149920</v>
      </c>
      <c r="AJ245" s="53">
        <f t="shared" si="349"/>
        <v>0</v>
      </c>
      <c r="AK245" s="53">
        <f t="shared" si="349"/>
        <v>0</v>
      </c>
      <c r="AL245" s="53">
        <f t="shared" si="349"/>
        <v>0</v>
      </c>
      <c r="AM245" s="53">
        <f t="shared" si="349"/>
        <v>0</v>
      </c>
      <c r="AN245" s="53">
        <f t="shared" si="349"/>
        <v>0</v>
      </c>
      <c r="AO245" s="53">
        <f t="shared" si="349"/>
        <v>0</v>
      </c>
      <c r="AP245" s="53">
        <f t="shared" si="349"/>
        <v>0</v>
      </c>
      <c r="AQ245" s="53">
        <f t="shared" si="349"/>
        <v>44149920</v>
      </c>
      <c r="AR245" s="55"/>
      <c r="AS245" s="55"/>
      <c r="AT245" s="55"/>
      <c r="AU245" s="55"/>
      <c r="AV245" s="55"/>
      <c r="AW245" s="55"/>
      <c r="AX245" s="55"/>
      <c r="AY245" s="55"/>
      <c r="AZ245" s="55"/>
      <c r="BA245" s="53">
        <f t="shared" ref="BA245" si="350">SUM(BA246)</f>
        <v>45474417.600000001</v>
      </c>
      <c r="BB245" s="55"/>
      <c r="BC245" s="55"/>
      <c r="BD245" s="55"/>
      <c r="BE245" s="55"/>
      <c r="BF245" s="55"/>
      <c r="BG245" s="55"/>
      <c r="BH245" s="55"/>
      <c r="BI245" s="55"/>
      <c r="BJ245" s="55"/>
      <c r="BK245" s="53">
        <f t="shared" ref="BK245:BL245" si="351">SUM(BK246)</f>
        <v>46838650.128000006</v>
      </c>
      <c r="BL245" s="53">
        <f t="shared" si="351"/>
        <v>179326987.72799999</v>
      </c>
    </row>
    <row r="246" spans="1:64" ht="62.25" customHeight="1" x14ac:dyDescent="0.2">
      <c r="A246" s="56">
        <v>169</v>
      </c>
      <c r="B246" s="56">
        <v>3</v>
      </c>
      <c r="C246" s="124"/>
      <c r="D246" s="124"/>
      <c r="E246" s="81" t="s">
        <v>595</v>
      </c>
      <c r="F246" s="517" t="s">
        <v>596</v>
      </c>
      <c r="G246" s="523">
        <v>0.6</v>
      </c>
      <c r="H246" s="523">
        <v>1</v>
      </c>
      <c r="I246" s="64">
        <v>169</v>
      </c>
      <c r="J246" s="60" t="s">
        <v>597</v>
      </c>
      <c r="K246" s="247" t="s">
        <v>598</v>
      </c>
      <c r="L246" s="302" t="s">
        <v>442</v>
      </c>
      <c r="M246" s="265">
        <v>2</v>
      </c>
      <c r="N246" s="272" t="s">
        <v>54</v>
      </c>
      <c r="O246" s="267">
        <v>8</v>
      </c>
      <c r="P246" s="267">
        <v>12</v>
      </c>
      <c r="Q246" s="277">
        <v>12</v>
      </c>
      <c r="R246" s="275">
        <v>12</v>
      </c>
      <c r="S246" s="275">
        <v>12</v>
      </c>
      <c r="T246" s="275">
        <v>12</v>
      </c>
      <c r="U246" s="211">
        <f>AG246/AG245</f>
        <v>1</v>
      </c>
      <c r="V246" s="64">
        <v>3</v>
      </c>
      <c r="W246" s="61" t="s">
        <v>453</v>
      </c>
      <c r="X246" s="176"/>
      <c r="Y246" s="70">
        <v>42864000</v>
      </c>
      <c r="Z246" s="176"/>
      <c r="AA246" s="176"/>
      <c r="AB246" s="176"/>
      <c r="AC246" s="176"/>
      <c r="AD246" s="176"/>
      <c r="AE246" s="176"/>
      <c r="AF246" s="176"/>
      <c r="AG246" s="69">
        <f>+X246+Y246+Z246+AA246+AB246+AC246+AD246+AE246+AF246</f>
        <v>42864000</v>
      </c>
      <c r="AH246" s="78"/>
      <c r="AI246" s="511">
        <v>44149920</v>
      </c>
      <c r="AJ246" s="78"/>
      <c r="AK246" s="78"/>
      <c r="AL246" s="78"/>
      <c r="AM246" s="78"/>
      <c r="AN246" s="78"/>
      <c r="AO246" s="78"/>
      <c r="AP246" s="78"/>
      <c r="AQ246" s="71">
        <f>AH246+AI246+AJ246+AK246+AL246+AM246+AN246+AO246+AP246</f>
        <v>44149920</v>
      </c>
      <c r="AR246" s="511"/>
      <c r="AS246" s="511">
        <v>45474417.600000001</v>
      </c>
      <c r="AT246" s="511"/>
      <c r="AU246" s="511"/>
      <c r="AV246" s="511"/>
      <c r="AW246" s="511"/>
      <c r="AX246" s="511"/>
      <c r="AY246" s="511"/>
      <c r="AZ246" s="511"/>
      <c r="BA246" s="511">
        <f>SUM(AS246:AZ246)+AR246</f>
        <v>45474417.600000001</v>
      </c>
      <c r="BB246" s="78"/>
      <c r="BC246" s="78">
        <v>46838650.128000006</v>
      </c>
      <c r="BD246" s="78"/>
      <c r="BE246" s="78"/>
      <c r="BF246" s="78"/>
      <c r="BG246" s="78"/>
      <c r="BH246" s="78"/>
      <c r="BI246" s="78"/>
      <c r="BJ246" s="78"/>
      <c r="BK246" s="78">
        <f>SUM(BC246:BJ246)+BB246</f>
        <v>46838650.128000006</v>
      </c>
      <c r="BL246" s="603">
        <f>AG246+AQ246+BA246+BK246</f>
        <v>179326987.72799999</v>
      </c>
    </row>
    <row r="247" spans="1:64" ht="24.75" customHeight="1" x14ac:dyDescent="0.2">
      <c r="A247" s="56"/>
      <c r="B247" s="56"/>
      <c r="C247" s="124"/>
      <c r="D247" s="124"/>
      <c r="E247" s="44">
        <v>52</v>
      </c>
      <c r="F247" s="45" t="s">
        <v>599</v>
      </c>
      <c r="G247" s="84"/>
      <c r="H247" s="84"/>
      <c r="I247" s="47"/>
      <c r="J247" s="48"/>
      <c r="K247" s="84"/>
      <c r="L247" s="47"/>
      <c r="M247" s="47"/>
      <c r="N247" s="85"/>
      <c r="O247" s="84"/>
      <c r="P247" s="84"/>
      <c r="Q247" s="86"/>
      <c r="R247" s="84"/>
      <c r="S247" s="86"/>
      <c r="T247" s="86"/>
      <c r="U247" s="86"/>
      <c r="V247" s="86"/>
      <c r="W247" s="86"/>
      <c r="X247" s="462">
        <f>SUM(X248:X250)</f>
        <v>0</v>
      </c>
      <c r="Y247" s="462">
        <f t="shared" ref="Y247:AN247" si="352">SUM(Y248:Y250)</f>
        <v>140000000</v>
      </c>
      <c r="Z247" s="462">
        <f t="shared" si="352"/>
        <v>310000000</v>
      </c>
      <c r="AA247" s="462">
        <f t="shared" si="352"/>
        <v>0</v>
      </c>
      <c r="AB247" s="462">
        <f t="shared" si="352"/>
        <v>0</v>
      </c>
      <c r="AC247" s="462">
        <f t="shared" si="352"/>
        <v>0</v>
      </c>
      <c r="AD247" s="462">
        <f t="shared" si="352"/>
        <v>0</v>
      </c>
      <c r="AE247" s="462">
        <f t="shared" si="352"/>
        <v>0</v>
      </c>
      <c r="AF247" s="462">
        <f t="shared" si="352"/>
        <v>0</v>
      </c>
      <c r="AG247" s="462">
        <f t="shared" si="352"/>
        <v>450000000</v>
      </c>
      <c r="AH247" s="462">
        <f t="shared" si="352"/>
        <v>0</v>
      </c>
      <c r="AI247" s="462">
        <f t="shared" si="352"/>
        <v>144199999.99999955</v>
      </c>
      <c r="AJ247" s="462">
        <f t="shared" si="352"/>
        <v>300000000</v>
      </c>
      <c r="AK247" s="462">
        <f t="shared" si="352"/>
        <v>0</v>
      </c>
      <c r="AL247" s="462">
        <f t="shared" si="352"/>
        <v>0</v>
      </c>
      <c r="AM247" s="462">
        <f t="shared" si="352"/>
        <v>0</v>
      </c>
      <c r="AN247" s="462">
        <f t="shared" si="352"/>
        <v>0</v>
      </c>
      <c r="AO247" s="462">
        <f t="shared" ref="AO247:AQ247" si="353">SUM(AO248:AO250)</f>
        <v>0</v>
      </c>
      <c r="AP247" s="462">
        <f t="shared" si="353"/>
        <v>0</v>
      </c>
      <c r="AQ247" s="462">
        <f t="shared" si="353"/>
        <v>444199999.99999952</v>
      </c>
      <c r="AR247" s="86"/>
      <c r="AS247" s="86"/>
      <c r="AT247" s="86"/>
      <c r="AU247" s="86"/>
      <c r="AV247" s="86"/>
      <c r="AW247" s="86"/>
      <c r="AX247" s="86"/>
      <c r="AY247" s="86"/>
      <c r="AZ247" s="86"/>
      <c r="BA247" s="462">
        <f t="shared" ref="BA247" si="354">SUM(BA248:BA250)</f>
        <v>298526000</v>
      </c>
      <c r="BB247" s="86"/>
      <c r="BC247" s="86"/>
      <c r="BD247" s="86"/>
      <c r="BE247" s="86"/>
      <c r="BF247" s="86"/>
      <c r="BG247" s="86"/>
      <c r="BH247" s="86"/>
      <c r="BI247" s="86"/>
      <c r="BJ247" s="86"/>
      <c r="BK247" s="462">
        <f t="shared" ref="BK247:BL247" si="355">SUM(BK248:BK250)</f>
        <v>202981780</v>
      </c>
      <c r="BL247" s="602">
        <f t="shared" si="355"/>
        <v>1395707779.9999995</v>
      </c>
    </row>
    <row r="248" spans="1:64" ht="62.25" customHeight="1" x14ac:dyDescent="0.2">
      <c r="A248" s="74">
        <v>170</v>
      </c>
      <c r="B248" s="56">
        <v>3</v>
      </c>
      <c r="C248" s="124"/>
      <c r="D248" s="124"/>
      <c r="E248" s="510">
        <v>28</v>
      </c>
      <c r="F248" s="451" t="s">
        <v>587</v>
      </c>
      <c r="G248" s="418">
        <v>0.5</v>
      </c>
      <c r="H248" s="418">
        <v>1</v>
      </c>
      <c r="I248" s="64">
        <v>170</v>
      </c>
      <c r="J248" s="60" t="s">
        <v>600</v>
      </c>
      <c r="K248" s="312" t="s">
        <v>601</v>
      </c>
      <c r="L248" s="302" t="s">
        <v>442</v>
      </c>
      <c r="M248" s="265">
        <v>2</v>
      </c>
      <c r="N248" s="272" t="s">
        <v>54</v>
      </c>
      <c r="O248" s="281">
        <v>14</v>
      </c>
      <c r="P248" s="281">
        <v>14</v>
      </c>
      <c r="Q248" s="277">
        <v>14</v>
      </c>
      <c r="R248" s="275">
        <v>14</v>
      </c>
      <c r="S248" s="275">
        <v>14</v>
      </c>
      <c r="T248" s="275">
        <v>14</v>
      </c>
      <c r="U248" s="252">
        <f>AG248/$AG$247</f>
        <v>8.8888888888888892E-2</v>
      </c>
      <c r="V248" s="65">
        <v>3</v>
      </c>
      <c r="W248" s="62" t="s">
        <v>453</v>
      </c>
      <c r="X248" s="96"/>
      <c r="Y248" s="496">
        <v>40000000</v>
      </c>
      <c r="Z248" s="500"/>
      <c r="AA248" s="176"/>
      <c r="AB248" s="96"/>
      <c r="AC248" s="96"/>
      <c r="AD248" s="96"/>
      <c r="AE248" s="96"/>
      <c r="AF248" s="96"/>
      <c r="AG248" s="69">
        <f>+X248+Y248+Z248+AA248+AB248+AC248+AD248+AE248+AF248</f>
        <v>40000000</v>
      </c>
      <c r="AH248" s="78"/>
      <c r="AI248" s="511">
        <v>39484444.444444448</v>
      </c>
      <c r="AJ248" s="78"/>
      <c r="AK248" s="78"/>
      <c r="AL248" s="78"/>
      <c r="AM248" s="78"/>
      <c r="AN248" s="78"/>
      <c r="AO248" s="78"/>
      <c r="AP248" s="78"/>
      <c r="AQ248" s="71">
        <f>AH248+AI248+AJ248+AK248+AL248+AM248+AN248+AO248+AP248</f>
        <v>39484444.444444448</v>
      </c>
      <c r="AR248" s="511"/>
      <c r="AS248" s="511">
        <v>26500000</v>
      </c>
      <c r="AT248" s="511"/>
      <c r="AU248" s="511"/>
      <c r="AV248" s="511"/>
      <c r="AW248" s="511"/>
      <c r="AX248" s="511"/>
      <c r="AY248" s="511"/>
      <c r="AZ248" s="511"/>
      <c r="BA248" s="511">
        <f>SUM(AR248:AZ248)</f>
        <v>26500000</v>
      </c>
      <c r="BB248" s="78"/>
      <c r="BC248" s="78">
        <v>30781780</v>
      </c>
      <c r="BD248" s="78"/>
      <c r="BE248" s="78"/>
      <c r="BF248" s="78"/>
      <c r="BG248" s="78"/>
      <c r="BH248" s="78"/>
      <c r="BI248" s="78"/>
      <c r="BJ248" s="78"/>
      <c r="BK248" s="78">
        <f>SUM(BB248:BJ248)</f>
        <v>30781780</v>
      </c>
      <c r="BL248" s="603">
        <f>AG248+AQ248+BA248+BK248</f>
        <v>136766224.44444445</v>
      </c>
    </row>
    <row r="249" spans="1:64" ht="69.75" customHeight="1" x14ac:dyDescent="0.2">
      <c r="A249" s="56">
        <v>171</v>
      </c>
      <c r="B249" s="56">
        <v>3</v>
      </c>
      <c r="C249" s="124"/>
      <c r="D249" s="124"/>
      <c r="E249" s="79"/>
      <c r="F249" s="309"/>
      <c r="G249" s="164"/>
      <c r="H249" s="164"/>
      <c r="I249" s="64">
        <v>171</v>
      </c>
      <c r="J249" s="60" t="s">
        <v>602</v>
      </c>
      <c r="K249" s="312" t="s">
        <v>603</v>
      </c>
      <c r="L249" s="302" t="s">
        <v>442</v>
      </c>
      <c r="M249" s="265">
        <v>2</v>
      </c>
      <c r="N249" s="272" t="s">
        <v>54</v>
      </c>
      <c r="O249" s="281">
        <v>1</v>
      </c>
      <c r="P249" s="281">
        <v>1</v>
      </c>
      <c r="Q249" s="277">
        <v>1</v>
      </c>
      <c r="R249" s="275">
        <v>1</v>
      </c>
      <c r="S249" s="275">
        <v>1</v>
      </c>
      <c r="T249" s="275">
        <v>1</v>
      </c>
      <c r="U249" s="252">
        <f>AG249/$AG$247</f>
        <v>0.22222222222222221</v>
      </c>
      <c r="V249" s="65">
        <v>3</v>
      </c>
      <c r="W249" s="62" t="s">
        <v>453</v>
      </c>
      <c r="X249" s="96"/>
      <c r="Y249" s="496">
        <v>100000000</v>
      </c>
      <c r="Z249" s="500"/>
      <c r="AA249" s="176"/>
      <c r="AB249" s="96"/>
      <c r="AC249" s="96"/>
      <c r="AD249" s="96"/>
      <c r="AE249" s="96"/>
      <c r="AF249" s="96"/>
      <c r="AG249" s="69">
        <f>+X249+Y249+Z249+AA249+AB249+AC249+AD249+AE249+AF249</f>
        <v>100000000</v>
      </c>
      <c r="AH249" s="78"/>
      <c r="AI249" s="511">
        <v>98711111.111111104</v>
      </c>
      <c r="AJ249" s="78"/>
      <c r="AK249" s="78"/>
      <c r="AL249" s="78"/>
      <c r="AM249" s="78"/>
      <c r="AN249" s="78"/>
      <c r="AO249" s="78"/>
      <c r="AP249" s="78"/>
      <c r="AQ249" s="71">
        <f>AH249+AI249+AJ249+AK249+AL249+AM249+AN249+AO249+AP249</f>
        <v>98711111.111111104</v>
      </c>
      <c r="AR249" s="511"/>
      <c r="AS249" s="511">
        <v>66300000</v>
      </c>
      <c r="AT249" s="511"/>
      <c r="AU249" s="511"/>
      <c r="AV249" s="511"/>
      <c r="AW249" s="511"/>
      <c r="AX249" s="511"/>
      <c r="AY249" s="511"/>
      <c r="AZ249" s="511"/>
      <c r="BA249" s="511">
        <f>SUM(AR249:AZ249)</f>
        <v>66300000</v>
      </c>
      <c r="BB249" s="78"/>
      <c r="BC249" s="78">
        <v>68000000</v>
      </c>
      <c r="BD249" s="78"/>
      <c r="BE249" s="78"/>
      <c r="BF249" s="78"/>
      <c r="BG249" s="78"/>
      <c r="BH249" s="78"/>
      <c r="BI249" s="78"/>
      <c r="BJ249" s="78"/>
      <c r="BK249" s="78">
        <f>SUM(BB249:BJ249)</f>
        <v>68000000</v>
      </c>
      <c r="BL249" s="603">
        <f>AG249+AQ249+BA249+BK249</f>
        <v>333011111.1111111</v>
      </c>
    </row>
    <row r="250" spans="1:64" ht="122.25" customHeight="1" x14ac:dyDescent="0.2">
      <c r="A250" s="74">
        <v>172</v>
      </c>
      <c r="B250" s="56">
        <v>3</v>
      </c>
      <c r="C250" s="124"/>
      <c r="D250" s="124"/>
      <c r="E250" s="506"/>
      <c r="F250" s="311"/>
      <c r="G250" s="189"/>
      <c r="H250" s="189"/>
      <c r="I250" s="64">
        <v>172</v>
      </c>
      <c r="J250" s="60" t="s">
        <v>604</v>
      </c>
      <c r="K250" s="247" t="s">
        <v>605</v>
      </c>
      <c r="L250" s="302" t="s">
        <v>442</v>
      </c>
      <c r="M250" s="265">
        <v>2</v>
      </c>
      <c r="N250" s="272" t="s">
        <v>54</v>
      </c>
      <c r="O250" s="267">
        <v>12</v>
      </c>
      <c r="P250" s="267">
        <v>12</v>
      </c>
      <c r="Q250" s="277">
        <v>12</v>
      </c>
      <c r="R250" s="275">
        <v>12</v>
      </c>
      <c r="S250" s="275">
        <v>12</v>
      </c>
      <c r="T250" s="275">
        <v>12</v>
      </c>
      <c r="U250" s="252">
        <f>AG250/$AG$247</f>
        <v>0.68888888888888888</v>
      </c>
      <c r="V250" s="65">
        <v>3</v>
      </c>
      <c r="W250" s="62" t="s">
        <v>453</v>
      </c>
      <c r="X250" s="96"/>
      <c r="Y250" s="500"/>
      <c r="Z250" s="496">
        <v>310000000</v>
      </c>
      <c r="AA250" s="96"/>
      <c r="AB250" s="96"/>
      <c r="AC250" s="96"/>
      <c r="AD250" s="96"/>
      <c r="AE250" s="96"/>
      <c r="AF250" s="96"/>
      <c r="AG250" s="69">
        <f>+X250+Y250+Z250+AA250+AB250+AC250+AD250+AE250+AF250</f>
        <v>310000000</v>
      </c>
      <c r="AH250" s="78"/>
      <c r="AI250" s="511">
        <v>6004444.4444439998</v>
      </c>
      <c r="AJ250" s="78">
        <v>300000000</v>
      </c>
      <c r="AK250" s="78"/>
      <c r="AL250" s="78"/>
      <c r="AM250" s="78"/>
      <c r="AN250" s="78"/>
      <c r="AO250" s="78"/>
      <c r="AP250" s="78"/>
      <c r="AQ250" s="71">
        <f>AH250+AI250+AJ250+AK250+AL250+AM250+AN250+AO250+AP250</f>
        <v>306004444.444444</v>
      </c>
      <c r="AR250" s="511"/>
      <c r="AS250" s="511">
        <v>55726000</v>
      </c>
      <c r="AT250" s="511">
        <v>150000000</v>
      </c>
      <c r="AU250" s="511"/>
      <c r="AV250" s="511"/>
      <c r="AW250" s="511"/>
      <c r="AX250" s="511"/>
      <c r="AY250" s="511"/>
      <c r="AZ250" s="511"/>
      <c r="BA250" s="511">
        <f>SUM(AR250:AZ250)</f>
        <v>205726000</v>
      </c>
      <c r="BB250" s="78"/>
      <c r="BC250" s="78">
        <v>54200000</v>
      </c>
      <c r="BD250" s="78">
        <v>50000000</v>
      </c>
      <c r="BE250" s="78"/>
      <c r="BF250" s="78"/>
      <c r="BG250" s="78"/>
      <c r="BH250" s="78"/>
      <c r="BI250" s="78"/>
      <c r="BJ250" s="78"/>
      <c r="BK250" s="78">
        <f>SUM(BB250:BJ250)</f>
        <v>104200000</v>
      </c>
      <c r="BL250" s="603">
        <f>AG250+AQ250+BA250+BK250</f>
        <v>925930444.44444394</v>
      </c>
    </row>
    <row r="251" spans="1:64" ht="24.75" customHeight="1" x14ac:dyDescent="0.2">
      <c r="A251" s="74"/>
      <c r="B251" s="56"/>
      <c r="C251" s="124"/>
      <c r="D251" s="124"/>
      <c r="E251" s="44">
        <v>53</v>
      </c>
      <c r="F251" s="45" t="s">
        <v>606</v>
      </c>
      <c r="G251" s="48"/>
      <c r="H251" s="48"/>
      <c r="I251" s="44"/>
      <c r="J251" s="45"/>
      <c r="K251" s="48"/>
      <c r="L251" s="47"/>
      <c r="M251" s="49"/>
      <c r="N251" s="50"/>
      <c r="O251" s="48"/>
      <c r="P251" s="48"/>
      <c r="Q251" s="51"/>
      <c r="R251" s="48"/>
      <c r="S251" s="48"/>
      <c r="T251" s="49"/>
      <c r="U251" s="125"/>
      <c r="V251" s="49"/>
      <c r="W251" s="49"/>
      <c r="X251" s="53">
        <f t="shared" ref="X251:AF251" si="356">SUM(X252:X253)</f>
        <v>0</v>
      </c>
      <c r="Y251" s="53">
        <f t="shared" si="356"/>
        <v>34404000</v>
      </c>
      <c r="Z251" s="53">
        <f t="shared" si="356"/>
        <v>0</v>
      </c>
      <c r="AA251" s="53">
        <f t="shared" si="356"/>
        <v>0</v>
      </c>
      <c r="AB251" s="53">
        <f t="shared" si="356"/>
        <v>0</v>
      </c>
      <c r="AC251" s="53">
        <f t="shared" si="356"/>
        <v>0</v>
      </c>
      <c r="AD251" s="53">
        <f t="shared" si="356"/>
        <v>0</v>
      </c>
      <c r="AE251" s="53">
        <f t="shared" si="356"/>
        <v>0</v>
      </c>
      <c r="AF251" s="53">
        <f t="shared" si="356"/>
        <v>0</v>
      </c>
      <c r="AG251" s="54">
        <f>SUM(AG252:AG253)</f>
        <v>34404000</v>
      </c>
      <c r="AH251" s="53">
        <f t="shared" ref="AH251:AQ251" si="357">SUM(AH252:AH253)</f>
        <v>0</v>
      </c>
      <c r="AI251" s="53">
        <f t="shared" si="357"/>
        <v>35436120</v>
      </c>
      <c r="AJ251" s="53">
        <f t="shared" si="357"/>
        <v>0</v>
      </c>
      <c r="AK251" s="53">
        <f t="shared" si="357"/>
        <v>0</v>
      </c>
      <c r="AL251" s="53">
        <f t="shared" si="357"/>
        <v>0</v>
      </c>
      <c r="AM251" s="53">
        <f t="shared" si="357"/>
        <v>0</v>
      </c>
      <c r="AN251" s="53">
        <f t="shared" si="357"/>
        <v>0</v>
      </c>
      <c r="AO251" s="53">
        <f t="shared" si="357"/>
        <v>0</v>
      </c>
      <c r="AP251" s="53">
        <f t="shared" si="357"/>
        <v>0</v>
      </c>
      <c r="AQ251" s="53">
        <f t="shared" si="357"/>
        <v>35436120</v>
      </c>
      <c r="AR251" s="55"/>
      <c r="AS251" s="55"/>
      <c r="AT251" s="55"/>
      <c r="AU251" s="55"/>
      <c r="AV251" s="55"/>
      <c r="AW251" s="55"/>
      <c r="AX251" s="55"/>
      <c r="AY251" s="55"/>
      <c r="AZ251" s="55"/>
      <c r="BA251" s="53">
        <f t="shared" ref="BA251" si="358">SUM(BA252:BA253)</f>
        <v>36499203.600000001</v>
      </c>
      <c r="BB251" s="55"/>
      <c r="BC251" s="55"/>
      <c r="BD251" s="55"/>
      <c r="BE251" s="55"/>
      <c r="BF251" s="55"/>
      <c r="BG251" s="55"/>
      <c r="BH251" s="55"/>
      <c r="BI251" s="55"/>
      <c r="BJ251" s="55"/>
      <c r="BK251" s="53">
        <f t="shared" ref="BK251:BL251" si="359">SUM(BK252:BK253)</f>
        <v>37594179.708000004</v>
      </c>
      <c r="BL251" s="53">
        <f t="shared" si="359"/>
        <v>143933503.308</v>
      </c>
    </row>
    <row r="252" spans="1:64" ht="93.75" customHeight="1" x14ac:dyDescent="0.2">
      <c r="A252" s="56">
        <v>173</v>
      </c>
      <c r="B252" s="56">
        <v>3</v>
      </c>
      <c r="C252" s="124"/>
      <c r="D252" s="124"/>
      <c r="E252" s="510">
        <v>28</v>
      </c>
      <c r="F252" s="516" t="s">
        <v>587</v>
      </c>
      <c r="G252" s="448">
        <v>0.5</v>
      </c>
      <c r="H252" s="448">
        <v>1</v>
      </c>
      <c r="I252" s="64">
        <v>173</v>
      </c>
      <c r="J252" s="60" t="s">
        <v>607</v>
      </c>
      <c r="K252" s="247" t="s">
        <v>608</v>
      </c>
      <c r="L252" s="302" t="s">
        <v>442</v>
      </c>
      <c r="M252" s="265">
        <v>2</v>
      </c>
      <c r="N252" s="272" t="s">
        <v>54</v>
      </c>
      <c r="O252" s="281" t="s">
        <v>49</v>
      </c>
      <c r="P252" s="281">
        <v>7</v>
      </c>
      <c r="Q252" s="277">
        <v>7</v>
      </c>
      <c r="R252" s="275">
        <v>7</v>
      </c>
      <c r="S252" s="275">
        <v>7</v>
      </c>
      <c r="T252" s="275">
        <v>7</v>
      </c>
      <c r="U252" s="252">
        <f>AG252/AG251</f>
        <v>1</v>
      </c>
      <c r="V252" s="64">
        <v>3</v>
      </c>
      <c r="W252" s="61" t="s">
        <v>453</v>
      </c>
      <c r="X252" s="96"/>
      <c r="Y252" s="96">
        <v>34404000</v>
      </c>
      <c r="Z252" s="96"/>
      <c r="AA252" s="96"/>
      <c r="AB252" s="96"/>
      <c r="AC252" s="96"/>
      <c r="AD252" s="96"/>
      <c r="AE252" s="96"/>
      <c r="AF252" s="96"/>
      <c r="AG252" s="69">
        <f>+X252+Y252+Z252+AA252+AB252+AC252+AD252+AE252+AF252</f>
        <v>34404000</v>
      </c>
      <c r="AH252" s="78"/>
      <c r="AI252" s="511">
        <v>35436120</v>
      </c>
      <c r="AJ252" s="78"/>
      <c r="AK252" s="78"/>
      <c r="AL252" s="78"/>
      <c r="AM252" s="78"/>
      <c r="AN252" s="78"/>
      <c r="AO252" s="78"/>
      <c r="AP252" s="78"/>
      <c r="AQ252" s="71">
        <f>AH252+AI252+AJ252+AK252+AL252+AM252+AN252+AO252+AP252</f>
        <v>35436120</v>
      </c>
      <c r="AR252" s="511"/>
      <c r="AS252" s="511">
        <v>36499203.600000001</v>
      </c>
      <c r="AT252" s="511"/>
      <c r="AU252" s="511"/>
      <c r="AV252" s="511"/>
      <c r="AW252" s="511"/>
      <c r="AX252" s="511"/>
      <c r="AY252" s="511"/>
      <c r="AZ252" s="511"/>
      <c r="BA252" s="511">
        <f>SUM(AR252:AZ252)</f>
        <v>36499203.600000001</v>
      </c>
      <c r="BB252" s="78"/>
      <c r="BC252" s="78">
        <v>37594179.708000004</v>
      </c>
      <c r="BD252" s="78"/>
      <c r="BE252" s="78"/>
      <c r="BF252" s="78"/>
      <c r="BG252" s="78"/>
      <c r="BH252" s="78"/>
      <c r="BI252" s="78"/>
      <c r="BJ252" s="78"/>
      <c r="BK252" s="78">
        <f>SUM(BB252:BJ252)</f>
        <v>37594179.708000004</v>
      </c>
      <c r="BL252" s="603">
        <f>AG252+AQ252+BA252+BK252</f>
        <v>143933503.308</v>
      </c>
    </row>
    <row r="253" spans="1:64" ht="62.25" customHeight="1" x14ac:dyDescent="0.2">
      <c r="A253" s="74">
        <v>174</v>
      </c>
      <c r="B253" s="56">
        <v>3</v>
      </c>
      <c r="C253" s="124"/>
      <c r="D253" s="124"/>
      <c r="E253" s="506"/>
      <c r="F253" s="517"/>
      <c r="G253" s="195"/>
      <c r="H253" s="195"/>
      <c r="I253" s="64">
        <v>174</v>
      </c>
      <c r="J253" s="60" t="s">
        <v>609</v>
      </c>
      <c r="K253" s="247" t="s">
        <v>610</v>
      </c>
      <c r="L253" s="302" t="s">
        <v>442</v>
      </c>
      <c r="M253" s="265">
        <v>2</v>
      </c>
      <c r="N253" s="272" t="s">
        <v>54</v>
      </c>
      <c r="O253" s="65">
        <v>100</v>
      </c>
      <c r="P253" s="65">
        <v>150</v>
      </c>
      <c r="Q253" s="277">
        <v>150</v>
      </c>
      <c r="R253" s="275">
        <v>150</v>
      </c>
      <c r="S253" s="275">
        <v>150</v>
      </c>
      <c r="T253" s="275">
        <v>150</v>
      </c>
      <c r="U253" s="308">
        <f>AG253/AG251</f>
        <v>0</v>
      </c>
      <c r="V253" s="64">
        <v>3</v>
      </c>
      <c r="W253" s="61" t="s">
        <v>453</v>
      </c>
      <c r="X253" s="96"/>
      <c r="Y253" s="96"/>
      <c r="Z253" s="96"/>
      <c r="AA253" s="96"/>
      <c r="AB253" s="96"/>
      <c r="AC253" s="96"/>
      <c r="AD253" s="96"/>
      <c r="AE253" s="96"/>
      <c r="AF253" s="96"/>
      <c r="AG253" s="69">
        <f>+X253+Y253+Z253+AA253+AB253+AC253+AD253+AE253+AF253</f>
        <v>0</v>
      </c>
      <c r="AH253" s="78"/>
      <c r="AI253" s="78"/>
      <c r="AJ253" s="78"/>
      <c r="AK253" s="78"/>
      <c r="AL253" s="78"/>
      <c r="AM253" s="78"/>
      <c r="AN253" s="78"/>
      <c r="AO253" s="78"/>
      <c r="AP253" s="78"/>
      <c r="AQ253" s="71">
        <f>AH253+AI253+AJ253+AK253+AL253+AM253+AN253+AO253+AP253</f>
        <v>0</v>
      </c>
      <c r="AR253" s="511"/>
      <c r="AS253" s="511"/>
      <c r="AT253" s="511"/>
      <c r="AU253" s="511"/>
      <c r="AV253" s="511"/>
      <c r="AW253" s="511"/>
      <c r="AX253" s="511"/>
      <c r="AY253" s="511"/>
      <c r="AZ253" s="511"/>
      <c r="BA253" s="511">
        <f>SUM(AR253:AZ253)</f>
        <v>0</v>
      </c>
      <c r="BB253" s="78"/>
      <c r="BC253" s="78"/>
      <c r="BD253" s="78"/>
      <c r="BE253" s="78"/>
      <c r="BF253" s="78"/>
      <c r="BG253" s="78"/>
      <c r="BH253" s="78"/>
      <c r="BI253" s="78"/>
      <c r="BJ253" s="78"/>
      <c r="BK253" s="78">
        <f>SUM(BB253:BJ253)</f>
        <v>0</v>
      </c>
      <c r="BL253" s="603">
        <f>AG253+AQ253+BA253+BK253</f>
        <v>0</v>
      </c>
    </row>
    <row r="254" spans="1:64" ht="24.75" customHeight="1" x14ac:dyDescent="0.2">
      <c r="A254" s="74"/>
      <c r="B254" s="56"/>
      <c r="C254" s="124"/>
      <c r="D254" s="124"/>
      <c r="E254" s="44">
        <v>54</v>
      </c>
      <c r="F254" s="45" t="s">
        <v>611</v>
      </c>
      <c r="G254" s="48"/>
      <c r="H254" s="48"/>
      <c r="I254" s="47"/>
      <c r="J254" s="48"/>
      <c r="K254" s="48"/>
      <c r="L254" s="47"/>
      <c r="M254" s="49"/>
      <c r="N254" s="50"/>
      <c r="O254" s="48"/>
      <c r="P254" s="48"/>
      <c r="Q254" s="51"/>
      <c r="R254" s="48"/>
      <c r="S254" s="48"/>
      <c r="T254" s="49"/>
      <c r="U254" s="125"/>
      <c r="V254" s="49"/>
      <c r="W254" s="49"/>
      <c r="X254" s="53">
        <f t="shared" ref="X254:AF254" si="360">SUM(X255:X256)</f>
        <v>0</v>
      </c>
      <c r="Y254" s="53">
        <f t="shared" si="360"/>
        <v>23124000</v>
      </c>
      <c r="Z254" s="53">
        <f t="shared" si="360"/>
        <v>0</v>
      </c>
      <c r="AA254" s="53">
        <f t="shared" si="360"/>
        <v>0</v>
      </c>
      <c r="AB254" s="53">
        <f t="shared" si="360"/>
        <v>0</v>
      </c>
      <c r="AC254" s="53">
        <f t="shared" si="360"/>
        <v>0</v>
      </c>
      <c r="AD254" s="53">
        <f t="shared" si="360"/>
        <v>0</v>
      </c>
      <c r="AE254" s="53">
        <f t="shared" si="360"/>
        <v>0</v>
      </c>
      <c r="AF254" s="53">
        <f t="shared" si="360"/>
        <v>0</v>
      </c>
      <c r="AG254" s="54">
        <f>SUM(AG255:AG256)</f>
        <v>23124000</v>
      </c>
      <c r="AH254" s="53">
        <f t="shared" ref="AH254:AQ254" si="361">SUM(AH255:AH256)</f>
        <v>0</v>
      </c>
      <c r="AI254" s="53">
        <f t="shared" si="361"/>
        <v>23817720</v>
      </c>
      <c r="AJ254" s="53">
        <f t="shared" si="361"/>
        <v>0</v>
      </c>
      <c r="AK254" s="53">
        <f t="shared" si="361"/>
        <v>0</v>
      </c>
      <c r="AL254" s="53">
        <f t="shared" si="361"/>
        <v>0</v>
      </c>
      <c r="AM254" s="53">
        <f t="shared" si="361"/>
        <v>0</v>
      </c>
      <c r="AN254" s="53">
        <f t="shared" si="361"/>
        <v>0</v>
      </c>
      <c r="AO254" s="53">
        <f t="shared" si="361"/>
        <v>0</v>
      </c>
      <c r="AP254" s="53">
        <f t="shared" si="361"/>
        <v>0</v>
      </c>
      <c r="AQ254" s="53">
        <f t="shared" si="361"/>
        <v>23817720</v>
      </c>
      <c r="AR254" s="55"/>
      <c r="AS254" s="55"/>
      <c r="AT254" s="55"/>
      <c r="AU254" s="55"/>
      <c r="AV254" s="55"/>
      <c r="AW254" s="55"/>
      <c r="AX254" s="55"/>
      <c r="AY254" s="55"/>
      <c r="AZ254" s="55"/>
      <c r="BA254" s="53">
        <f t="shared" ref="BA254" si="362">SUM(BA255:BA256)</f>
        <v>24532251.600000001</v>
      </c>
      <c r="BB254" s="55"/>
      <c r="BC254" s="55"/>
      <c r="BD254" s="55"/>
      <c r="BE254" s="55"/>
      <c r="BF254" s="55"/>
      <c r="BG254" s="55"/>
      <c r="BH254" s="55"/>
      <c r="BI254" s="55"/>
      <c r="BJ254" s="55"/>
      <c r="BK254" s="53">
        <f t="shared" ref="BK254:BL254" si="363">SUM(BK255:BK256)</f>
        <v>25268219</v>
      </c>
      <c r="BL254" s="53">
        <f t="shared" si="363"/>
        <v>96742190.599999994</v>
      </c>
    </row>
    <row r="255" spans="1:64" ht="96.75" customHeight="1" x14ac:dyDescent="0.2">
      <c r="A255" s="56">
        <v>175</v>
      </c>
      <c r="B255" s="56">
        <v>3</v>
      </c>
      <c r="C255" s="124"/>
      <c r="D255" s="124"/>
      <c r="E255" s="510">
        <v>28</v>
      </c>
      <c r="F255" s="516" t="s">
        <v>587</v>
      </c>
      <c r="G255" s="448">
        <v>0.5</v>
      </c>
      <c r="H255" s="448">
        <v>1</v>
      </c>
      <c r="I255" s="64">
        <v>175</v>
      </c>
      <c r="J255" s="60" t="s">
        <v>612</v>
      </c>
      <c r="K255" s="313" t="s">
        <v>613</v>
      </c>
      <c r="L255" s="302" t="s">
        <v>442</v>
      </c>
      <c r="M255" s="265">
        <v>2</v>
      </c>
      <c r="N255" s="272" t="s">
        <v>54</v>
      </c>
      <c r="O255" s="65">
        <v>10</v>
      </c>
      <c r="P255" s="65">
        <v>14</v>
      </c>
      <c r="Q255" s="277">
        <v>14</v>
      </c>
      <c r="R255" s="275">
        <v>14</v>
      </c>
      <c r="S255" s="275">
        <v>14</v>
      </c>
      <c r="T255" s="275">
        <v>14</v>
      </c>
      <c r="U255" s="252">
        <f>AG255/AG254</f>
        <v>1</v>
      </c>
      <c r="V255" s="64">
        <v>3</v>
      </c>
      <c r="W255" s="61" t="s">
        <v>453</v>
      </c>
      <c r="X255" s="96"/>
      <c r="Y255" s="96">
        <f>23124000</f>
        <v>23124000</v>
      </c>
      <c r="Z255" s="176"/>
      <c r="AA255" s="96"/>
      <c r="AB255" s="96"/>
      <c r="AC255" s="96"/>
      <c r="AD255" s="96"/>
      <c r="AE255" s="96"/>
      <c r="AF255" s="96"/>
      <c r="AG255" s="69">
        <f>+X255+Y255+Z255+AA255+AB255+AC255+AD255+AE255+AF255</f>
        <v>23124000</v>
      </c>
      <c r="AH255" s="78"/>
      <c r="AI255" s="511">
        <v>23817720</v>
      </c>
      <c r="AJ255" s="78"/>
      <c r="AK255" s="78"/>
      <c r="AL255" s="78"/>
      <c r="AM255" s="78"/>
      <c r="AN255" s="78"/>
      <c r="AO255" s="78"/>
      <c r="AP255" s="78"/>
      <c r="AQ255" s="71">
        <f>AH255+AI255+AJ255+AK255+AL255+AM255+AN255+AO255+AP255</f>
        <v>23817720</v>
      </c>
      <c r="AR255" s="511"/>
      <c r="AS255" s="511">
        <v>24532251.600000001</v>
      </c>
      <c r="AT255" s="511"/>
      <c r="AU255" s="511"/>
      <c r="AV255" s="511"/>
      <c r="AW255" s="511"/>
      <c r="AX255" s="511"/>
      <c r="AY255" s="511"/>
      <c r="AZ255" s="511"/>
      <c r="BA255" s="511">
        <f>SUM(AR255:AZ255)</f>
        <v>24532251.600000001</v>
      </c>
      <c r="BB255" s="78"/>
      <c r="BC255" s="78">
        <v>25268219</v>
      </c>
      <c r="BD255" s="78"/>
      <c r="BE255" s="78"/>
      <c r="BF255" s="78"/>
      <c r="BG255" s="78"/>
      <c r="BH255" s="78"/>
      <c r="BI255" s="78"/>
      <c r="BJ255" s="78"/>
      <c r="BK255" s="78">
        <f>SUM(BB255:BJ255)</f>
        <v>25268219</v>
      </c>
      <c r="BL255" s="603">
        <f>AG255+AQ255+BA255+BK255</f>
        <v>96742190.599999994</v>
      </c>
    </row>
    <row r="256" spans="1:64" ht="69.75" customHeight="1" x14ac:dyDescent="0.2">
      <c r="A256" s="74">
        <v>176</v>
      </c>
      <c r="B256" s="56">
        <v>3</v>
      </c>
      <c r="C256" s="124"/>
      <c r="D256" s="183"/>
      <c r="E256" s="506"/>
      <c r="F256" s="517"/>
      <c r="G256" s="195"/>
      <c r="H256" s="195"/>
      <c r="I256" s="64">
        <v>176</v>
      </c>
      <c r="J256" s="60" t="s">
        <v>614</v>
      </c>
      <c r="K256" s="247" t="s">
        <v>615</v>
      </c>
      <c r="L256" s="302" t="s">
        <v>442</v>
      </c>
      <c r="M256" s="265">
        <v>2</v>
      </c>
      <c r="N256" s="272" t="s">
        <v>54</v>
      </c>
      <c r="O256" s="65">
        <v>2</v>
      </c>
      <c r="P256" s="65">
        <v>2</v>
      </c>
      <c r="Q256" s="277">
        <v>2</v>
      </c>
      <c r="R256" s="275">
        <v>2</v>
      </c>
      <c r="S256" s="275">
        <v>2</v>
      </c>
      <c r="T256" s="275">
        <v>2</v>
      </c>
      <c r="U256" s="308"/>
      <c r="V256" s="64">
        <v>3</v>
      </c>
      <c r="W256" s="61" t="s">
        <v>453</v>
      </c>
      <c r="X256" s="96"/>
      <c r="Y256" s="96"/>
      <c r="Z256" s="96"/>
      <c r="AA256" s="96"/>
      <c r="AB256" s="96"/>
      <c r="AC256" s="96"/>
      <c r="AD256" s="96"/>
      <c r="AE256" s="96"/>
      <c r="AF256" s="96"/>
      <c r="AG256" s="69">
        <f>+X256+Y256+Z256+AA256+AB256+AC256+AD256+AE256+AF256</f>
        <v>0</v>
      </c>
      <c r="AH256" s="78"/>
      <c r="AI256" s="78"/>
      <c r="AJ256" s="78"/>
      <c r="AK256" s="78"/>
      <c r="AL256" s="78"/>
      <c r="AM256" s="78"/>
      <c r="AN256" s="78"/>
      <c r="AO256" s="78"/>
      <c r="AP256" s="78"/>
      <c r="AQ256" s="71">
        <f>AH256+AI256+AJ256+AK256+AL256+AM256+AN256+AO256+AP256</f>
        <v>0</v>
      </c>
      <c r="AR256" s="511"/>
      <c r="AS256" s="511"/>
      <c r="AT256" s="511"/>
      <c r="AU256" s="511"/>
      <c r="AV256" s="511"/>
      <c r="AW256" s="511"/>
      <c r="AX256" s="511"/>
      <c r="AY256" s="511"/>
      <c r="AZ256" s="511"/>
      <c r="BA256" s="511"/>
      <c r="BB256" s="78"/>
      <c r="BC256" s="78"/>
      <c r="BD256" s="78"/>
      <c r="BE256" s="78"/>
      <c r="BF256" s="78"/>
      <c r="BG256" s="78"/>
      <c r="BH256" s="78"/>
      <c r="BI256" s="78"/>
      <c r="BJ256" s="78"/>
      <c r="BK256" s="78"/>
      <c r="BL256" s="603">
        <f>AG256+AQ256+BA256+BK256</f>
        <v>0</v>
      </c>
    </row>
    <row r="257" spans="1:64" ht="24.75" customHeight="1" x14ac:dyDescent="0.2">
      <c r="A257" s="74"/>
      <c r="B257" s="56"/>
      <c r="C257" s="124"/>
      <c r="D257" s="30">
        <v>15</v>
      </c>
      <c r="E257" s="122" t="s">
        <v>616</v>
      </c>
      <c r="F257" s="32"/>
      <c r="G257" s="33"/>
      <c r="H257" s="33"/>
      <c r="I257" s="34"/>
      <c r="J257" s="35"/>
      <c r="K257" s="35"/>
      <c r="L257" s="36"/>
      <c r="M257" s="34"/>
      <c r="N257" s="37"/>
      <c r="O257" s="35"/>
      <c r="P257" s="35"/>
      <c r="Q257" s="38"/>
      <c r="R257" s="35"/>
      <c r="S257" s="38"/>
      <c r="T257" s="38"/>
      <c r="U257" s="38"/>
      <c r="V257" s="38"/>
      <c r="W257" s="38"/>
      <c r="X257" s="479">
        <f t="shared" ref="X257:AM257" si="364">X258</f>
        <v>0</v>
      </c>
      <c r="Y257" s="479">
        <f t="shared" si="364"/>
        <v>125772000</v>
      </c>
      <c r="Z257" s="479">
        <f t="shared" si="364"/>
        <v>0</v>
      </c>
      <c r="AA257" s="479">
        <f t="shared" si="364"/>
        <v>0</v>
      </c>
      <c r="AB257" s="479">
        <f t="shared" si="364"/>
        <v>0</v>
      </c>
      <c r="AC257" s="479">
        <f t="shared" si="364"/>
        <v>0</v>
      </c>
      <c r="AD257" s="479">
        <f t="shared" si="364"/>
        <v>0</v>
      </c>
      <c r="AE257" s="479">
        <f t="shared" si="364"/>
        <v>0</v>
      </c>
      <c r="AF257" s="479">
        <f t="shared" si="364"/>
        <v>0</v>
      </c>
      <c r="AG257" s="479">
        <f t="shared" si="364"/>
        <v>125772000</v>
      </c>
      <c r="AH257" s="479">
        <f t="shared" si="364"/>
        <v>0</v>
      </c>
      <c r="AI257" s="479">
        <f t="shared" si="364"/>
        <v>129545160</v>
      </c>
      <c r="AJ257" s="479">
        <f t="shared" si="364"/>
        <v>0</v>
      </c>
      <c r="AK257" s="479">
        <f t="shared" si="364"/>
        <v>0</v>
      </c>
      <c r="AL257" s="479">
        <f t="shared" si="364"/>
        <v>0</v>
      </c>
      <c r="AM257" s="479">
        <f t="shared" si="364"/>
        <v>0</v>
      </c>
      <c r="AN257" s="479">
        <f t="shared" ref="AN257:AQ257" si="365">AN258</f>
        <v>0</v>
      </c>
      <c r="AO257" s="479">
        <f t="shared" si="365"/>
        <v>0</v>
      </c>
      <c r="AP257" s="479">
        <f t="shared" si="365"/>
        <v>0</v>
      </c>
      <c r="AQ257" s="479">
        <f t="shared" si="365"/>
        <v>129545160</v>
      </c>
      <c r="AR257" s="38"/>
      <c r="AS257" s="38"/>
      <c r="AT257" s="38"/>
      <c r="AU257" s="38"/>
      <c r="AV257" s="38"/>
      <c r="AW257" s="38"/>
      <c r="AX257" s="38"/>
      <c r="AY257" s="38"/>
      <c r="AZ257" s="38"/>
      <c r="BA257" s="479">
        <f t="shared" ref="BA257" si="366">BA258</f>
        <v>133431514.8</v>
      </c>
      <c r="BB257" s="38"/>
      <c r="BC257" s="38"/>
      <c r="BD257" s="38"/>
      <c r="BE257" s="38"/>
      <c r="BF257" s="38"/>
      <c r="BG257" s="38"/>
      <c r="BH257" s="38"/>
      <c r="BI257" s="38"/>
      <c r="BJ257" s="38"/>
      <c r="BK257" s="479">
        <f t="shared" ref="BK257:BL257" si="367">BK258</f>
        <v>137434460.24399999</v>
      </c>
      <c r="BL257" s="618">
        <f t="shared" si="367"/>
        <v>526183135.04400003</v>
      </c>
    </row>
    <row r="258" spans="1:64" ht="24.75" customHeight="1" x14ac:dyDescent="0.2">
      <c r="A258" s="74"/>
      <c r="B258" s="56"/>
      <c r="C258" s="124"/>
      <c r="D258" s="417"/>
      <c r="E258" s="44">
        <v>55</v>
      </c>
      <c r="F258" s="45" t="s">
        <v>617</v>
      </c>
      <c r="G258" s="48"/>
      <c r="H258" s="48"/>
      <c r="I258" s="47"/>
      <c r="J258" s="48"/>
      <c r="K258" s="48"/>
      <c r="L258" s="47"/>
      <c r="M258" s="49"/>
      <c r="N258" s="50"/>
      <c r="O258" s="48"/>
      <c r="P258" s="48"/>
      <c r="Q258" s="51"/>
      <c r="R258" s="48"/>
      <c r="S258" s="48"/>
      <c r="T258" s="49"/>
      <c r="U258" s="125"/>
      <c r="V258" s="49"/>
      <c r="W258" s="49"/>
      <c r="X258" s="53">
        <f t="shared" ref="X258:AF258" si="368">SUM(X259:X261)</f>
        <v>0</v>
      </c>
      <c r="Y258" s="53">
        <f t="shared" si="368"/>
        <v>125772000</v>
      </c>
      <c r="Z258" s="53">
        <f t="shared" si="368"/>
        <v>0</v>
      </c>
      <c r="AA258" s="53">
        <f t="shared" si="368"/>
        <v>0</v>
      </c>
      <c r="AB258" s="53">
        <f t="shared" si="368"/>
        <v>0</v>
      </c>
      <c r="AC258" s="53">
        <f t="shared" si="368"/>
        <v>0</v>
      </c>
      <c r="AD258" s="53">
        <f t="shared" si="368"/>
        <v>0</v>
      </c>
      <c r="AE258" s="53">
        <f t="shared" si="368"/>
        <v>0</v>
      </c>
      <c r="AF258" s="53">
        <f t="shared" si="368"/>
        <v>0</v>
      </c>
      <c r="AG258" s="54">
        <f>SUM(AG259:AG261)</f>
        <v>125772000</v>
      </c>
      <c r="AH258" s="53">
        <f t="shared" ref="AH258:AQ258" si="369">SUM(AH259:AH261)</f>
        <v>0</v>
      </c>
      <c r="AI258" s="53">
        <f t="shared" si="369"/>
        <v>129545160</v>
      </c>
      <c r="AJ258" s="53">
        <f t="shared" si="369"/>
        <v>0</v>
      </c>
      <c r="AK258" s="53">
        <f t="shared" si="369"/>
        <v>0</v>
      </c>
      <c r="AL258" s="53">
        <f t="shared" si="369"/>
        <v>0</v>
      </c>
      <c r="AM258" s="53">
        <f t="shared" si="369"/>
        <v>0</v>
      </c>
      <c r="AN258" s="53">
        <f t="shared" si="369"/>
        <v>0</v>
      </c>
      <c r="AO258" s="53">
        <f t="shared" si="369"/>
        <v>0</v>
      </c>
      <c r="AP258" s="53">
        <f t="shared" si="369"/>
        <v>0</v>
      </c>
      <c r="AQ258" s="53">
        <f t="shared" si="369"/>
        <v>129545160</v>
      </c>
      <c r="AR258" s="55"/>
      <c r="AS258" s="55"/>
      <c r="AT258" s="55"/>
      <c r="AU258" s="55"/>
      <c r="AV258" s="55"/>
      <c r="AW258" s="55"/>
      <c r="AX258" s="55"/>
      <c r="AY258" s="55"/>
      <c r="AZ258" s="55"/>
      <c r="BA258" s="53">
        <f t="shared" ref="BA258" si="370">SUM(BA259:BA261)</f>
        <v>133431514.8</v>
      </c>
      <c r="BB258" s="55"/>
      <c r="BC258" s="55"/>
      <c r="BD258" s="55"/>
      <c r="BE258" s="55"/>
      <c r="BF258" s="55"/>
      <c r="BG258" s="55"/>
      <c r="BH258" s="55"/>
      <c r="BI258" s="55"/>
      <c r="BJ258" s="55"/>
      <c r="BK258" s="53">
        <f t="shared" ref="BK258" si="371">SUM(BK259:BK261)</f>
        <v>137434460.24399999</v>
      </c>
      <c r="BL258" s="53">
        <f t="shared" ref="BL258" si="372">SUM(BL259:BL261)</f>
        <v>526183135.04400003</v>
      </c>
    </row>
    <row r="259" spans="1:64" ht="86.25" customHeight="1" x14ac:dyDescent="0.2">
      <c r="A259" s="56">
        <v>177</v>
      </c>
      <c r="B259" s="56">
        <v>3</v>
      </c>
      <c r="C259" s="124"/>
      <c r="D259" s="124"/>
      <c r="E259" s="81" t="s">
        <v>618</v>
      </c>
      <c r="F259" s="57" t="s">
        <v>619</v>
      </c>
      <c r="G259" s="267">
        <v>2</v>
      </c>
      <c r="H259" s="267">
        <v>2</v>
      </c>
      <c r="I259" s="64">
        <v>177</v>
      </c>
      <c r="J259" s="60" t="s">
        <v>620</v>
      </c>
      <c r="K259" s="247" t="s">
        <v>621</v>
      </c>
      <c r="L259" s="302" t="s">
        <v>442</v>
      </c>
      <c r="M259" s="265">
        <v>2</v>
      </c>
      <c r="N259" s="272" t="s">
        <v>54</v>
      </c>
      <c r="O259" s="65">
        <v>2</v>
      </c>
      <c r="P259" s="65">
        <v>2</v>
      </c>
      <c r="Q259" s="277">
        <v>2</v>
      </c>
      <c r="R259" s="275">
        <v>2</v>
      </c>
      <c r="S259" s="275">
        <v>2</v>
      </c>
      <c r="T259" s="275">
        <v>2</v>
      </c>
      <c r="U259" s="308"/>
      <c r="V259" s="64">
        <v>3</v>
      </c>
      <c r="W259" s="61" t="s">
        <v>453</v>
      </c>
      <c r="X259" s="96"/>
      <c r="Y259" s="96"/>
      <c r="Z259" s="96"/>
      <c r="AA259" s="96"/>
      <c r="AB259" s="96"/>
      <c r="AC259" s="96"/>
      <c r="AD259" s="96"/>
      <c r="AE259" s="96"/>
      <c r="AF259" s="96"/>
      <c r="AG259" s="69">
        <f>+X259+Y259+Z259+AA259+AB259+AC259+AD259+AE259+AF259</f>
        <v>0</v>
      </c>
      <c r="AH259" s="78"/>
      <c r="AI259" s="78"/>
      <c r="AJ259" s="78"/>
      <c r="AK259" s="78"/>
      <c r="AL259" s="78"/>
      <c r="AM259" s="78"/>
      <c r="AN259" s="78"/>
      <c r="AO259" s="78"/>
      <c r="AP259" s="78"/>
      <c r="AQ259" s="71">
        <f>AH259+AI259+AJ259+AK259+AL259+AM259+AN259+AO259+AP259</f>
        <v>0</v>
      </c>
      <c r="AR259" s="511"/>
      <c r="AS259" s="511"/>
      <c r="AT259" s="511"/>
      <c r="AU259" s="511"/>
      <c r="AV259" s="511"/>
      <c r="AW259" s="511"/>
      <c r="AX259" s="511"/>
      <c r="AY259" s="511"/>
      <c r="AZ259" s="511"/>
      <c r="BA259" s="511">
        <f>SUM(AR259:AZ259)</f>
        <v>0</v>
      </c>
      <c r="BB259" s="78"/>
      <c r="BC259" s="78"/>
      <c r="BD259" s="78"/>
      <c r="BE259" s="78"/>
      <c r="BF259" s="78"/>
      <c r="BG259" s="78"/>
      <c r="BH259" s="78"/>
      <c r="BI259" s="78"/>
      <c r="BJ259" s="78"/>
      <c r="BK259" s="78"/>
      <c r="BL259" s="603">
        <f>AG259+AQ259+BA259+BK259</f>
        <v>0</v>
      </c>
    </row>
    <row r="260" spans="1:64" ht="177.75" customHeight="1" x14ac:dyDescent="0.2">
      <c r="A260" s="74">
        <v>178</v>
      </c>
      <c r="B260" s="56">
        <v>3</v>
      </c>
      <c r="C260" s="124"/>
      <c r="D260" s="124"/>
      <c r="E260" s="81" t="s">
        <v>622</v>
      </c>
      <c r="F260" s="57" t="s">
        <v>623</v>
      </c>
      <c r="G260" s="314">
        <v>0</v>
      </c>
      <c r="H260" s="314">
        <v>0.8</v>
      </c>
      <c r="I260" s="64">
        <v>178</v>
      </c>
      <c r="J260" s="60" t="s">
        <v>624</v>
      </c>
      <c r="K260" s="247" t="s">
        <v>625</v>
      </c>
      <c r="L260" s="302" t="s">
        <v>442</v>
      </c>
      <c r="M260" s="265">
        <v>2</v>
      </c>
      <c r="N260" s="272" t="s">
        <v>54</v>
      </c>
      <c r="O260" s="65">
        <v>0</v>
      </c>
      <c r="P260" s="65">
        <v>3</v>
      </c>
      <c r="Q260" s="277">
        <v>3</v>
      </c>
      <c r="R260" s="275">
        <v>3</v>
      </c>
      <c r="S260" s="275">
        <v>3</v>
      </c>
      <c r="T260" s="275">
        <v>3</v>
      </c>
      <c r="U260" s="252">
        <f>AG260/AG258</f>
        <v>1</v>
      </c>
      <c r="V260" s="64">
        <v>3</v>
      </c>
      <c r="W260" s="61" t="s">
        <v>453</v>
      </c>
      <c r="X260" s="96"/>
      <c r="Y260" s="96">
        <v>125772000</v>
      </c>
      <c r="Z260" s="96"/>
      <c r="AA260" s="96"/>
      <c r="AB260" s="96"/>
      <c r="AC260" s="96"/>
      <c r="AD260" s="96"/>
      <c r="AE260" s="96"/>
      <c r="AF260" s="96"/>
      <c r="AG260" s="69">
        <f>+X260+Y260+Z260+AA260+AB260+AC260+AD260+AE260+AF260</f>
        <v>125772000</v>
      </c>
      <c r="AH260" s="78"/>
      <c r="AI260" s="511">
        <v>129545160</v>
      </c>
      <c r="AJ260" s="78"/>
      <c r="AK260" s="78"/>
      <c r="AL260" s="78"/>
      <c r="AM260" s="78"/>
      <c r="AN260" s="78"/>
      <c r="AO260" s="78"/>
      <c r="AP260" s="78"/>
      <c r="AQ260" s="71">
        <f>AH260+AI260+AJ260+AK260+AL260+AM260+AN260+AO260+AP260</f>
        <v>129545160</v>
      </c>
      <c r="AR260" s="511"/>
      <c r="AS260" s="511">
        <v>133431514.8</v>
      </c>
      <c r="AT260" s="511"/>
      <c r="AU260" s="511"/>
      <c r="AV260" s="511"/>
      <c r="AW260" s="511"/>
      <c r="AX260" s="511"/>
      <c r="AY260" s="511"/>
      <c r="AZ260" s="511"/>
      <c r="BA260" s="511">
        <f>SUM(AR260:AZ260)</f>
        <v>133431514.8</v>
      </c>
      <c r="BB260" s="78"/>
      <c r="BC260" s="78">
        <v>137434460.24399999</v>
      </c>
      <c r="BD260" s="78"/>
      <c r="BE260" s="78"/>
      <c r="BF260" s="78"/>
      <c r="BG260" s="78"/>
      <c r="BH260" s="78"/>
      <c r="BI260" s="78"/>
      <c r="BJ260" s="78"/>
      <c r="BK260" s="78">
        <f>SUM(BB260:BJ260)</f>
        <v>137434460.24399999</v>
      </c>
      <c r="BL260" s="603">
        <f>AG260+AQ260+BA260+BK260</f>
        <v>526183135.04400003</v>
      </c>
    </row>
    <row r="261" spans="1:64" ht="86.25" customHeight="1" x14ac:dyDescent="0.2">
      <c r="A261" s="56">
        <v>179</v>
      </c>
      <c r="B261" s="56">
        <v>3</v>
      </c>
      <c r="C261" s="124"/>
      <c r="D261" s="183"/>
      <c r="E261" s="506" t="s">
        <v>626</v>
      </c>
      <c r="F261" s="57" t="s">
        <v>627</v>
      </c>
      <c r="G261" s="314" t="s">
        <v>49</v>
      </c>
      <c r="H261" s="314">
        <v>0.9</v>
      </c>
      <c r="I261" s="64">
        <v>179</v>
      </c>
      <c r="J261" s="60" t="s">
        <v>628</v>
      </c>
      <c r="K261" s="247" t="s">
        <v>629</v>
      </c>
      <c r="L261" s="302" t="s">
        <v>442</v>
      </c>
      <c r="M261" s="265">
        <v>2</v>
      </c>
      <c r="N261" s="272" t="s">
        <v>54</v>
      </c>
      <c r="O261" s="65">
        <v>4</v>
      </c>
      <c r="P261" s="65">
        <v>4</v>
      </c>
      <c r="Q261" s="277">
        <v>4</v>
      </c>
      <c r="R261" s="275">
        <v>4</v>
      </c>
      <c r="S261" s="275">
        <v>4</v>
      </c>
      <c r="T261" s="275">
        <v>4</v>
      </c>
      <c r="U261" s="308"/>
      <c r="V261" s="64">
        <v>3</v>
      </c>
      <c r="W261" s="61" t="s">
        <v>453</v>
      </c>
      <c r="X261" s="96"/>
      <c r="Y261" s="96"/>
      <c r="Z261" s="96"/>
      <c r="AA261" s="96"/>
      <c r="AB261" s="96"/>
      <c r="AC261" s="96"/>
      <c r="AD261" s="96"/>
      <c r="AE261" s="96"/>
      <c r="AF261" s="96"/>
      <c r="AG261" s="69">
        <f>+X261+Y261+Z261+AA261+AB261+AC261+AD261+AE261+AF261</f>
        <v>0</v>
      </c>
      <c r="AH261" s="78"/>
      <c r="AI261" s="78"/>
      <c r="AJ261" s="78"/>
      <c r="AK261" s="78"/>
      <c r="AL261" s="78"/>
      <c r="AM261" s="78"/>
      <c r="AN261" s="78"/>
      <c r="AO261" s="78"/>
      <c r="AP261" s="78"/>
      <c r="AQ261" s="71">
        <f>AH261+AI261+AJ261+AK261+AL261+AM261+AN261+AO261+AP261</f>
        <v>0</v>
      </c>
      <c r="AR261" s="511"/>
      <c r="AS261" s="511"/>
      <c r="AT261" s="511"/>
      <c r="AU261" s="511"/>
      <c r="AV261" s="511"/>
      <c r="AW261" s="511"/>
      <c r="AX261" s="511"/>
      <c r="AY261" s="511"/>
      <c r="AZ261" s="511"/>
      <c r="BA261" s="511">
        <f>SUM(AR261:AZ261)</f>
        <v>0</v>
      </c>
      <c r="BB261" s="78"/>
      <c r="BC261" s="78"/>
      <c r="BD261" s="78"/>
      <c r="BE261" s="78"/>
      <c r="BF261" s="78"/>
      <c r="BG261" s="78"/>
      <c r="BH261" s="78"/>
      <c r="BI261" s="78"/>
      <c r="BJ261" s="78"/>
      <c r="BK261" s="78"/>
      <c r="BL261" s="603">
        <f>AG261+AQ261+BA261+BK261</f>
        <v>0</v>
      </c>
    </row>
    <row r="262" spans="1:64" ht="24.75" customHeight="1" x14ac:dyDescent="0.2">
      <c r="A262" s="56"/>
      <c r="B262" s="56"/>
      <c r="C262" s="124"/>
      <c r="D262" s="30">
        <v>16</v>
      </c>
      <c r="E262" s="122" t="s">
        <v>630</v>
      </c>
      <c r="F262" s="32"/>
      <c r="G262" s="32"/>
      <c r="H262" s="33"/>
      <c r="I262" s="34"/>
      <c r="J262" s="35"/>
      <c r="K262" s="35"/>
      <c r="L262" s="36"/>
      <c r="M262" s="34"/>
      <c r="N262" s="37"/>
      <c r="O262" s="35"/>
      <c r="P262" s="35"/>
      <c r="Q262" s="38"/>
      <c r="R262" s="35"/>
      <c r="S262" s="35"/>
      <c r="T262" s="34"/>
      <c r="U262" s="123"/>
      <c r="V262" s="34"/>
      <c r="W262" s="34"/>
      <c r="X262" s="40">
        <f t="shared" ref="X262:AF262" si="373">X263+X266</f>
        <v>0</v>
      </c>
      <c r="Y262" s="40">
        <f t="shared" si="373"/>
        <v>0</v>
      </c>
      <c r="Z262" s="40">
        <f t="shared" si="373"/>
        <v>100000000</v>
      </c>
      <c r="AA262" s="40">
        <f t="shared" si="373"/>
        <v>0</v>
      </c>
      <c r="AB262" s="40">
        <f t="shared" si="373"/>
        <v>0</v>
      </c>
      <c r="AC262" s="40">
        <f t="shared" si="373"/>
        <v>0</v>
      </c>
      <c r="AD262" s="40">
        <f t="shared" si="373"/>
        <v>0</v>
      </c>
      <c r="AE262" s="40">
        <f t="shared" si="373"/>
        <v>0</v>
      </c>
      <c r="AF262" s="40">
        <f t="shared" si="373"/>
        <v>0</v>
      </c>
      <c r="AG262" s="41">
        <f>AG263+AG266</f>
        <v>100000000</v>
      </c>
      <c r="AH262" s="40">
        <f t="shared" ref="AH262:AQ262" si="374">AH263+AH266</f>
        <v>0</v>
      </c>
      <c r="AI262" s="40">
        <f t="shared" si="374"/>
        <v>0</v>
      </c>
      <c r="AJ262" s="40">
        <f t="shared" si="374"/>
        <v>100000000</v>
      </c>
      <c r="AK262" s="40">
        <f t="shared" si="374"/>
        <v>0</v>
      </c>
      <c r="AL262" s="40">
        <f t="shared" si="374"/>
        <v>0</v>
      </c>
      <c r="AM262" s="40">
        <f t="shared" si="374"/>
        <v>0</v>
      </c>
      <c r="AN262" s="40">
        <f t="shared" si="374"/>
        <v>0</v>
      </c>
      <c r="AO262" s="40">
        <f t="shared" si="374"/>
        <v>0</v>
      </c>
      <c r="AP262" s="40">
        <f t="shared" si="374"/>
        <v>0</v>
      </c>
      <c r="AQ262" s="40">
        <f t="shared" si="374"/>
        <v>100000000</v>
      </c>
      <c r="AR262" s="42"/>
      <c r="AS262" s="42"/>
      <c r="AT262" s="42"/>
      <c r="AU262" s="42"/>
      <c r="AV262" s="42"/>
      <c r="AW262" s="42"/>
      <c r="AX262" s="42"/>
      <c r="AY262" s="42"/>
      <c r="AZ262" s="42"/>
      <c r="BA262" s="40">
        <f>BA263+BA266</f>
        <v>90000000</v>
      </c>
      <c r="BB262" s="42"/>
      <c r="BC262" s="42"/>
      <c r="BD262" s="42"/>
      <c r="BE262" s="42"/>
      <c r="BF262" s="42"/>
      <c r="BG262" s="42"/>
      <c r="BH262" s="42"/>
      <c r="BI262" s="42"/>
      <c r="BJ262" s="42"/>
      <c r="BK262" s="40">
        <f t="shared" ref="BK262" si="375">BK263+BK266</f>
        <v>90000000</v>
      </c>
      <c r="BL262" s="40">
        <f t="shared" ref="BL262" si="376">BL263+BL266</f>
        <v>380000000</v>
      </c>
    </row>
    <row r="263" spans="1:64" ht="24.75" customHeight="1" x14ac:dyDescent="0.2">
      <c r="A263" s="56"/>
      <c r="B263" s="56"/>
      <c r="C263" s="124"/>
      <c r="D263" s="417"/>
      <c r="E263" s="44">
        <v>56</v>
      </c>
      <c r="F263" s="45" t="s">
        <v>631</v>
      </c>
      <c r="G263" s="48"/>
      <c r="H263" s="48"/>
      <c r="I263" s="47"/>
      <c r="J263" s="48"/>
      <c r="K263" s="48"/>
      <c r="L263" s="47"/>
      <c r="M263" s="49"/>
      <c r="N263" s="50"/>
      <c r="O263" s="48"/>
      <c r="P263" s="48"/>
      <c r="Q263" s="51"/>
      <c r="R263" s="48"/>
      <c r="S263" s="48"/>
      <c r="T263" s="49"/>
      <c r="U263" s="125"/>
      <c r="V263" s="49"/>
      <c r="W263" s="49"/>
      <c r="X263" s="53">
        <f t="shared" ref="X263:AF263" si="377">SUM(X264:X265)</f>
        <v>0</v>
      </c>
      <c r="Y263" s="53">
        <f t="shared" si="377"/>
        <v>0</v>
      </c>
      <c r="Z263" s="53">
        <f t="shared" si="377"/>
        <v>60000000</v>
      </c>
      <c r="AA263" s="53">
        <f t="shared" si="377"/>
        <v>0</v>
      </c>
      <c r="AB263" s="53">
        <f t="shared" si="377"/>
        <v>0</v>
      </c>
      <c r="AC263" s="53">
        <f t="shared" si="377"/>
        <v>0</v>
      </c>
      <c r="AD263" s="53">
        <f t="shared" si="377"/>
        <v>0</v>
      </c>
      <c r="AE263" s="53">
        <f t="shared" si="377"/>
        <v>0</v>
      </c>
      <c r="AF263" s="53">
        <f t="shared" si="377"/>
        <v>0</v>
      </c>
      <c r="AG263" s="54">
        <f>SUM(AG264:AG265)</f>
        <v>60000000</v>
      </c>
      <c r="AH263" s="53">
        <f t="shared" ref="AH263:AQ263" si="378">SUM(AH264:AH265)</f>
        <v>0</v>
      </c>
      <c r="AI263" s="53">
        <f t="shared" si="378"/>
        <v>0</v>
      </c>
      <c r="AJ263" s="53">
        <f t="shared" si="378"/>
        <v>60000000</v>
      </c>
      <c r="AK263" s="53">
        <f t="shared" si="378"/>
        <v>0</v>
      </c>
      <c r="AL263" s="53">
        <f t="shared" si="378"/>
        <v>0</v>
      </c>
      <c r="AM263" s="53">
        <f t="shared" si="378"/>
        <v>0</v>
      </c>
      <c r="AN263" s="53">
        <f t="shared" si="378"/>
        <v>0</v>
      </c>
      <c r="AO263" s="53">
        <f t="shared" si="378"/>
        <v>0</v>
      </c>
      <c r="AP263" s="53">
        <f t="shared" si="378"/>
        <v>0</v>
      </c>
      <c r="AQ263" s="53">
        <f t="shared" si="378"/>
        <v>60000000</v>
      </c>
      <c r="AR263" s="55"/>
      <c r="AS263" s="55"/>
      <c r="AT263" s="55"/>
      <c r="AU263" s="55"/>
      <c r="AV263" s="55"/>
      <c r="AW263" s="55"/>
      <c r="AX263" s="55"/>
      <c r="AY263" s="55"/>
      <c r="AZ263" s="55"/>
      <c r="BA263" s="53">
        <f t="shared" ref="BA263" si="379">SUM(BA264:BA265)</f>
        <v>60000000</v>
      </c>
      <c r="BB263" s="55"/>
      <c r="BC263" s="55"/>
      <c r="BD263" s="55"/>
      <c r="BE263" s="55"/>
      <c r="BF263" s="55"/>
      <c r="BG263" s="55"/>
      <c r="BH263" s="55"/>
      <c r="BI263" s="55"/>
      <c r="BJ263" s="55"/>
      <c r="BK263" s="53">
        <f t="shared" ref="BK263" si="380">SUM(BK264:BK265)</f>
        <v>60000000</v>
      </c>
      <c r="BL263" s="53">
        <f t="shared" ref="BL263" si="381">SUM(BL264:BL265)</f>
        <v>240000000</v>
      </c>
    </row>
    <row r="264" spans="1:64" ht="84.75" customHeight="1" x14ac:dyDescent="0.2">
      <c r="A264" s="74">
        <v>180</v>
      </c>
      <c r="B264" s="56">
        <v>3</v>
      </c>
      <c r="C264" s="124"/>
      <c r="D264" s="124"/>
      <c r="E264" s="81">
        <v>29</v>
      </c>
      <c r="F264" s="297" t="s">
        <v>543</v>
      </c>
      <c r="G264" s="58" t="s">
        <v>544</v>
      </c>
      <c r="H264" s="58" t="s">
        <v>544</v>
      </c>
      <c r="I264" s="64">
        <v>180</v>
      </c>
      <c r="J264" s="60" t="s">
        <v>632</v>
      </c>
      <c r="K264" s="57" t="s">
        <v>633</v>
      </c>
      <c r="L264" s="61" t="s">
        <v>634</v>
      </c>
      <c r="M264" s="61">
        <v>14</v>
      </c>
      <c r="N264" s="62" t="s">
        <v>54</v>
      </c>
      <c r="O264" s="65">
        <v>0</v>
      </c>
      <c r="P264" s="65">
        <v>1</v>
      </c>
      <c r="Q264" s="64">
        <v>1</v>
      </c>
      <c r="R264" s="65">
        <v>1</v>
      </c>
      <c r="S264" s="65">
        <v>1</v>
      </c>
      <c r="T264" s="65">
        <v>1</v>
      </c>
      <c r="U264" s="182">
        <f>AG264/AG263</f>
        <v>0.79166666666666663</v>
      </c>
      <c r="V264" s="65">
        <v>4</v>
      </c>
      <c r="W264" s="62" t="s">
        <v>110</v>
      </c>
      <c r="X264" s="106"/>
      <c r="Y264" s="106"/>
      <c r="Z264" s="96">
        <v>47500000</v>
      </c>
      <c r="AA264" s="96"/>
      <c r="AB264" s="106"/>
      <c r="AC264" s="106"/>
      <c r="AD264" s="106"/>
      <c r="AE264" s="106"/>
      <c r="AF264" s="106"/>
      <c r="AG264" s="69">
        <f>+X264+Y264+Z264+AA264+AB264+AC264+AD264+AE264+AF264</f>
        <v>47500000</v>
      </c>
      <c r="AH264" s="78"/>
      <c r="AI264" s="78"/>
      <c r="AJ264" s="78">
        <v>47500000</v>
      </c>
      <c r="AK264" s="78"/>
      <c r="AL264" s="78"/>
      <c r="AM264" s="78"/>
      <c r="AN264" s="78"/>
      <c r="AO264" s="78"/>
      <c r="AP264" s="78"/>
      <c r="AQ264" s="71">
        <f>AH264+AI264+AJ264+AK264+AL264+AM264+AN264+AO264+AP264</f>
        <v>47500000</v>
      </c>
      <c r="AR264" s="78"/>
      <c r="AS264" s="78"/>
      <c r="AT264" s="78">
        <v>47500000</v>
      </c>
      <c r="AU264" s="78"/>
      <c r="AV264" s="78"/>
      <c r="AW264" s="78"/>
      <c r="AX264" s="78"/>
      <c r="AY264" s="78"/>
      <c r="AZ264" s="78"/>
      <c r="BA264" s="78">
        <f>SUM(AR264:AZ264)</f>
        <v>47500000</v>
      </c>
      <c r="BB264" s="78"/>
      <c r="BC264" s="78"/>
      <c r="BD264" s="78">
        <v>47500000</v>
      </c>
      <c r="BE264" s="78"/>
      <c r="BF264" s="78"/>
      <c r="BG264" s="78"/>
      <c r="BH264" s="78"/>
      <c r="BI264" s="78"/>
      <c r="BJ264" s="78"/>
      <c r="BK264" s="78">
        <f>SUM(BB264:BJ264)</f>
        <v>47500000</v>
      </c>
      <c r="BL264" s="603">
        <f>AG264+AQ264+BA264+BK264</f>
        <v>190000000</v>
      </c>
    </row>
    <row r="265" spans="1:64" ht="84.75" customHeight="1" x14ac:dyDescent="0.2">
      <c r="A265" s="56">
        <v>181</v>
      </c>
      <c r="B265" s="56">
        <v>3</v>
      </c>
      <c r="C265" s="124"/>
      <c r="D265" s="124"/>
      <c r="E265" s="79">
        <v>30</v>
      </c>
      <c r="F265" s="297" t="s">
        <v>547</v>
      </c>
      <c r="G265" s="315" t="s">
        <v>548</v>
      </c>
      <c r="H265" s="201" t="s">
        <v>548</v>
      </c>
      <c r="I265" s="64">
        <v>181</v>
      </c>
      <c r="J265" s="60" t="s">
        <v>635</v>
      </c>
      <c r="K265" s="57" t="s">
        <v>636</v>
      </c>
      <c r="L265" s="61" t="s">
        <v>634</v>
      </c>
      <c r="M265" s="61">
        <v>14</v>
      </c>
      <c r="N265" s="62" t="s">
        <v>54</v>
      </c>
      <c r="O265" s="65">
        <v>6</v>
      </c>
      <c r="P265" s="65">
        <v>6</v>
      </c>
      <c r="Q265" s="64">
        <v>6</v>
      </c>
      <c r="R265" s="65">
        <v>6</v>
      </c>
      <c r="S265" s="65">
        <v>6</v>
      </c>
      <c r="T265" s="65">
        <v>6</v>
      </c>
      <c r="U265" s="182">
        <f>AG265/AG263</f>
        <v>0.20833333333333334</v>
      </c>
      <c r="V265" s="65">
        <v>4</v>
      </c>
      <c r="W265" s="62" t="s">
        <v>110</v>
      </c>
      <c r="X265" s="106"/>
      <c r="Y265" s="106"/>
      <c r="Z265" s="96">
        <v>12500000</v>
      </c>
      <c r="AA265" s="96"/>
      <c r="AB265" s="106"/>
      <c r="AC265" s="106"/>
      <c r="AD265" s="106"/>
      <c r="AE265" s="106"/>
      <c r="AF265" s="106"/>
      <c r="AG265" s="69">
        <f>+X265+Y265+Z265+AA265+AB265+AC265+AD265+AE265+AF265</f>
        <v>12500000</v>
      </c>
      <c r="AH265" s="78"/>
      <c r="AI265" s="78"/>
      <c r="AJ265" s="78">
        <v>12500000</v>
      </c>
      <c r="AK265" s="78"/>
      <c r="AL265" s="78"/>
      <c r="AM265" s="78"/>
      <c r="AN265" s="78"/>
      <c r="AO265" s="78"/>
      <c r="AP265" s="78"/>
      <c r="AQ265" s="71">
        <f>AH265+AI265+AJ265+AK265+AL265+AM265+AN265+AO265+AP265</f>
        <v>12500000</v>
      </c>
      <c r="AR265" s="78"/>
      <c r="AS265" s="78"/>
      <c r="AT265" s="78">
        <v>12500000</v>
      </c>
      <c r="AU265" s="78"/>
      <c r="AV265" s="78"/>
      <c r="AW265" s="78"/>
      <c r="AX265" s="78"/>
      <c r="AY265" s="78"/>
      <c r="AZ265" s="78"/>
      <c r="BA265" s="78">
        <f>SUM(AR265:AZ265)</f>
        <v>12500000</v>
      </c>
      <c r="BB265" s="78"/>
      <c r="BC265" s="78"/>
      <c r="BD265" s="78">
        <v>12500000</v>
      </c>
      <c r="BE265" s="78"/>
      <c r="BF265" s="78"/>
      <c r="BG265" s="78"/>
      <c r="BH265" s="78"/>
      <c r="BI265" s="78"/>
      <c r="BJ265" s="78"/>
      <c r="BK265" s="78">
        <f>SUM(BB265:BJ265)</f>
        <v>12500000</v>
      </c>
      <c r="BL265" s="603">
        <f>AG265+AQ265+BA265+BK265</f>
        <v>50000000</v>
      </c>
    </row>
    <row r="266" spans="1:64" ht="24.75" customHeight="1" x14ac:dyDescent="0.2">
      <c r="A266" s="56"/>
      <c r="B266" s="56"/>
      <c r="C266" s="124"/>
      <c r="D266" s="124"/>
      <c r="E266" s="44">
        <v>57</v>
      </c>
      <c r="F266" s="45" t="s">
        <v>637</v>
      </c>
      <c r="G266" s="48"/>
      <c r="H266" s="48"/>
      <c r="I266" s="47"/>
      <c r="J266" s="48"/>
      <c r="K266" s="48"/>
      <c r="L266" s="47"/>
      <c r="M266" s="49"/>
      <c r="N266" s="50"/>
      <c r="O266" s="48"/>
      <c r="P266" s="48"/>
      <c r="Q266" s="51"/>
      <c r="R266" s="48"/>
      <c r="S266" s="48"/>
      <c r="T266" s="49"/>
      <c r="U266" s="125"/>
      <c r="V266" s="49"/>
      <c r="W266" s="49"/>
      <c r="X266" s="53">
        <f t="shared" ref="X266:AF266" si="382">SUM(X267)</f>
        <v>0</v>
      </c>
      <c r="Y266" s="53">
        <f t="shared" si="382"/>
        <v>0</v>
      </c>
      <c r="Z266" s="53">
        <f t="shared" si="382"/>
        <v>40000000</v>
      </c>
      <c r="AA266" s="53">
        <f t="shared" si="382"/>
        <v>0</v>
      </c>
      <c r="AB266" s="53">
        <f t="shared" si="382"/>
        <v>0</v>
      </c>
      <c r="AC266" s="53">
        <f t="shared" si="382"/>
        <v>0</v>
      </c>
      <c r="AD266" s="53">
        <f t="shared" si="382"/>
        <v>0</v>
      </c>
      <c r="AE266" s="53">
        <f t="shared" si="382"/>
        <v>0</v>
      </c>
      <c r="AF266" s="53">
        <f t="shared" si="382"/>
        <v>0</v>
      </c>
      <c r="AG266" s="54">
        <f>SUM(AG267)</f>
        <v>40000000</v>
      </c>
      <c r="AH266" s="53">
        <f t="shared" ref="AH266:AQ266" si="383">SUM(AH267)</f>
        <v>0</v>
      </c>
      <c r="AI266" s="53">
        <f t="shared" si="383"/>
        <v>0</v>
      </c>
      <c r="AJ266" s="53">
        <f t="shared" si="383"/>
        <v>40000000</v>
      </c>
      <c r="AK266" s="53">
        <f t="shared" si="383"/>
        <v>0</v>
      </c>
      <c r="AL266" s="53">
        <f t="shared" si="383"/>
        <v>0</v>
      </c>
      <c r="AM266" s="53">
        <f t="shared" si="383"/>
        <v>0</v>
      </c>
      <c r="AN266" s="53">
        <f t="shared" si="383"/>
        <v>0</v>
      </c>
      <c r="AO266" s="53">
        <f t="shared" si="383"/>
        <v>0</v>
      </c>
      <c r="AP266" s="53">
        <f t="shared" si="383"/>
        <v>0</v>
      </c>
      <c r="AQ266" s="53">
        <f t="shared" si="383"/>
        <v>40000000</v>
      </c>
      <c r="AR266" s="55"/>
      <c r="AS266" s="55"/>
      <c r="AT266" s="55"/>
      <c r="AU266" s="55"/>
      <c r="AV266" s="55"/>
      <c r="AW266" s="55"/>
      <c r="AX266" s="55"/>
      <c r="AY266" s="55"/>
      <c r="AZ266" s="55"/>
      <c r="BA266" s="53">
        <f t="shared" ref="BA266" si="384">SUM(BA267)</f>
        <v>30000000</v>
      </c>
      <c r="BB266" s="55"/>
      <c r="BC266" s="55"/>
      <c r="BD266" s="55"/>
      <c r="BE266" s="55"/>
      <c r="BF266" s="55"/>
      <c r="BG266" s="55"/>
      <c r="BH266" s="55"/>
      <c r="BI266" s="55"/>
      <c r="BJ266" s="55"/>
      <c r="BK266" s="53">
        <f t="shared" ref="BK266:BL266" si="385">SUM(BK267)</f>
        <v>30000000</v>
      </c>
      <c r="BL266" s="53">
        <f t="shared" si="385"/>
        <v>140000000</v>
      </c>
    </row>
    <row r="267" spans="1:64" ht="64.5" customHeight="1" x14ac:dyDescent="0.2">
      <c r="A267" s="74">
        <v>182</v>
      </c>
      <c r="B267" s="56">
        <v>3</v>
      </c>
      <c r="C267" s="124"/>
      <c r="D267" s="183"/>
      <c r="E267" s="506">
        <v>14</v>
      </c>
      <c r="F267" s="57" t="s">
        <v>410</v>
      </c>
      <c r="G267" s="284" t="s">
        <v>272</v>
      </c>
      <c r="H267" s="250">
        <v>0.03</v>
      </c>
      <c r="I267" s="64">
        <v>182</v>
      </c>
      <c r="J267" s="60" t="s">
        <v>638</v>
      </c>
      <c r="K267" s="209" t="s">
        <v>542</v>
      </c>
      <c r="L267" s="210" t="s">
        <v>263</v>
      </c>
      <c r="M267" s="210">
        <v>1</v>
      </c>
      <c r="N267" s="100" t="s">
        <v>54</v>
      </c>
      <c r="O267" s="163">
        <v>1</v>
      </c>
      <c r="P267" s="163">
        <v>1</v>
      </c>
      <c r="Q267" s="187">
        <v>1</v>
      </c>
      <c r="R267" s="81">
        <v>1</v>
      </c>
      <c r="S267" s="81">
        <v>1</v>
      </c>
      <c r="T267" s="81">
        <v>1</v>
      </c>
      <c r="U267" s="109">
        <f>AG267/AG266</f>
        <v>1</v>
      </c>
      <c r="V267" s="65">
        <v>4</v>
      </c>
      <c r="W267" s="62" t="s">
        <v>110</v>
      </c>
      <c r="X267" s="69"/>
      <c r="Y267" s="69"/>
      <c r="Z267" s="96">
        <v>40000000</v>
      </c>
      <c r="AA267" s="96"/>
      <c r="AB267" s="69"/>
      <c r="AC267" s="69"/>
      <c r="AD267" s="69"/>
      <c r="AE267" s="69"/>
      <c r="AF267" s="69"/>
      <c r="AG267" s="69">
        <f>+X267+Y267+Z267+AA267+AB267+AC267+AD267+AE267+AF267</f>
        <v>40000000</v>
      </c>
      <c r="AH267" s="78"/>
      <c r="AI267" s="78"/>
      <c r="AJ267" s="78">
        <v>40000000</v>
      </c>
      <c r="AK267" s="78"/>
      <c r="AL267" s="78"/>
      <c r="AM267" s="78"/>
      <c r="AN267" s="78"/>
      <c r="AO267" s="78"/>
      <c r="AP267" s="78"/>
      <c r="AQ267" s="71">
        <f>AH267+AI267+AJ267+AK267+AL267+AM267+AN267+AO267+AP267</f>
        <v>40000000</v>
      </c>
      <c r="AR267" s="78"/>
      <c r="AS267" s="78"/>
      <c r="AT267" s="511">
        <v>30000000</v>
      </c>
      <c r="AU267" s="78"/>
      <c r="AV267" s="78"/>
      <c r="AW267" s="78"/>
      <c r="AX267" s="78"/>
      <c r="AY267" s="78"/>
      <c r="AZ267" s="78"/>
      <c r="BA267" s="78">
        <f>SUM(AR267:AZ267)</f>
        <v>30000000</v>
      </c>
      <c r="BB267" s="78"/>
      <c r="BC267" s="78"/>
      <c r="BD267" s="78">
        <v>30000000</v>
      </c>
      <c r="BE267" s="78"/>
      <c r="BF267" s="78"/>
      <c r="BG267" s="78"/>
      <c r="BH267" s="78"/>
      <c r="BI267" s="78"/>
      <c r="BJ267" s="78"/>
      <c r="BK267" s="78">
        <f>SUM(BB267:BJ267)</f>
        <v>30000000</v>
      </c>
      <c r="BL267" s="603">
        <f>AG267+AQ267+BA267+BK267</f>
        <v>140000000</v>
      </c>
    </row>
    <row r="268" spans="1:64" ht="24.75" customHeight="1" x14ac:dyDescent="0.2">
      <c r="A268" s="74"/>
      <c r="B268" s="56"/>
      <c r="C268" s="124"/>
      <c r="D268" s="30">
        <v>17</v>
      </c>
      <c r="E268" s="122" t="s">
        <v>639</v>
      </c>
      <c r="F268" s="32"/>
      <c r="G268" s="33"/>
      <c r="H268" s="32"/>
      <c r="I268" s="34"/>
      <c r="J268" s="35"/>
      <c r="K268" s="35"/>
      <c r="L268" s="36"/>
      <c r="M268" s="34"/>
      <c r="N268" s="37"/>
      <c r="O268" s="35"/>
      <c r="P268" s="35"/>
      <c r="Q268" s="38"/>
      <c r="R268" s="35"/>
      <c r="S268" s="35"/>
      <c r="T268" s="34"/>
      <c r="U268" s="123"/>
      <c r="V268" s="34"/>
      <c r="W268" s="34"/>
      <c r="X268" s="40">
        <f t="shared" ref="X268:AF268" si="386">X269+X271+X275+X279</f>
        <v>0</v>
      </c>
      <c r="Y268" s="40">
        <f t="shared" si="386"/>
        <v>0</v>
      </c>
      <c r="Z268" s="40">
        <f t="shared" si="386"/>
        <v>440000000</v>
      </c>
      <c r="AA268" s="40">
        <f t="shared" si="386"/>
        <v>0</v>
      </c>
      <c r="AB268" s="40">
        <f t="shared" si="386"/>
        <v>0</v>
      </c>
      <c r="AC268" s="40">
        <f t="shared" si="386"/>
        <v>0</v>
      </c>
      <c r="AD268" s="40">
        <f t="shared" si="386"/>
        <v>0</v>
      </c>
      <c r="AE268" s="40">
        <f t="shared" si="386"/>
        <v>0</v>
      </c>
      <c r="AF268" s="40">
        <f t="shared" si="386"/>
        <v>0</v>
      </c>
      <c r="AG268" s="41">
        <f>AG269+AG271+AG275+AG279</f>
        <v>440000000</v>
      </c>
      <c r="AH268" s="40">
        <f t="shared" ref="AH268:AQ268" si="387">AH269+AH271+AH275+AH279</f>
        <v>0</v>
      </c>
      <c r="AI268" s="40">
        <f t="shared" si="387"/>
        <v>0</v>
      </c>
      <c r="AJ268" s="40">
        <f t="shared" si="387"/>
        <v>440000000</v>
      </c>
      <c r="AK268" s="40">
        <f t="shared" si="387"/>
        <v>0</v>
      </c>
      <c r="AL268" s="40">
        <f t="shared" si="387"/>
        <v>0</v>
      </c>
      <c r="AM268" s="40">
        <f t="shared" si="387"/>
        <v>0</v>
      </c>
      <c r="AN268" s="40">
        <f t="shared" si="387"/>
        <v>0</v>
      </c>
      <c r="AO268" s="40">
        <f t="shared" si="387"/>
        <v>0</v>
      </c>
      <c r="AP268" s="40">
        <f t="shared" si="387"/>
        <v>0</v>
      </c>
      <c r="AQ268" s="40">
        <f t="shared" si="387"/>
        <v>440000000</v>
      </c>
      <c r="AR268" s="42"/>
      <c r="AS268" s="42"/>
      <c r="AT268" s="42"/>
      <c r="AU268" s="42"/>
      <c r="AV268" s="42"/>
      <c r="AW268" s="42"/>
      <c r="AX268" s="42"/>
      <c r="AY268" s="42"/>
      <c r="AZ268" s="42"/>
      <c r="BA268" s="40">
        <f t="shared" ref="BA268" si="388">BA269+BA271+BA275+BA279</f>
        <v>420000000</v>
      </c>
      <c r="BB268" s="42"/>
      <c r="BC268" s="42"/>
      <c r="BD268" s="42"/>
      <c r="BE268" s="42"/>
      <c r="BF268" s="42"/>
      <c r="BG268" s="42"/>
      <c r="BH268" s="42"/>
      <c r="BI268" s="42"/>
      <c r="BJ268" s="42"/>
      <c r="BK268" s="40">
        <f t="shared" ref="BK268" si="389">BK269+BK271+BK275+BK279</f>
        <v>410000000</v>
      </c>
      <c r="BL268" s="40">
        <f t="shared" ref="BL268" si="390">BL269+BL271+BL275+BL279</f>
        <v>1710000000</v>
      </c>
    </row>
    <row r="269" spans="1:64" ht="24.75" customHeight="1" x14ac:dyDescent="0.2">
      <c r="A269" s="74"/>
      <c r="B269" s="56"/>
      <c r="C269" s="124"/>
      <c r="D269" s="417"/>
      <c r="E269" s="44">
        <v>58</v>
      </c>
      <c r="F269" s="45" t="s">
        <v>640</v>
      </c>
      <c r="G269" s="48"/>
      <c r="H269" s="48"/>
      <c r="I269" s="47"/>
      <c r="J269" s="48"/>
      <c r="K269" s="48"/>
      <c r="L269" s="47"/>
      <c r="M269" s="49"/>
      <c r="N269" s="50"/>
      <c r="O269" s="48"/>
      <c r="P269" s="48"/>
      <c r="Q269" s="51"/>
      <c r="R269" s="48"/>
      <c r="S269" s="48"/>
      <c r="T269" s="49"/>
      <c r="U269" s="125"/>
      <c r="V269" s="49"/>
      <c r="W269" s="49"/>
      <c r="X269" s="53">
        <f t="shared" ref="X269:AF269" si="391">SUM(X270)</f>
        <v>0</v>
      </c>
      <c r="Y269" s="53">
        <f t="shared" si="391"/>
        <v>0</v>
      </c>
      <c r="Z269" s="53">
        <f t="shared" si="391"/>
        <v>90000000</v>
      </c>
      <c r="AA269" s="53">
        <f t="shared" si="391"/>
        <v>0</v>
      </c>
      <c r="AB269" s="53">
        <f t="shared" si="391"/>
        <v>0</v>
      </c>
      <c r="AC269" s="53">
        <f t="shared" si="391"/>
        <v>0</v>
      </c>
      <c r="AD269" s="53">
        <f t="shared" si="391"/>
        <v>0</v>
      </c>
      <c r="AE269" s="53">
        <f t="shared" si="391"/>
        <v>0</v>
      </c>
      <c r="AF269" s="53">
        <f t="shared" si="391"/>
        <v>0</v>
      </c>
      <c r="AG269" s="54">
        <f>SUM(AG270)</f>
        <v>90000000</v>
      </c>
      <c r="AH269" s="53">
        <f t="shared" ref="AH269:AQ269" si="392">SUM(AH270)</f>
        <v>0</v>
      </c>
      <c r="AI269" s="53">
        <f t="shared" si="392"/>
        <v>0</v>
      </c>
      <c r="AJ269" s="53">
        <f t="shared" si="392"/>
        <v>80000000</v>
      </c>
      <c r="AK269" s="53">
        <f t="shared" si="392"/>
        <v>0</v>
      </c>
      <c r="AL269" s="53">
        <f t="shared" si="392"/>
        <v>0</v>
      </c>
      <c r="AM269" s="53">
        <f t="shared" si="392"/>
        <v>0</v>
      </c>
      <c r="AN269" s="53">
        <f t="shared" si="392"/>
        <v>0</v>
      </c>
      <c r="AO269" s="53">
        <f t="shared" si="392"/>
        <v>0</v>
      </c>
      <c r="AP269" s="53">
        <f t="shared" si="392"/>
        <v>0</v>
      </c>
      <c r="AQ269" s="53">
        <f t="shared" si="392"/>
        <v>80000000</v>
      </c>
      <c r="AR269" s="55"/>
      <c r="AS269" s="55"/>
      <c r="AT269" s="55"/>
      <c r="AU269" s="55"/>
      <c r="AV269" s="55"/>
      <c r="AW269" s="55"/>
      <c r="AX269" s="55"/>
      <c r="AY269" s="55"/>
      <c r="AZ269" s="55"/>
      <c r="BA269" s="53">
        <f t="shared" ref="BA269" si="393">SUM(BA270)</f>
        <v>70000000</v>
      </c>
      <c r="BB269" s="55"/>
      <c r="BC269" s="55"/>
      <c r="BD269" s="55"/>
      <c r="BE269" s="55"/>
      <c r="BF269" s="55"/>
      <c r="BG269" s="55"/>
      <c r="BH269" s="55"/>
      <c r="BI269" s="55"/>
      <c r="BJ269" s="55"/>
      <c r="BK269" s="53">
        <f t="shared" ref="BK269:BL269" si="394">SUM(BK270)</f>
        <v>60000000</v>
      </c>
      <c r="BL269" s="53">
        <f t="shared" si="394"/>
        <v>300000000</v>
      </c>
    </row>
    <row r="270" spans="1:64" ht="93.75" customHeight="1" x14ac:dyDescent="0.2">
      <c r="A270" s="56">
        <v>183</v>
      </c>
      <c r="B270" s="56">
        <v>3</v>
      </c>
      <c r="C270" s="124"/>
      <c r="D270" s="124"/>
      <c r="E270" s="81">
        <v>22</v>
      </c>
      <c r="F270" s="311" t="s">
        <v>239</v>
      </c>
      <c r="G270" s="201" t="s">
        <v>240</v>
      </c>
      <c r="H270" s="171" t="s">
        <v>244</v>
      </c>
      <c r="I270" s="64">
        <v>183</v>
      </c>
      <c r="J270" s="60" t="s">
        <v>641</v>
      </c>
      <c r="K270" s="257" t="s">
        <v>642</v>
      </c>
      <c r="L270" s="61" t="s">
        <v>634</v>
      </c>
      <c r="M270" s="61">
        <v>14</v>
      </c>
      <c r="N270" s="100" t="s">
        <v>54</v>
      </c>
      <c r="O270" s="81">
        <v>0</v>
      </c>
      <c r="P270" s="81">
        <v>1</v>
      </c>
      <c r="Q270" s="187">
        <v>1</v>
      </c>
      <c r="R270" s="81">
        <v>1</v>
      </c>
      <c r="S270" s="81">
        <v>1</v>
      </c>
      <c r="T270" s="81">
        <v>1</v>
      </c>
      <c r="U270" s="211">
        <f>AG267/AG266</f>
        <v>1</v>
      </c>
      <c r="V270" s="65">
        <v>10</v>
      </c>
      <c r="W270" s="62" t="s">
        <v>386</v>
      </c>
      <c r="X270" s="176"/>
      <c r="Y270" s="176"/>
      <c r="Z270" s="96">
        <f>73000000+17000000</f>
        <v>90000000</v>
      </c>
      <c r="AA270" s="96"/>
      <c r="AB270" s="176"/>
      <c r="AC270" s="176"/>
      <c r="AD270" s="176"/>
      <c r="AE270" s="176"/>
      <c r="AF270" s="176"/>
      <c r="AG270" s="69">
        <f>+X270+Y270+Z270+AA270+AB270+AC270+AD270+AE270+AF270</f>
        <v>90000000</v>
      </c>
      <c r="AH270" s="78"/>
      <c r="AI270" s="78"/>
      <c r="AJ270" s="511">
        <v>80000000</v>
      </c>
      <c r="AK270" s="78"/>
      <c r="AL270" s="78"/>
      <c r="AM270" s="78"/>
      <c r="AN270" s="78"/>
      <c r="AO270" s="78"/>
      <c r="AP270" s="78"/>
      <c r="AQ270" s="71">
        <f>AH270+AI270+AJ270+AK270+AL270+AM270+AN270+AO270+AP270</f>
        <v>80000000</v>
      </c>
      <c r="AR270" s="511"/>
      <c r="AS270" s="511"/>
      <c r="AT270" s="511">
        <v>70000000</v>
      </c>
      <c r="AU270" s="511"/>
      <c r="AV270" s="511"/>
      <c r="AW270" s="511"/>
      <c r="AX270" s="511"/>
      <c r="AY270" s="511"/>
      <c r="AZ270" s="511"/>
      <c r="BA270" s="511">
        <f>SUM(AR270:AZ270)</f>
        <v>70000000</v>
      </c>
      <c r="BB270" s="78"/>
      <c r="BC270" s="78"/>
      <c r="BD270" s="78">
        <v>60000000</v>
      </c>
      <c r="BE270" s="78"/>
      <c r="BF270" s="78"/>
      <c r="BG270" s="78"/>
      <c r="BH270" s="78"/>
      <c r="BI270" s="78"/>
      <c r="BJ270" s="78"/>
      <c r="BK270" s="78">
        <f>SUM(BB270:BJ270)</f>
        <v>60000000</v>
      </c>
      <c r="BL270" s="603">
        <f>AG270+AQ270+BA270+BK270</f>
        <v>300000000</v>
      </c>
    </row>
    <row r="271" spans="1:64" ht="24.75" customHeight="1" x14ac:dyDescent="0.2">
      <c r="A271" s="56"/>
      <c r="B271" s="56"/>
      <c r="C271" s="124"/>
      <c r="D271" s="124"/>
      <c r="E271" s="44">
        <v>59</v>
      </c>
      <c r="F271" s="436" t="s">
        <v>643</v>
      </c>
      <c r="G271" s="436"/>
      <c r="H271" s="156"/>
      <c r="I271" s="47"/>
      <c r="J271" s="48"/>
      <c r="K271" s="48"/>
      <c r="L271" s="47"/>
      <c r="M271" s="49"/>
      <c r="N271" s="50"/>
      <c r="O271" s="48"/>
      <c r="P271" s="48"/>
      <c r="Q271" s="51"/>
      <c r="R271" s="47"/>
      <c r="S271" s="51"/>
      <c r="T271" s="51"/>
      <c r="U271" s="51"/>
      <c r="V271" s="49"/>
      <c r="W271" s="49"/>
      <c r="X271" s="53">
        <f t="shared" ref="X271:AF271" si="395">SUM(X272:X274)</f>
        <v>0</v>
      </c>
      <c r="Y271" s="53">
        <f t="shared" si="395"/>
        <v>0</v>
      </c>
      <c r="Z271" s="53">
        <f t="shared" si="395"/>
        <v>70000000</v>
      </c>
      <c r="AA271" s="53">
        <f t="shared" si="395"/>
        <v>0</v>
      </c>
      <c r="AB271" s="53">
        <f t="shared" si="395"/>
        <v>0</v>
      </c>
      <c r="AC271" s="53">
        <f t="shared" si="395"/>
        <v>0</v>
      </c>
      <c r="AD271" s="53">
        <f t="shared" si="395"/>
        <v>0</v>
      </c>
      <c r="AE271" s="53">
        <f t="shared" si="395"/>
        <v>0</v>
      </c>
      <c r="AF271" s="53">
        <f t="shared" si="395"/>
        <v>0</v>
      </c>
      <c r="AG271" s="54">
        <f>SUM(AG272:AG274)</f>
        <v>70000000</v>
      </c>
      <c r="AH271" s="53">
        <f t="shared" ref="AH271:AQ271" si="396">SUM(AH272:AH274)</f>
        <v>0</v>
      </c>
      <c r="AI271" s="53">
        <f t="shared" si="396"/>
        <v>0</v>
      </c>
      <c r="AJ271" s="53">
        <f t="shared" si="396"/>
        <v>70000000</v>
      </c>
      <c r="AK271" s="53">
        <f t="shared" si="396"/>
        <v>0</v>
      </c>
      <c r="AL271" s="53">
        <f t="shared" si="396"/>
        <v>0</v>
      </c>
      <c r="AM271" s="53">
        <f t="shared" si="396"/>
        <v>0</v>
      </c>
      <c r="AN271" s="53">
        <f t="shared" si="396"/>
        <v>0</v>
      </c>
      <c r="AO271" s="53">
        <f t="shared" si="396"/>
        <v>0</v>
      </c>
      <c r="AP271" s="53">
        <f t="shared" si="396"/>
        <v>0</v>
      </c>
      <c r="AQ271" s="53">
        <f t="shared" si="396"/>
        <v>70000000</v>
      </c>
      <c r="AR271" s="136"/>
      <c r="AS271" s="136"/>
      <c r="AT271" s="136"/>
      <c r="AU271" s="136"/>
      <c r="AV271" s="136"/>
      <c r="AW271" s="136"/>
      <c r="AX271" s="136"/>
      <c r="AY271" s="136"/>
      <c r="AZ271" s="136"/>
      <c r="BA271" s="53">
        <f t="shared" ref="BA271" si="397">SUM(BA272:BA274)</f>
        <v>70000000</v>
      </c>
      <c r="BB271" s="55"/>
      <c r="BC271" s="55"/>
      <c r="BD271" s="55"/>
      <c r="BE271" s="55"/>
      <c r="BF271" s="55"/>
      <c r="BG271" s="55"/>
      <c r="BH271" s="55"/>
      <c r="BI271" s="55"/>
      <c r="BJ271" s="55"/>
      <c r="BK271" s="53">
        <f t="shared" ref="BK271:BL271" si="398">SUM(BK272:BK274)</f>
        <v>70000000</v>
      </c>
      <c r="BL271" s="53">
        <f t="shared" si="398"/>
        <v>280000000</v>
      </c>
    </row>
    <row r="272" spans="1:64" ht="93.75" customHeight="1" x14ac:dyDescent="0.2">
      <c r="A272" s="74">
        <v>184</v>
      </c>
      <c r="B272" s="56">
        <v>3</v>
      </c>
      <c r="C272" s="124"/>
      <c r="D272" s="124"/>
      <c r="E272" s="438"/>
      <c r="F272" s="417"/>
      <c r="G272" s="452"/>
      <c r="H272" s="417"/>
      <c r="I272" s="64">
        <v>184</v>
      </c>
      <c r="J272" s="60" t="s">
        <v>644</v>
      </c>
      <c r="K272" s="257" t="s">
        <v>645</v>
      </c>
      <c r="L272" s="61" t="s">
        <v>634</v>
      </c>
      <c r="M272" s="61">
        <v>14</v>
      </c>
      <c r="N272" s="100" t="s">
        <v>54</v>
      </c>
      <c r="O272" s="81">
        <v>1</v>
      </c>
      <c r="P272" s="81">
        <v>1</v>
      </c>
      <c r="Q272" s="187">
        <v>1</v>
      </c>
      <c r="R272" s="81">
        <v>1</v>
      </c>
      <c r="S272" s="81">
        <v>1</v>
      </c>
      <c r="T272" s="81">
        <v>1</v>
      </c>
      <c r="U272" s="211">
        <f>AG272/$AG$271</f>
        <v>0.35714285714285715</v>
      </c>
      <c r="V272" s="65">
        <v>16</v>
      </c>
      <c r="W272" s="62" t="s">
        <v>373</v>
      </c>
      <c r="X272" s="176"/>
      <c r="Y272" s="176"/>
      <c r="Z272" s="96">
        <f>6500000+6000000+12500000</f>
        <v>25000000</v>
      </c>
      <c r="AA272" s="96"/>
      <c r="AB272" s="176"/>
      <c r="AC272" s="176"/>
      <c r="AD272" s="176"/>
      <c r="AE272" s="176"/>
      <c r="AF272" s="176"/>
      <c r="AG272" s="69">
        <f>+X272+Y272+Z272+AA272+AB272+AC272+AD272+AE272+AF272</f>
        <v>25000000</v>
      </c>
      <c r="AH272" s="78"/>
      <c r="AI272" s="78"/>
      <c r="AJ272" s="78">
        <v>25000000</v>
      </c>
      <c r="AK272" s="78"/>
      <c r="AL272" s="78"/>
      <c r="AM272" s="78"/>
      <c r="AN272" s="78"/>
      <c r="AO272" s="78"/>
      <c r="AP272" s="78"/>
      <c r="AQ272" s="71">
        <f>AH272+AI272+AJ272+AK272+AL272+AM272+AN272+AO272+AP272</f>
        <v>25000000</v>
      </c>
      <c r="AR272" s="78"/>
      <c r="AS272" s="78"/>
      <c r="AT272" s="78">
        <v>25000000</v>
      </c>
      <c r="AU272" s="78"/>
      <c r="AV272" s="78"/>
      <c r="AW272" s="78"/>
      <c r="AX272" s="78"/>
      <c r="AY272" s="78"/>
      <c r="AZ272" s="78"/>
      <c r="BA272" s="78">
        <f>SUM(AR272:AZ272)</f>
        <v>25000000</v>
      </c>
      <c r="BB272" s="78"/>
      <c r="BC272" s="78"/>
      <c r="BD272" s="78">
        <v>25000000</v>
      </c>
      <c r="BE272" s="78"/>
      <c r="BF272" s="78"/>
      <c r="BG272" s="78"/>
      <c r="BH272" s="78"/>
      <c r="BI272" s="78"/>
      <c r="BJ272" s="78"/>
      <c r="BK272" s="78">
        <f>SUM(BB272:BJ272)</f>
        <v>25000000</v>
      </c>
      <c r="BL272" s="603">
        <f>AG272+AQ272+BA272+BK272</f>
        <v>100000000</v>
      </c>
    </row>
    <row r="273" spans="1:64" ht="93.75" customHeight="1" x14ac:dyDescent="0.2">
      <c r="A273" s="56">
        <v>185</v>
      </c>
      <c r="B273" s="56">
        <v>3</v>
      </c>
      <c r="C273" s="124"/>
      <c r="D273" s="124"/>
      <c r="E273" s="79">
        <v>31</v>
      </c>
      <c r="F273" s="107" t="s">
        <v>646</v>
      </c>
      <c r="G273" s="102" t="s">
        <v>458</v>
      </c>
      <c r="H273" s="164">
        <v>0.2</v>
      </c>
      <c r="I273" s="64">
        <v>185</v>
      </c>
      <c r="J273" s="60" t="s">
        <v>647</v>
      </c>
      <c r="K273" s="257" t="s">
        <v>648</v>
      </c>
      <c r="L273" s="61" t="s">
        <v>634</v>
      </c>
      <c r="M273" s="61">
        <v>14</v>
      </c>
      <c r="N273" s="100" t="s">
        <v>54</v>
      </c>
      <c r="O273" s="81" t="s">
        <v>49</v>
      </c>
      <c r="P273" s="81">
        <v>1</v>
      </c>
      <c r="Q273" s="187">
        <v>1</v>
      </c>
      <c r="R273" s="81">
        <v>1</v>
      </c>
      <c r="S273" s="81">
        <v>1</v>
      </c>
      <c r="T273" s="81">
        <v>1</v>
      </c>
      <c r="U273" s="211">
        <f>AG273/$AG$271</f>
        <v>0.23571428571428571</v>
      </c>
      <c r="V273" s="65">
        <v>3</v>
      </c>
      <c r="W273" s="62" t="s">
        <v>453</v>
      </c>
      <c r="X273" s="176"/>
      <c r="Y273" s="176"/>
      <c r="Z273" s="96">
        <v>16500000</v>
      </c>
      <c r="AA273" s="96"/>
      <c r="AB273" s="176"/>
      <c r="AC273" s="176"/>
      <c r="AD273" s="176"/>
      <c r="AE273" s="176"/>
      <c r="AF273" s="176"/>
      <c r="AG273" s="69">
        <f>+X273+Y273+Z273+AA273+AB273+AC273+AD273+AE273+AF273</f>
        <v>16500000</v>
      </c>
      <c r="AH273" s="78"/>
      <c r="AI273" s="78"/>
      <c r="AJ273" s="78">
        <v>16500000</v>
      </c>
      <c r="AK273" s="78"/>
      <c r="AL273" s="78"/>
      <c r="AM273" s="78"/>
      <c r="AN273" s="78"/>
      <c r="AO273" s="78"/>
      <c r="AP273" s="78"/>
      <c r="AQ273" s="71">
        <f>AH273+AI273+AJ273+AK273+AL273+AM273+AN273+AO273+AP273</f>
        <v>16500000</v>
      </c>
      <c r="AR273" s="78"/>
      <c r="AS273" s="78"/>
      <c r="AT273" s="78">
        <v>16500000</v>
      </c>
      <c r="AU273" s="78"/>
      <c r="AV273" s="78"/>
      <c r="AW273" s="78"/>
      <c r="AX273" s="78"/>
      <c r="AY273" s="78"/>
      <c r="AZ273" s="78"/>
      <c r="BA273" s="78">
        <f>SUM(AR273:AZ273)</f>
        <v>16500000</v>
      </c>
      <c r="BB273" s="78"/>
      <c r="BC273" s="78"/>
      <c r="BD273" s="78">
        <v>16500000</v>
      </c>
      <c r="BE273" s="78"/>
      <c r="BF273" s="78"/>
      <c r="BG273" s="78"/>
      <c r="BH273" s="78"/>
      <c r="BI273" s="78"/>
      <c r="BJ273" s="78"/>
      <c r="BK273" s="78">
        <f>SUM(BB273:BJ273)</f>
        <v>16500000</v>
      </c>
      <c r="BL273" s="603">
        <f>AG273+AQ273+BA273+BK273</f>
        <v>66000000</v>
      </c>
    </row>
    <row r="274" spans="1:64" ht="93.75" customHeight="1" x14ac:dyDescent="0.2">
      <c r="A274" s="74">
        <v>186</v>
      </c>
      <c r="B274" s="56">
        <v>3</v>
      </c>
      <c r="C274" s="124"/>
      <c r="D274" s="124"/>
      <c r="E274" s="506"/>
      <c r="F274" s="517"/>
      <c r="G274" s="80"/>
      <c r="H274" s="189"/>
      <c r="I274" s="64">
        <v>186</v>
      </c>
      <c r="J274" s="60" t="s">
        <v>649</v>
      </c>
      <c r="K274" s="257" t="s">
        <v>650</v>
      </c>
      <c r="L274" s="61" t="s">
        <v>634</v>
      </c>
      <c r="M274" s="61">
        <v>14</v>
      </c>
      <c r="N274" s="240" t="s">
        <v>54</v>
      </c>
      <c r="O274" s="187" t="s">
        <v>49</v>
      </c>
      <c r="P274" s="187">
        <v>1</v>
      </c>
      <c r="Q274" s="187">
        <v>1</v>
      </c>
      <c r="R274" s="187">
        <v>1</v>
      </c>
      <c r="S274" s="81">
        <v>1</v>
      </c>
      <c r="T274" s="81">
        <v>1</v>
      </c>
      <c r="U274" s="211">
        <f>AG274/$AG$271</f>
        <v>0.40714285714285714</v>
      </c>
      <c r="V274" s="65">
        <v>8</v>
      </c>
      <c r="W274" s="62" t="s">
        <v>131</v>
      </c>
      <c r="X274" s="176"/>
      <c r="Y274" s="176"/>
      <c r="Z274" s="70">
        <v>28500000</v>
      </c>
      <c r="AA274" s="96"/>
      <c r="AB274" s="176"/>
      <c r="AC274" s="176"/>
      <c r="AD274" s="176"/>
      <c r="AE274" s="176"/>
      <c r="AF274" s="176"/>
      <c r="AG274" s="69">
        <f>+X274+Y274+Z274+AA274+AB274+AC274+AD274+AE274+AF274</f>
        <v>28500000</v>
      </c>
      <c r="AH274" s="78"/>
      <c r="AI274" s="78"/>
      <c r="AJ274" s="78">
        <v>28500000</v>
      </c>
      <c r="AK274" s="78"/>
      <c r="AL274" s="78"/>
      <c r="AM274" s="78"/>
      <c r="AN274" s="78"/>
      <c r="AO274" s="78"/>
      <c r="AP274" s="78"/>
      <c r="AQ274" s="71">
        <f>AH274+AI274+AJ274+AK274+AL274+AM274+AN274+AO274+AP274</f>
        <v>28500000</v>
      </c>
      <c r="AR274" s="78"/>
      <c r="AS274" s="78"/>
      <c r="AT274" s="78">
        <v>28500000</v>
      </c>
      <c r="AU274" s="78"/>
      <c r="AV274" s="78"/>
      <c r="AW274" s="78"/>
      <c r="AX274" s="78"/>
      <c r="AY274" s="78"/>
      <c r="AZ274" s="78"/>
      <c r="BA274" s="78">
        <f>SUM(AR274:AZ274)</f>
        <v>28500000</v>
      </c>
      <c r="BB274" s="78"/>
      <c r="BC274" s="78"/>
      <c r="BD274" s="78">
        <v>28500000</v>
      </c>
      <c r="BE274" s="78"/>
      <c r="BF274" s="78"/>
      <c r="BG274" s="78"/>
      <c r="BH274" s="78"/>
      <c r="BI274" s="78"/>
      <c r="BJ274" s="78"/>
      <c r="BK274" s="78">
        <f>SUM(BB274:BJ274)</f>
        <v>28500000</v>
      </c>
      <c r="BL274" s="603">
        <f>AG274+AQ274+BA274+BK274</f>
        <v>114000000</v>
      </c>
    </row>
    <row r="275" spans="1:64" ht="24.75" customHeight="1" x14ac:dyDescent="0.2">
      <c r="A275" s="74"/>
      <c r="B275" s="56"/>
      <c r="C275" s="124"/>
      <c r="D275" s="124"/>
      <c r="E275" s="44">
        <v>60</v>
      </c>
      <c r="F275" s="45" t="s">
        <v>651</v>
      </c>
      <c r="G275" s="48"/>
      <c r="H275" s="48"/>
      <c r="I275" s="47"/>
      <c r="J275" s="48"/>
      <c r="K275" s="48"/>
      <c r="L275" s="47"/>
      <c r="M275" s="49"/>
      <c r="N275" s="50"/>
      <c r="O275" s="48"/>
      <c r="P275" s="48"/>
      <c r="Q275" s="51"/>
      <c r="R275" s="51"/>
      <c r="S275" s="51"/>
      <c r="T275" s="51"/>
      <c r="U275" s="51"/>
      <c r="V275" s="51"/>
      <c r="W275" s="51"/>
      <c r="X275" s="480">
        <f>SUM(X276:X278)</f>
        <v>0</v>
      </c>
      <c r="Y275" s="480">
        <f t="shared" ref="Y275:AN275" si="399">SUM(Y276:Y278)</f>
        <v>0</v>
      </c>
      <c r="Z275" s="480">
        <f t="shared" si="399"/>
        <v>100000000</v>
      </c>
      <c r="AA275" s="480">
        <f t="shared" si="399"/>
        <v>0</v>
      </c>
      <c r="AB275" s="480">
        <f t="shared" si="399"/>
        <v>0</v>
      </c>
      <c r="AC275" s="480">
        <f t="shared" si="399"/>
        <v>0</v>
      </c>
      <c r="AD275" s="480">
        <f t="shared" si="399"/>
        <v>0</v>
      </c>
      <c r="AE275" s="480">
        <f t="shared" si="399"/>
        <v>0</v>
      </c>
      <c r="AF275" s="480">
        <f t="shared" si="399"/>
        <v>0</v>
      </c>
      <c r="AG275" s="480">
        <f t="shared" si="399"/>
        <v>100000000</v>
      </c>
      <c r="AH275" s="480">
        <f t="shared" si="399"/>
        <v>0</v>
      </c>
      <c r="AI275" s="480">
        <f t="shared" si="399"/>
        <v>0</v>
      </c>
      <c r="AJ275" s="480">
        <f t="shared" si="399"/>
        <v>100000000</v>
      </c>
      <c r="AK275" s="480">
        <f t="shared" si="399"/>
        <v>0</v>
      </c>
      <c r="AL275" s="480">
        <f t="shared" si="399"/>
        <v>0</v>
      </c>
      <c r="AM275" s="480">
        <f t="shared" si="399"/>
        <v>0</v>
      </c>
      <c r="AN275" s="480">
        <f t="shared" si="399"/>
        <v>0</v>
      </c>
      <c r="AO275" s="480">
        <f t="shared" ref="AO275:AQ275" si="400">SUM(AO276:AO278)</f>
        <v>0</v>
      </c>
      <c r="AP275" s="480">
        <f t="shared" si="400"/>
        <v>0</v>
      </c>
      <c r="AQ275" s="480">
        <f t="shared" si="400"/>
        <v>100000000</v>
      </c>
      <c r="AR275" s="51"/>
      <c r="AS275" s="51"/>
      <c r="AT275" s="51"/>
      <c r="AU275" s="51"/>
      <c r="AV275" s="51"/>
      <c r="AW275" s="51"/>
      <c r="AX275" s="51"/>
      <c r="AY275" s="51"/>
      <c r="AZ275" s="51"/>
      <c r="BA275" s="480">
        <f t="shared" ref="BA275" si="401">SUM(BA276:BA278)</f>
        <v>100000000</v>
      </c>
      <c r="BB275" s="51"/>
      <c r="BC275" s="51"/>
      <c r="BD275" s="51"/>
      <c r="BE275" s="51"/>
      <c r="BF275" s="51"/>
      <c r="BG275" s="51"/>
      <c r="BH275" s="51"/>
      <c r="BI275" s="51"/>
      <c r="BJ275" s="51"/>
      <c r="BK275" s="480">
        <f t="shared" ref="BK275:BL275" si="402">SUM(BK276:BK278)</f>
        <v>100000000</v>
      </c>
      <c r="BL275" s="612">
        <f t="shared" si="402"/>
        <v>400000000</v>
      </c>
    </row>
    <row r="276" spans="1:64" ht="93.75" customHeight="1" x14ac:dyDescent="0.2">
      <c r="A276" s="56">
        <v>187</v>
      </c>
      <c r="B276" s="56">
        <v>3</v>
      </c>
      <c r="C276" s="124"/>
      <c r="D276" s="124"/>
      <c r="E276" s="510"/>
      <c r="F276" s="417"/>
      <c r="G276" s="417"/>
      <c r="H276" s="417"/>
      <c r="I276" s="64">
        <v>187</v>
      </c>
      <c r="J276" s="60" t="s">
        <v>652</v>
      </c>
      <c r="K276" s="257" t="s">
        <v>653</v>
      </c>
      <c r="L276" s="61" t="s">
        <v>634</v>
      </c>
      <c r="M276" s="61">
        <v>14</v>
      </c>
      <c r="N276" s="100" t="s">
        <v>54</v>
      </c>
      <c r="O276" s="81">
        <v>1</v>
      </c>
      <c r="P276" s="81">
        <v>1</v>
      </c>
      <c r="Q276" s="187">
        <v>1</v>
      </c>
      <c r="R276" s="81">
        <v>1</v>
      </c>
      <c r="S276" s="81">
        <v>1</v>
      </c>
      <c r="T276" s="81">
        <v>1</v>
      </c>
      <c r="U276" s="252">
        <f>AG276/$AG$275</f>
        <v>0.24349999999999999</v>
      </c>
      <c r="V276" s="65">
        <v>8</v>
      </c>
      <c r="W276" s="62" t="s">
        <v>131</v>
      </c>
      <c r="X276" s="96"/>
      <c r="Y276" s="96"/>
      <c r="Z276" s="96">
        <v>24350000</v>
      </c>
      <c r="AA276" s="96"/>
      <c r="AB276" s="96"/>
      <c r="AC276" s="96"/>
      <c r="AD276" s="96"/>
      <c r="AE276" s="96"/>
      <c r="AF276" s="96"/>
      <c r="AG276" s="69">
        <f>+X276+Y276+Z276+AA276+AB276+AC276+AD276+AE276+AF276</f>
        <v>24350000</v>
      </c>
      <c r="AH276" s="78"/>
      <c r="AI276" s="78"/>
      <c r="AJ276" s="78">
        <v>24350000</v>
      </c>
      <c r="AK276" s="78"/>
      <c r="AL276" s="78"/>
      <c r="AM276" s="78"/>
      <c r="AN276" s="78"/>
      <c r="AO276" s="78"/>
      <c r="AP276" s="78"/>
      <c r="AQ276" s="71">
        <f>AH276+AI276+AJ276+AK276+AL276+AM276+AN276+AO276+AP276</f>
        <v>24350000</v>
      </c>
      <c r="AR276" s="78"/>
      <c r="AS276" s="78"/>
      <c r="AT276" s="78">
        <v>24350000</v>
      </c>
      <c r="AU276" s="78"/>
      <c r="AV276" s="78"/>
      <c r="AW276" s="78"/>
      <c r="AX276" s="78"/>
      <c r="AY276" s="78"/>
      <c r="AZ276" s="78"/>
      <c r="BA276" s="78">
        <f>SUM(AR276:AZ276)</f>
        <v>24350000</v>
      </c>
      <c r="BB276" s="78"/>
      <c r="BC276" s="78"/>
      <c r="BD276" s="78">
        <v>24350000</v>
      </c>
      <c r="BE276" s="78"/>
      <c r="BF276" s="78"/>
      <c r="BG276" s="78"/>
      <c r="BH276" s="78"/>
      <c r="BI276" s="78"/>
      <c r="BJ276" s="78"/>
      <c r="BK276" s="78">
        <f>SUM(BB276:BJ276)</f>
        <v>24350000</v>
      </c>
      <c r="BL276" s="603">
        <f>AG276+AQ276+BA276+BK276</f>
        <v>97400000</v>
      </c>
    </row>
    <row r="277" spans="1:64" ht="93.75" customHeight="1" x14ac:dyDescent="0.2">
      <c r="A277" s="74">
        <v>188</v>
      </c>
      <c r="B277" s="56">
        <v>3</v>
      </c>
      <c r="C277" s="124"/>
      <c r="D277" s="124"/>
      <c r="E277" s="531">
        <v>32</v>
      </c>
      <c r="F277" s="238" t="s">
        <v>654</v>
      </c>
      <c r="G277" s="316" t="s">
        <v>248</v>
      </c>
      <c r="H277" s="316" t="s">
        <v>249</v>
      </c>
      <c r="I277" s="64">
        <v>188</v>
      </c>
      <c r="J277" s="60" t="s">
        <v>655</v>
      </c>
      <c r="K277" s="257" t="s">
        <v>656</v>
      </c>
      <c r="L277" s="61" t="s">
        <v>634</v>
      </c>
      <c r="M277" s="61">
        <v>14</v>
      </c>
      <c r="N277" s="100" t="s">
        <v>54</v>
      </c>
      <c r="O277" s="81" t="s">
        <v>49</v>
      </c>
      <c r="P277" s="81">
        <v>2</v>
      </c>
      <c r="Q277" s="187">
        <v>2</v>
      </c>
      <c r="R277" s="81">
        <v>2</v>
      </c>
      <c r="S277" s="81">
        <v>2</v>
      </c>
      <c r="T277" s="81">
        <v>2</v>
      </c>
      <c r="U277" s="252">
        <f>AG277/$AG$275</f>
        <v>0.3165</v>
      </c>
      <c r="V277" s="65">
        <v>16</v>
      </c>
      <c r="W277" s="62" t="s">
        <v>373</v>
      </c>
      <c r="X277" s="96"/>
      <c r="Y277" s="96"/>
      <c r="Z277" s="96">
        <f>25000000+6650000</f>
        <v>31650000</v>
      </c>
      <c r="AA277" s="96"/>
      <c r="AB277" s="96"/>
      <c r="AC277" s="96"/>
      <c r="AD277" s="96"/>
      <c r="AE277" s="96"/>
      <c r="AF277" s="96"/>
      <c r="AG277" s="69">
        <f>+X277+Y277+Z277+AA277+AB277+AC277+AD277+AE277+AF277</f>
        <v>31650000</v>
      </c>
      <c r="AH277" s="78"/>
      <c r="AI277" s="78"/>
      <c r="AJ277" s="78">
        <v>31650000</v>
      </c>
      <c r="AK277" s="78"/>
      <c r="AL277" s="78"/>
      <c r="AM277" s="78"/>
      <c r="AN277" s="78"/>
      <c r="AO277" s="78"/>
      <c r="AP277" s="78"/>
      <c r="AQ277" s="71">
        <f>AH277+AI277+AJ277+AK277+AL277+AM277+AN277+AO277+AP277</f>
        <v>31650000</v>
      </c>
      <c r="AR277" s="78"/>
      <c r="AS277" s="78"/>
      <c r="AT277" s="78">
        <v>31650000</v>
      </c>
      <c r="AU277" s="78"/>
      <c r="AV277" s="78"/>
      <c r="AW277" s="78"/>
      <c r="AX277" s="78"/>
      <c r="AY277" s="78"/>
      <c r="AZ277" s="78"/>
      <c r="BA277" s="78">
        <f>SUM(AR277:AZ277)</f>
        <v>31650000</v>
      </c>
      <c r="BB277" s="78"/>
      <c r="BC277" s="78"/>
      <c r="BD277" s="78">
        <v>44000000</v>
      </c>
      <c r="BE277" s="78"/>
      <c r="BF277" s="78"/>
      <c r="BG277" s="78"/>
      <c r="BH277" s="78"/>
      <c r="BI277" s="78"/>
      <c r="BJ277" s="78"/>
      <c r="BK277" s="78">
        <f>SUM(BB277:BJ277)</f>
        <v>44000000</v>
      </c>
      <c r="BL277" s="603">
        <f>AG277+AQ277+BA277+BK277</f>
        <v>138950000</v>
      </c>
    </row>
    <row r="278" spans="1:64" ht="93.75" customHeight="1" x14ac:dyDescent="0.2">
      <c r="A278" s="56">
        <v>189</v>
      </c>
      <c r="B278" s="56">
        <v>3</v>
      </c>
      <c r="C278" s="124"/>
      <c r="D278" s="124"/>
      <c r="E278" s="506"/>
      <c r="F278" s="517"/>
      <c r="G278" s="80"/>
      <c r="H278" s="80"/>
      <c r="I278" s="64">
        <v>189</v>
      </c>
      <c r="J278" s="60" t="s">
        <v>657</v>
      </c>
      <c r="K278" s="257" t="s">
        <v>658</v>
      </c>
      <c r="L278" s="61" t="s">
        <v>634</v>
      </c>
      <c r="M278" s="61">
        <v>14</v>
      </c>
      <c r="N278" s="100" t="s">
        <v>54</v>
      </c>
      <c r="O278" s="81" t="s">
        <v>49</v>
      </c>
      <c r="P278" s="81">
        <v>1</v>
      </c>
      <c r="Q278" s="187">
        <v>1</v>
      </c>
      <c r="R278" s="81">
        <v>1</v>
      </c>
      <c r="S278" s="81">
        <v>1</v>
      </c>
      <c r="T278" s="81">
        <v>1</v>
      </c>
      <c r="U278" s="252">
        <f>AG278/$AG$275</f>
        <v>0.44</v>
      </c>
      <c r="V278" s="65">
        <v>3</v>
      </c>
      <c r="W278" s="62" t="s">
        <v>453</v>
      </c>
      <c r="X278" s="96"/>
      <c r="Y278" s="96"/>
      <c r="Z278" s="96">
        <v>44000000</v>
      </c>
      <c r="AA278" s="96"/>
      <c r="AB278" s="96"/>
      <c r="AC278" s="96"/>
      <c r="AD278" s="96"/>
      <c r="AE278" s="96"/>
      <c r="AF278" s="96"/>
      <c r="AG278" s="69">
        <f>+X278+Y278+Z278+AA278+AB278+AC278+AD278+AE278+AF278</f>
        <v>44000000</v>
      </c>
      <c r="AH278" s="78"/>
      <c r="AI278" s="78"/>
      <c r="AJ278" s="78">
        <v>44000000</v>
      </c>
      <c r="AK278" s="78"/>
      <c r="AL278" s="78"/>
      <c r="AM278" s="78"/>
      <c r="AN278" s="78"/>
      <c r="AO278" s="78"/>
      <c r="AP278" s="78"/>
      <c r="AQ278" s="71">
        <f>AH278+AI278+AJ278+AK278+AL278+AM278+AN278+AO278+AP278</f>
        <v>44000000</v>
      </c>
      <c r="AR278" s="78"/>
      <c r="AS278" s="78"/>
      <c r="AT278" s="78">
        <v>44000000</v>
      </c>
      <c r="AU278" s="78"/>
      <c r="AV278" s="78"/>
      <c r="AW278" s="78"/>
      <c r="AX278" s="78"/>
      <c r="AY278" s="78"/>
      <c r="AZ278" s="78"/>
      <c r="BA278" s="78">
        <f>SUM(AR278:AZ278)</f>
        <v>44000000</v>
      </c>
      <c r="BB278" s="78"/>
      <c r="BC278" s="78"/>
      <c r="BD278" s="78">
        <v>31650000</v>
      </c>
      <c r="BE278" s="78"/>
      <c r="BF278" s="78"/>
      <c r="BG278" s="78"/>
      <c r="BH278" s="78"/>
      <c r="BI278" s="78"/>
      <c r="BJ278" s="78"/>
      <c r="BK278" s="78">
        <f>SUM(BB278:BJ278)</f>
        <v>31650000</v>
      </c>
      <c r="BL278" s="603">
        <f>AG278+AQ278+BA278+BK278</f>
        <v>163650000</v>
      </c>
    </row>
    <row r="279" spans="1:64" ht="24.75" customHeight="1" x14ac:dyDescent="0.2">
      <c r="A279" s="56"/>
      <c r="B279" s="56"/>
      <c r="C279" s="124"/>
      <c r="D279" s="124"/>
      <c r="E279" s="44">
        <v>61</v>
      </c>
      <c r="F279" s="175" t="s">
        <v>659</v>
      </c>
      <c r="G279" s="84"/>
      <c r="H279" s="84"/>
      <c r="I279" s="47"/>
      <c r="J279" s="84"/>
      <c r="K279" s="84"/>
      <c r="L279" s="47"/>
      <c r="M279" s="47"/>
      <c r="N279" s="85"/>
      <c r="O279" s="84"/>
      <c r="P279" s="84"/>
      <c r="Q279" s="86"/>
      <c r="R279" s="86"/>
      <c r="S279" s="84"/>
      <c r="T279" s="47"/>
      <c r="U279" s="87"/>
      <c r="V279" s="47"/>
      <c r="W279" s="47"/>
      <c r="X279" s="89">
        <f t="shared" ref="X279:AF279" si="403">SUM(X280)</f>
        <v>0</v>
      </c>
      <c r="Y279" s="89">
        <f t="shared" si="403"/>
        <v>0</v>
      </c>
      <c r="Z279" s="89">
        <f t="shared" si="403"/>
        <v>180000000</v>
      </c>
      <c r="AA279" s="89">
        <f t="shared" si="403"/>
        <v>0</v>
      </c>
      <c r="AB279" s="89">
        <f t="shared" si="403"/>
        <v>0</v>
      </c>
      <c r="AC279" s="89">
        <f t="shared" si="403"/>
        <v>0</v>
      </c>
      <c r="AD279" s="89">
        <f t="shared" si="403"/>
        <v>0</v>
      </c>
      <c r="AE279" s="89">
        <f t="shared" si="403"/>
        <v>0</v>
      </c>
      <c r="AF279" s="89">
        <f t="shared" si="403"/>
        <v>0</v>
      </c>
      <c r="AG279" s="89">
        <f>SUM(AG280)</f>
        <v>180000000</v>
      </c>
      <c r="AH279" s="89">
        <f t="shared" ref="AH279:AQ279" si="404">SUM(AH280)</f>
        <v>0</v>
      </c>
      <c r="AI279" s="89">
        <f t="shared" si="404"/>
        <v>0</v>
      </c>
      <c r="AJ279" s="89">
        <f t="shared" si="404"/>
        <v>190000000</v>
      </c>
      <c r="AK279" s="89">
        <f t="shared" si="404"/>
        <v>0</v>
      </c>
      <c r="AL279" s="89">
        <f t="shared" si="404"/>
        <v>0</v>
      </c>
      <c r="AM279" s="89">
        <f t="shared" si="404"/>
        <v>0</v>
      </c>
      <c r="AN279" s="89">
        <f t="shared" si="404"/>
        <v>0</v>
      </c>
      <c r="AO279" s="89">
        <f t="shared" si="404"/>
        <v>0</v>
      </c>
      <c r="AP279" s="89">
        <f t="shared" si="404"/>
        <v>0</v>
      </c>
      <c r="AQ279" s="89">
        <f t="shared" si="404"/>
        <v>190000000</v>
      </c>
      <c r="AR279" s="90"/>
      <c r="AS279" s="90"/>
      <c r="AT279" s="90"/>
      <c r="AU279" s="90"/>
      <c r="AV279" s="90"/>
      <c r="AW279" s="90"/>
      <c r="AX279" s="90"/>
      <c r="AY279" s="90"/>
      <c r="AZ279" s="90"/>
      <c r="BA279" s="89">
        <f t="shared" ref="BA279" si="405">SUM(BA280)</f>
        <v>180000000</v>
      </c>
      <c r="BB279" s="90"/>
      <c r="BC279" s="90"/>
      <c r="BD279" s="90"/>
      <c r="BE279" s="90"/>
      <c r="BF279" s="90"/>
      <c r="BG279" s="90"/>
      <c r="BH279" s="90"/>
      <c r="BI279" s="90"/>
      <c r="BJ279" s="90"/>
      <c r="BK279" s="89">
        <f t="shared" ref="BK279:BL279" si="406">SUM(BK280)</f>
        <v>180000000</v>
      </c>
      <c r="BL279" s="607">
        <f t="shared" si="406"/>
        <v>730000000</v>
      </c>
    </row>
    <row r="280" spans="1:64" ht="93" customHeight="1" x14ac:dyDescent="0.2">
      <c r="A280" s="74">
        <v>190</v>
      </c>
      <c r="B280" s="56">
        <v>3</v>
      </c>
      <c r="C280" s="124"/>
      <c r="D280" s="183"/>
      <c r="E280" s="81">
        <v>34</v>
      </c>
      <c r="F280" s="57" t="s">
        <v>660</v>
      </c>
      <c r="G280" s="81" t="s">
        <v>49</v>
      </c>
      <c r="H280" s="278">
        <v>0.4</v>
      </c>
      <c r="I280" s="64">
        <v>190</v>
      </c>
      <c r="J280" s="60" t="s">
        <v>661</v>
      </c>
      <c r="K280" s="234" t="s">
        <v>662</v>
      </c>
      <c r="L280" s="61" t="s">
        <v>634</v>
      </c>
      <c r="M280" s="61">
        <v>14</v>
      </c>
      <c r="N280" s="76" t="s">
        <v>54</v>
      </c>
      <c r="O280" s="63">
        <v>1</v>
      </c>
      <c r="P280" s="63">
        <v>1</v>
      </c>
      <c r="Q280" s="77">
        <v>1</v>
      </c>
      <c r="R280" s="63">
        <v>1</v>
      </c>
      <c r="S280" s="63">
        <v>1</v>
      </c>
      <c r="T280" s="63">
        <v>1</v>
      </c>
      <c r="U280" s="109">
        <f>AG280/AG279</f>
        <v>1</v>
      </c>
      <c r="V280" s="65">
        <v>10</v>
      </c>
      <c r="W280" s="62" t="s">
        <v>386</v>
      </c>
      <c r="X280" s="69"/>
      <c r="Y280" s="69"/>
      <c r="Z280" s="96">
        <f>150400000+22000000+7600000</f>
        <v>180000000</v>
      </c>
      <c r="AA280" s="96"/>
      <c r="AB280" s="69"/>
      <c r="AC280" s="69"/>
      <c r="AD280" s="69"/>
      <c r="AE280" s="69"/>
      <c r="AF280" s="69"/>
      <c r="AG280" s="69">
        <f>+X280+Y280+Z280+AA280+AB280+AC280+AD280+AE280+AF280</f>
        <v>180000000</v>
      </c>
      <c r="AH280" s="78"/>
      <c r="AI280" s="78"/>
      <c r="AJ280" s="511">
        <v>190000000</v>
      </c>
      <c r="AK280" s="78"/>
      <c r="AL280" s="78"/>
      <c r="AM280" s="78"/>
      <c r="AN280" s="78"/>
      <c r="AO280" s="78"/>
      <c r="AP280" s="78"/>
      <c r="AQ280" s="71">
        <f>AH280+AI280+AJ280+AK280+AL280+AM280+AN280+AO280+AP280</f>
        <v>190000000</v>
      </c>
      <c r="AR280" s="511"/>
      <c r="AS280" s="511"/>
      <c r="AT280" s="511">
        <v>180000000</v>
      </c>
      <c r="AU280" s="511"/>
      <c r="AV280" s="511"/>
      <c r="AW280" s="511"/>
      <c r="AX280" s="511"/>
      <c r="AY280" s="511"/>
      <c r="AZ280" s="511"/>
      <c r="BA280" s="511">
        <f>SUM(AR280:AZ280)</f>
        <v>180000000</v>
      </c>
      <c r="BB280" s="78"/>
      <c r="BC280" s="78"/>
      <c r="BD280" s="78">
        <v>180000000</v>
      </c>
      <c r="BE280" s="78"/>
      <c r="BF280" s="78"/>
      <c r="BG280" s="78"/>
      <c r="BH280" s="78"/>
      <c r="BI280" s="78"/>
      <c r="BJ280" s="78"/>
      <c r="BK280" s="78">
        <f>SUM(BB280:BJ280)</f>
        <v>180000000</v>
      </c>
      <c r="BL280" s="603">
        <f>AG280+AQ280+BA280+BK280</f>
        <v>730000000</v>
      </c>
    </row>
    <row r="281" spans="1:64" ht="24.75" customHeight="1" x14ac:dyDescent="0.2">
      <c r="A281" s="74"/>
      <c r="B281" s="56"/>
      <c r="C281" s="124"/>
      <c r="D281" s="30">
        <v>18</v>
      </c>
      <c r="E281" s="122" t="s">
        <v>663</v>
      </c>
      <c r="F281" s="32"/>
      <c r="G281" s="32"/>
      <c r="H281" s="32"/>
      <c r="I281" s="262"/>
      <c r="J281" s="35"/>
      <c r="K281" s="35"/>
      <c r="L281" s="36"/>
      <c r="M281" s="34"/>
      <c r="N281" s="37"/>
      <c r="O281" s="35"/>
      <c r="P281" s="35"/>
      <c r="Q281" s="38"/>
      <c r="R281" s="35"/>
      <c r="S281" s="35"/>
      <c r="T281" s="34"/>
      <c r="U281" s="123"/>
      <c r="V281" s="34"/>
      <c r="W281" s="34"/>
      <c r="X281" s="40">
        <f t="shared" ref="X281:AF281" si="407">X282+X285+X288+X290+X292</f>
        <v>0</v>
      </c>
      <c r="Y281" s="40">
        <f t="shared" si="407"/>
        <v>0</v>
      </c>
      <c r="Z281" s="40">
        <f t="shared" si="407"/>
        <v>230000000</v>
      </c>
      <c r="AA281" s="40">
        <f t="shared" si="407"/>
        <v>0</v>
      </c>
      <c r="AB281" s="40">
        <f t="shared" si="407"/>
        <v>0</v>
      </c>
      <c r="AC281" s="40">
        <f t="shared" si="407"/>
        <v>0</v>
      </c>
      <c r="AD281" s="40">
        <f t="shared" si="407"/>
        <v>0</v>
      </c>
      <c r="AE281" s="40">
        <f t="shared" si="407"/>
        <v>0</v>
      </c>
      <c r="AF281" s="40">
        <f t="shared" si="407"/>
        <v>500000000</v>
      </c>
      <c r="AG281" s="41">
        <f>AG282+AG285+AG288+AG290+AG292</f>
        <v>730000000</v>
      </c>
      <c r="AH281" s="40">
        <f t="shared" ref="AH281:AQ281" si="408">AH282+AH285+AH288+AH290+AH292</f>
        <v>0</v>
      </c>
      <c r="AI281" s="40">
        <f t="shared" si="408"/>
        <v>0</v>
      </c>
      <c r="AJ281" s="40">
        <f t="shared" si="408"/>
        <v>243000000</v>
      </c>
      <c r="AK281" s="40">
        <f t="shared" si="408"/>
        <v>0</v>
      </c>
      <c r="AL281" s="40">
        <f t="shared" si="408"/>
        <v>0</v>
      </c>
      <c r="AM281" s="40">
        <f t="shared" si="408"/>
        <v>0</v>
      </c>
      <c r="AN281" s="40">
        <f t="shared" si="408"/>
        <v>0</v>
      </c>
      <c r="AO281" s="40">
        <f t="shared" si="408"/>
        <v>0</v>
      </c>
      <c r="AP281" s="40">
        <f t="shared" si="408"/>
        <v>500000000</v>
      </c>
      <c r="AQ281" s="40">
        <f t="shared" si="408"/>
        <v>743000000</v>
      </c>
      <c r="AR281" s="42"/>
      <c r="AS281" s="42"/>
      <c r="AT281" s="42"/>
      <c r="AU281" s="42"/>
      <c r="AV281" s="42"/>
      <c r="AW281" s="42"/>
      <c r="AX281" s="42"/>
      <c r="AY281" s="42"/>
      <c r="AZ281" s="42"/>
      <c r="BA281" s="40">
        <f t="shared" ref="BA281" si="409">BA282+BA285+BA288+BA290+BA292</f>
        <v>735000000</v>
      </c>
      <c r="BB281" s="42"/>
      <c r="BC281" s="42"/>
      <c r="BD281" s="42"/>
      <c r="BE281" s="42"/>
      <c r="BF281" s="42"/>
      <c r="BG281" s="42"/>
      <c r="BH281" s="42"/>
      <c r="BI281" s="42"/>
      <c r="BJ281" s="42"/>
      <c r="BK281" s="40">
        <f t="shared" ref="BK281" si="410">BK282+BK285+BK288+BK290+BK292</f>
        <v>1737000000</v>
      </c>
      <c r="BL281" s="40">
        <f t="shared" ref="BL281" si="411">BL282+BL285+BL288+BL290+BL292</f>
        <v>3945000000</v>
      </c>
    </row>
    <row r="282" spans="1:64" ht="24.75" customHeight="1" x14ac:dyDescent="0.2">
      <c r="A282" s="74"/>
      <c r="B282" s="56"/>
      <c r="C282" s="124"/>
      <c r="D282" s="417"/>
      <c r="E282" s="44">
        <v>62</v>
      </c>
      <c r="F282" s="45" t="s">
        <v>664</v>
      </c>
      <c r="G282" s="48"/>
      <c r="H282" s="48"/>
      <c r="I282" s="44"/>
      <c r="J282" s="45"/>
      <c r="K282" s="48"/>
      <c r="L282" s="47"/>
      <c r="M282" s="49"/>
      <c r="N282" s="50"/>
      <c r="O282" s="48"/>
      <c r="P282" s="48"/>
      <c r="Q282" s="51"/>
      <c r="R282" s="48"/>
      <c r="S282" s="51"/>
      <c r="T282" s="51"/>
      <c r="U282" s="51"/>
      <c r="V282" s="51"/>
      <c r="W282" s="51"/>
      <c r="X282" s="480">
        <f>SUM(X283:X284)</f>
        <v>0</v>
      </c>
      <c r="Y282" s="480">
        <f t="shared" ref="Y282:AG282" si="412">SUM(Y283:Y284)</f>
        <v>0</v>
      </c>
      <c r="Z282" s="480">
        <f t="shared" si="412"/>
        <v>70000000</v>
      </c>
      <c r="AA282" s="480">
        <f t="shared" si="412"/>
        <v>0</v>
      </c>
      <c r="AB282" s="480">
        <f t="shared" si="412"/>
        <v>0</v>
      </c>
      <c r="AC282" s="480">
        <f t="shared" si="412"/>
        <v>0</v>
      </c>
      <c r="AD282" s="480">
        <f t="shared" si="412"/>
        <v>0</v>
      </c>
      <c r="AE282" s="480">
        <f t="shared" si="412"/>
        <v>0</v>
      </c>
      <c r="AF282" s="480">
        <f t="shared" si="412"/>
        <v>500000000</v>
      </c>
      <c r="AG282" s="480">
        <f t="shared" si="412"/>
        <v>570000000</v>
      </c>
      <c r="AH282" s="480">
        <f t="shared" ref="AH282:AQ282" si="413">SUM(AH283:AH284)</f>
        <v>0</v>
      </c>
      <c r="AI282" s="480">
        <f t="shared" si="413"/>
        <v>0</v>
      </c>
      <c r="AJ282" s="480">
        <f t="shared" si="413"/>
        <v>70000000</v>
      </c>
      <c r="AK282" s="480">
        <f t="shared" si="413"/>
        <v>0</v>
      </c>
      <c r="AL282" s="480">
        <f t="shared" si="413"/>
        <v>0</v>
      </c>
      <c r="AM282" s="480">
        <f t="shared" si="413"/>
        <v>0</v>
      </c>
      <c r="AN282" s="480">
        <f t="shared" si="413"/>
        <v>0</v>
      </c>
      <c r="AO282" s="480">
        <f t="shared" si="413"/>
        <v>0</v>
      </c>
      <c r="AP282" s="480">
        <f t="shared" si="413"/>
        <v>500000000</v>
      </c>
      <c r="AQ282" s="480">
        <f t="shared" si="413"/>
        <v>570000000</v>
      </c>
      <c r="AR282" s="51"/>
      <c r="AS282" s="51"/>
      <c r="AT282" s="51"/>
      <c r="AU282" s="51"/>
      <c r="AV282" s="51"/>
      <c r="AW282" s="51"/>
      <c r="AX282" s="51"/>
      <c r="AY282" s="51"/>
      <c r="AZ282" s="51"/>
      <c r="BA282" s="480">
        <f t="shared" ref="BA282" si="414">SUM(BA283:BA284)</f>
        <v>570000000</v>
      </c>
      <c r="BB282" s="51"/>
      <c r="BC282" s="51"/>
      <c r="BD282" s="51"/>
      <c r="BE282" s="51"/>
      <c r="BF282" s="51"/>
      <c r="BG282" s="51"/>
      <c r="BH282" s="51"/>
      <c r="BI282" s="51"/>
      <c r="BJ282" s="51"/>
      <c r="BK282" s="480">
        <f t="shared" ref="BK282" si="415">SUM(BK283:BK284)</f>
        <v>1570000000</v>
      </c>
      <c r="BL282" s="612">
        <f t="shared" ref="BL282" si="416">SUM(BL283:BL284)</f>
        <v>3280000000</v>
      </c>
    </row>
    <row r="283" spans="1:64" ht="108" customHeight="1" x14ac:dyDescent="0.2">
      <c r="A283" s="56">
        <v>191</v>
      </c>
      <c r="B283" s="56">
        <v>3</v>
      </c>
      <c r="C283" s="124"/>
      <c r="D283" s="124"/>
      <c r="E283" s="81">
        <v>5</v>
      </c>
      <c r="F283" s="297" t="s">
        <v>408</v>
      </c>
      <c r="G283" s="75" t="s">
        <v>117</v>
      </c>
      <c r="H283" s="75" t="s">
        <v>118</v>
      </c>
      <c r="I283" s="64">
        <v>191</v>
      </c>
      <c r="J283" s="60" t="s">
        <v>665</v>
      </c>
      <c r="K283" s="57" t="s">
        <v>666</v>
      </c>
      <c r="L283" s="61" t="s">
        <v>634</v>
      </c>
      <c r="M283" s="61">
        <v>14</v>
      </c>
      <c r="N283" s="62" t="s">
        <v>54</v>
      </c>
      <c r="O283" s="65" t="s">
        <v>49</v>
      </c>
      <c r="P283" s="65">
        <v>1</v>
      </c>
      <c r="Q283" s="64">
        <v>1</v>
      </c>
      <c r="R283" s="65">
        <v>1</v>
      </c>
      <c r="S283" s="65">
        <v>1</v>
      </c>
      <c r="T283" s="65">
        <v>1</v>
      </c>
      <c r="U283" s="109">
        <f>AG283/AG282</f>
        <v>0.89473684210526316</v>
      </c>
      <c r="V283" s="65">
        <v>10</v>
      </c>
      <c r="W283" s="62" t="s">
        <v>386</v>
      </c>
      <c r="X283" s="69"/>
      <c r="Y283" s="69"/>
      <c r="Z283" s="70">
        <v>10000000</v>
      </c>
      <c r="AA283" s="69"/>
      <c r="AB283" s="69"/>
      <c r="AC283" s="69"/>
      <c r="AD283" s="69"/>
      <c r="AE283" s="69"/>
      <c r="AF283" s="69">
        <v>500000000</v>
      </c>
      <c r="AG283" s="69">
        <f>+X283+Y283+Z283+AA283+AB283+AC283+AD283+AE283+AF283</f>
        <v>510000000</v>
      </c>
      <c r="AH283" s="78"/>
      <c r="AI283" s="78"/>
      <c r="AJ283" s="78">
        <v>10000000</v>
      </c>
      <c r="AK283" s="78"/>
      <c r="AL283" s="78"/>
      <c r="AM283" s="78"/>
      <c r="AN283" s="78"/>
      <c r="AO283" s="78"/>
      <c r="AP283" s="78">
        <v>500000000</v>
      </c>
      <c r="AQ283" s="71">
        <f>AH283+AI283+AJ283+AK283+AL283+AM283+AN283+AO283+AP283</f>
        <v>510000000</v>
      </c>
      <c r="AR283" s="78"/>
      <c r="AS283" s="78"/>
      <c r="AT283" s="78">
        <v>10000000</v>
      </c>
      <c r="AU283" s="78"/>
      <c r="AV283" s="78"/>
      <c r="AW283" s="78"/>
      <c r="AX283" s="78"/>
      <c r="AY283" s="78"/>
      <c r="AZ283" s="78">
        <v>500000000</v>
      </c>
      <c r="BA283" s="78">
        <f>SUM(AR283:AZ283)</f>
        <v>510000000</v>
      </c>
      <c r="BB283" s="78"/>
      <c r="BC283" s="78"/>
      <c r="BD283" s="78">
        <v>62631579</v>
      </c>
      <c r="BE283" s="78"/>
      <c r="BF283" s="78"/>
      <c r="BG283" s="78"/>
      <c r="BH283" s="78"/>
      <c r="BI283" s="78"/>
      <c r="BJ283" s="78">
        <v>1500000000</v>
      </c>
      <c r="BK283" s="78">
        <f>SUM(BB283:BJ283)</f>
        <v>1562631579</v>
      </c>
      <c r="BL283" s="603">
        <f>AG283+AQ283+BA283+BK283</f>
        <v>3092631579</v>
      </c>
    </row>
    <row r="284" spans="1:64" ht="144" customHeight="1" x14ac:dyDescent="0.2">
      <c r="A284" s="74">
        <v>192</v>
      </c>
      <c r="B284" s="56">
        <v>3</v>
      </c>
      <c r="C284" s="124"/>
      <c r="D284" s="124"/>
      <c r="E284" s="506">
        <v>27</v>
      </c>
      <c r="F284" s="57" t="s">
        <v>575</v>
      </c>
      <c r="G284" s="127" t="s">
        <v>667</v>
      </c>
      <c r="H284" s="127">
        <v>0.92</v>
      </c>
      <c r="I284" s="64">
        <v>192</v>
      </c>
      <c r="J284" s="60" t="s">
        <v>668</v>
      </c>
      <c r="K284" s="57" t="s">
        <v>669</v>
      </c>
      <c r="L284" s="61" t="s">
        <v>634</v>
      </c>
      <c r="M284" s="61">
        <v>14</v>
      </c>
      <c r="N284" s="62" t="s">
        <v>54</v>
      </c>
      <c r="O284" s="65">
        <v>1</v>
      </c>
      <c r="P284" s="65">
        <v>1</v>
      </c>
      <c r="Q284" s="64">
        <v>1</v>
      </c>
      <c r="R284" s="65">
        <v>1</v>
      </c>
      <c r="S284" s="65">
        <v>1</v>
      </c>
      <c r="T284" s="65">
        <v>1</v>
      </c>
      <c r="U284" s="109">
        <f>AG284/AG282</f>
        <v>0.10526315789473684</v>
      </c>
      <c r="V284" s="65">
        <v>8</v>
      </c>
      <c r="W284" s="62" t="s">
        <v>131</v>
      </c>
      <c r="X284" s="69"/>
      <c r="Y284" s="69"/>
      <c r="Z284" s="69">
        <v>60000000</v>
      </c>
      <c r="AA284" s="69"/>
      <c r="AB284" s="69"/>
      <c r="AC284" s="69"/>
      <c r="AD284" s="69"/>
      <c r="AE284" s="69"/>
      <c r="AF284" s="69"/>
      <c r="AG284" s="69">
        <f>+X284+Y284+Z284+AA284+AB284+AC284+AD284+AE284+AF284</f>
        <v>60000000</v>
      </c>
      <c r="AH284" s="78">
        <v>0</v>
      </c>
      <c r="AI284" s="78">
        <v>0</v>
      </c>
      <c r="AJ284" s="78">
        <v>60000000</v>
      </c>
      <c r="AK284" s="78">
        <v>0</v>
      </c>
      <c r="AL284" s="78">
        <v>0</v>
      </c>
      <c r="AM284" s="78">
        <v>0</v>
      </c>
      <c r="AN284" s="78">
        <v>0</v>
      </c>
      <c r="AO284" s="78">
        <v>0</v>
      </c>
      <c r="AP284" s="78">
        <v>0</v>
      </c>
      <c r="AQ284" s="71">
        <f>AH284+AI284+AJ284+AK284+AL284+AM284+AN284+AO284+AP284</f>
        <v>60000000</v>
      </c>
      <c r="AR284" s="78"/>
      <c r="AS284" s="78"/>
      <c r="AT284" s="78">
        <v>60000000</v>
      </c>
      <c r="AU284" s="78"/>
      <c r="AV284" s="78"/>
      <c r="AW284" s="78"/>
      <c r="AX284" s="78"/>
      <c r="AY284" s="78"/>
      <c r="AZ284" s="78"/>
      <c r="BA284" s="78">
        <f>SUM(AR284:AZ284)</f>
        <v>60000000</v>
      </c>
      <c r="BB284" s="78"/>
      <c r="BC284" s="78"/>
      <c r="BD284" s="78">
        <v>7368421</v>
      </c>
      <c r="BE284" s="78"/>
      <c r="BF284" s="78"/>
      <c r="BG284" s="78"/>
      <c r="BH284" s="78"/>
      <c r="BI284" s="78"/>
      <c r="BJ284" s="78"/>
      <c r="BK284" s="78">
        <f>SUM(BB284:BJ284)</f>
        <v>7368421</v>
      </c>
      <c r="BL284" s="603">
        <f>AG284+AQ284+BA284+BK284</f>
        <v>187368421</v>
      </c>
    </row>
    <row r="285" spans="1:64" ht="24.75" customHeight="1" x14ac:dyDescent="0.2">
      <c r="A285" s="74"/>
      <c r="B285" s="56"/>
      <c r="C285" s="124"/>
      <c r="D285" s="124"/>
      <c r="E285" s="44">
        <v>63</v>
      </c>
      <c r="F285" s="45" t="s">
        <v>670</v>
      </c>
      <c r="G285" s="45"/>
      <c r="H285" s="48"/>
      <c r="I285" s="49"/>
      <c r="J285" s="48"/>
      <c r="K285" s="48"/>
      <c r="L285" s="47"/>
      <c r="M285" s="49"/>
      <c r="N285" s="50"/>
      <c r="O285" s="48"/>
      <c r="P285" s="48"/>
      <c r="Q285" s="51"/>
      <c r="R285" s="48"/>
      <c r="S285" s="48"/>
      <c r="T285" s="49"/>
      <c r="U285" s="125"/>
      <c r="V285" s="49"/>
      <c r="W285" s="49"/>
      <c r="X285" s="53">
        <f t="shared" ref="X285:AF285" si="417">SUM(X286:X287)</f>
        <v>0</v>
      </c>
      <c r="Y285" s="53">
        <f t="shared" si="417"/>
        <v>0</v>
      </c>
      <c r="Z285" s="53">
        <f t="shared" si="417"/>
        <v>50000000</v>
      </c>
      <c r="AA285" s="53">
        <f t="shared" si="417"/>
        <v>0</v>
      </c>
      <c r="AB285" s="53">
        <f t="shared" si="417"/>
        <v>0</v>
      </c>
      <c r="AC285" s="53">
        <f t="shared" si="417"/>
        <v>0</v>
      </c>
      <c r="AD285" s="53">
        <f t="shared" si="417"/>
        <v>0</v>
      </c>
      <c r="AE285" s="53">
        <f t="shared" si="417"/>
        <v>0</v>
      </c>
      <c r="AF285" s="53">
        <f t="shared" si="417"/>
        <v>0</v>
      </c>
      <c r="AG285" s="135">
        <f>SUM(AG286:AG287)</f>
        <v>50000000</v>
      </c>
      <c r="AH285" s="53">
        <f t="shared" ref="AH285:AQ285" si="418">SUM(AH286:AH287)</f>
        <v>0</v>
      </c>
      <c r="AI285" s="53">
        <f t="shared" si="418"/>
        <v>0</v>
      </c>
      <c r="AJ285" s="53">
        <f t="shared" si="418"/>
        <v>50000000</v>
      </c>
      <c r="AK285" s="53">
        <f t="shared" si="418"/>
        <v>0</v>
      </c>
      <c r="AL285" s="53">
        <f t="shared" si="418"/>
        <v>0</v>
      </c>
      <c r="AM285" s="53">
        <f t="shared" si="418"/>
        <v>0</v>
      </c>
      <c r="AN285" s="53">
        <f t="shared" si="418"/>
        <v>0</v>
      </c>
      <c r="AO285" s="53">
        <f t="shared" si="418"/>
        <v>0</v>
      </c>
      <c r="AP285" s="53">
        <f t="shared" si="418"/>
        <v>0</v>
      </c>
      <c r="AQ285" s="53">
        <f t="shared" si="418"/>
        <v>50000000</v>
      </c>
      <c r="AR285" s="136"/>
      <c r="AS285" s="136"/>
      <c r="AT285" s="136"/>
      <c r="AU285" s="136"/>
      <c r="AV285" s="136"/>
      <c r="AW285" s="136"/>
      <c r="AX285" s="136"/>
      <c r="AY285" s="136"/>
      <c r="AZ285" s="136"/>
      <c r="BA285" s="53">
        <f t="shared" ref="BA285" si="419">SUM(BA286:BA287)</f>
        <v>50000000</v>
      </c>
      <c r="BB285" s="55"/>
      <c r="BC285" s="55"/>
      <c r="BD285" s="55"/>
      <c r="BE285" s="55"/>
      <c r="BF285" s="55"/>
      <c r="BG285" s="55"/>
      <c r="BH285" s="55"/>
      <c r="BI285" s="55"/>
      <c r="BJ285" s="55"/>
      <c r="BK285" s="53">
        <f t="shared" ref="BK285:BL285" si="420">SUM(BK286:BK287)</f>
        <v>50000000</v>
      </c>
      <c r="BL285" s="53">
        <f t="shared" si="420"/>
        <v>200000000</v>
      </c>
    </row>
    <row r="286" spans="1:64" ht="59.25" customHeight="1" x14ac:dyDescent="0.2">
      <c r="A286" s="56">
        <v>193</v>
      </c>
      <c r="B286" s="56">
        <v>3</v>
      </c>
      <c r="C286" s="124"/>
      <c r="D286" s="124"/>
      <c r="E286" s="81">
        <v>14</v>
      </c>
      <c r="F286" s="257" t="s">
        <v>410</v>
      </c>
      <c r="G286" s="127">
        <v>6.2E-2</v>
      </c>
      <c r="H286" s="127">
        <v>0.03</v>
      </c>
      <c r="I286" s="64">
        <v>193</v>
      </c>
      <c r="J286" s="60" t="s">
        <v>671</v>
      </c>
      <c r="K286" s="57" t="s">
        <v>672</v>
      </c>
      <c r="L286" s="61" t="s">
        <v>634</v>
      </c>
      <c r="M286" s="61">
        <v>14</v>
      </c>
      <c r="N286" s="62" t="s">
        <v>54</v>
      </c>
      <c r="O286" s="65">
        <v>1</v>
      </c>
      <c r="P286" s="65">
        <v>1</v>
      </c>
      <c r="Q286" s="64">
        <v>1</v>
      </c>
      <c r="R286" s="65">
        <v>1</v>
      </c>
      <c r="S286" s="65">
        <v>1</v>
      </c>
      <c r="T286" s="65">
        <v>1</v>
      </c>
      <c r="U286" s="109">
        <f>AG286/AG285</f>
        <v>0.3</v>
      </c>
      <c r="V286" s="65">
        <v>4</v>
      </c>
      <c r="W286" s="62" t="s">
        <v>110</v>
      </c>
      <c r="X286" s="69"/>
      <c r="Y286" s="69"/>
      <c r="Z286" s="96">
        <v>15000000</v>
      </c>
      <c r="AA286" s="96"/>
      <c r="AB286" s="69"/>
      <c r="AC286" s="69"/>
      <c r="AD286" s="69"/>
      <c r="AE286" s="69"/>
      <c r="AF286" s="69"/>
      <c r="AG286" s="69">
        <f>+X286+Y286+Z286+AA286+AB286+AC286+AD286+AE286+AF286</f>
        <v>15000000</v>
      </c>
      <c r="AH286" s="78"/>
      <c r="AI286" s="78"/>
      <c r="AJ286" s="78">
        <v>15000000</v>
      </c>
      <c r="AK286" s="78"/>
      <c r="AL286" s="78"/>
      <c r="AM286" s="78"/>
      <c r="AN286" s="78"/>
      <c r="AO286" s="78"/>
      <c r="AP286" s="78"/>
      <c r="AQ286" s="71">
        <f>AH286+AI286+AJ286+AK286+AL286+AM286+AN286+AO286+AP286</f>
        <v>15000000</v>
      </c>
      <c r="AR286" s="78"/>
      <c r="AS286" s="78"/>
      <c r="AT286" s="78">
        <v>15000000</v>
      </c>
      <c r="AU286" s="78"/>
      <c r="AV286" s="78"/>
      <c r="AW286" s="78"/>
      <c r="AX286" s="78"/>
      <c r="AY286" s="78"/>
      <c r="AZ286" s="78"/>
      <c r="BA286" s="78">
        <f>SUM(AR286:AZ286)</f>
        <v>15000000</v>
      </c>
      <c r="BB286" s="78"/>
      <c r="BC286" s="78"/>
      <c r="BD286" s="78">
        <v>15000000</v>
      </c>
      <c r="BE286" s="78"/>
      <c r="BF286" s="78"/>
      <c r="BG286" s="78"/>
      <c r="BH286" s="78"/>
      <c r="BI286" s="78"/>
      <c r="BJ286" s="78"/>
      <c r="BK286" s="78">
        <f>SUM(BB286:BJ286)</f>
        <v>15000000</v>
      </c>
      <c r="BL286" s="603">
        <f>AG286+AQ286+BA286+BK286</f>
        <v>60000000</v>
      </c>
    </row>
    <row r="287" spans="1:64" ht="59.25" customHeight="1" x14ac:dyDescent="0.2">
      <c r="A287" s="74">
        <v>194</v>
      </c>
      <c r="B287" s="56">
        <v>3</v>
      </c>
      <c r="C287" s="124"/>
      <c r="D287" s="124"/>
      <c r="E287" s="506">
        <v>13</v>
      </c>
      <c r="F287" s="297" t="s">
        <v>538</v>
      </c>
      <c r="G287" s="80" t="s">
        <v>673</v>
      </c>
      <c r="H287" s="284" t="s">
        <v>540</v>
      </c>
      <c r="I287" s="64">
        <v>194</v>
      </c>
      <c r="J287" s="60" t="s">
        <v>674</v>
      </c>
      <c r="K287" s="57" t="s">
        <v>675</v>
      </c>
      <c r="L287" s="61" t="s">
        <v>634</v>
      </c>
      <c r="M287" s="61">
        <v>14</v>
      </c>
      <c r="N287" s="62" t="s">
        <v>54</v>
      </c>
      <c r="O287" s="65">
        <v>1</v>
      </c>
      <c r="P287" s="65">
        <v>1</v>
      </c>
      <c r="Q287" s="64">
        <v>1</v>
      </c>
      <c r="R287" s="65">
        <v>1</v>
      </c>
      <c r="S287" s="65">
        <v>1</v>
      </c>
      <c r="T287" s="65">
        <v>1</v>
      </c>
      <c r="U287" s="109">
        <f>AG287/AG285</f>
        <v>0.7</v>
      </c>
      <c r="V287" s="65">
        <v>2</v>
      </c>
      <c r="W287" s="62" t="s">
        <v>137</v>
      </c>
      <c r="X287" s="69"/>
      <c r="Y287" s="69"/>
      <c r="Z287" s="96">
        <f>35000000</f>
        <v>35000000</v>
      </c>
      <c r="AA287" s="96"/>
      <c r="AB287" s="69"/>
      <c r="AC287" s="69"/>
      <c r="AD287" s="69"/>
      <c r="AE287" s="69"/>
      <c r="AF287" s="69"/>
      <c r="AG287" s="69">
        <f>+X287+Y287+Z287+AA287+AB287+AC287+AD287+AE287+AF287</f>
        <v>35000000</v>
      </c>
      <c r="AH287" s="78"/>
      <c r="AI287" s="78"/>
      <c r="AJ287" s="78">
        <v>35000000</v>
      </c>
      <c r="AK287" s="78"/>
      <c r="AL287" s="78"/>
      <c r="AM287" s="78"/>
      <c r="AN287" s="78"/>
      <c r="AO287" s="78"/>
      <c r="AP287" s="78"/>
      <c r="AQ287" s="71">
        <f>AH287+AI287+AJ287+AK287+AL287+AM287+AN287+AO287+AP287</f>
        <v>35000000</v>
      </c>
      <c r="AR287" s="78"/>
      <c r="AS287" s="78"/>
      <c r="AT287" s="78">
        <v>35000000</v>
      </c>
      <c r="AU287" s="78"/>
      <c r="AV287" s="78"/>
      <c r="AW287" s="78"/>
      <c r="AX287" s="78"/>
      <c r="AY287" s="78"/>
      <c r="AZ287" s="78"/>
      <c r="BA287" s="78">
        <f>SUM(AR287:AZ287)</f>
        <v>35000000</v>
      </c>
      <c r="BB287" s="78"/>
      <c r="BC287" s="78"/>
      <c r="BD287" s="78">
        <v>35000000</v>
      </c>
      <c r="BE287" s="78"/>
      <c r="BF287" s="78"/>
      <c r="BG287" s="78"/>
      <c r="BH287" s="78"/>
      <c r="BI287" s="78"/>
      <c r="BJ287" s="78"/>
      <c r="BK287" s="78">
        <f>SUM(BB287:BJ287)</f>
        <v>35000000</v>
      </c>
      <c r="BL287" s="603">
        <f>AG287+AQ287+BA287+BK287</f>
        <v>140000000</v>
      </c>
    </row>
    <row r="288" spans="1:64" ht="24.75" customHeight="1" x14ac:dyDescent="0.2">
      <c r="A288" s="74"/>
      <c r="B288" s="56"/>
      <c r="C288" s="124"/>
      <c r="D288" s="124"/>
      <c r="E288" s="44">
        <v>64</v>
      </c>
      <c r="F288" s="45" t="s">
        <v>676</v>
      </c>
      <c r="G288" s="48"/>
      <c r="H288" s="48"/>
      <c r="I288" s="47"/>
      <c r="J288" s="48"/>
      <c r="K288" s="48"/>
      <c r="L288" s="47"/>
      <c r="M288" s="49"/>
      <c r="N288" s="50"/>
      <c r="O288" s="48"/>
      <c r="P288" s="48"/>
      <c r="Q288" s="51"/>
      <c r="R288" s="48"/>
      <c r="S288" s="48"/>
      <c r="T288" s="49"/>
      <c r="U288" s="125"/>
      <c r="V288" s="49"/>
      <c r="W288" s="49"/>
      <c r="X288" s="53">
        <f t="shared" ref="X288:AF288" si="421">SUM(X289)</f>
        <v>0</v>
      </c>
      <c r="Y288" s="53">
        <f t="shared" si="421"/>
        <v>0</v>
      </c>
      <c r="Z288" s="53">
        <f t="shared" si="421"/>
        <v>50000000</v>
      </c>
      <c r="AA288" s="53">
        <f t="shared" si="421"/>
        <v>0</v>
      </c>
      <c r="AB288" s="53">
        <f t="shared" si="421"/>
        <v>0</v>
      </c>
      <c r="AC288" s="53">
        <f t="shared" si="421"/>
        <v>0</v>
      </c>
      <c r="AD288" s="53">
        <f t="shared" si="421"/>
        <v>0</v>
      </c>
      <c r="AE288" s="53">
        <f t="shared" si="421"/>
        <v>0</v>
      </c>
      <c r="AF288" s="53">
        <f t="shared" si="421"/>
        <v>0</v>
      </c>
      <c r="AG288" s="54">
        <f>SUM(AG289)</f>
        <v>50000000</v>
      </c>
      <c r="AH288" s="53">
        <f t="shared" ref="AH288:AQ288" si="422">SUM(AH289)</f>
        <v>0</v>
      </c>
      <c r="AI288" s="53">
        <f t="shared" si="422"/>
        <v>0</v>
      </c>
      <c r="AJ288" s="53">
        <f t="shared" si="422"/>
        <v>60000000</v>
      </c>
      <c r="AK288" s="53">
        <f t="shared" si="422"/>
        <v>0</v>
      </c>
      <c r="AL288" s="53">
        <f t="shared" si="422"/>
        <v>0</v>
      </c>
      <c r="AM288" s="53">
        <f t="shared" si="422"/>
        <v>0</v>
      </c>
      <c r="AN288" s="53">
        <f t="shared" si="422"/>
        <v>0</v>
      </c>
      <c r="AO288" s="53">
        <f t="shared" si="422"/>
        <v>0</v>
      </c>
      <c r="AP288" s="53">
        <f t="shared" si="422"/>
        <v>0</v>
      </c>
      <c r="AQ288" s="53">
        <f t="shared" si="422"/>
        <v>60000000</v>
      </c>
      <c r="AR288" s="55"/>
      <c r="AS288" s="55"/>
      <c r="AT288" s="55"/>
      <c r="AU288" s="55"/>
      <c r="AV288" s="55"/>
      <c r="AW288" s="55"/>
      <c r="AX288" s="55"/>
      <c r="AY288" s="55"/>
      <c r="AZ288" s="55"/>
      <c r="BA288" s="53">
        <f t="shared" ref="BA288" si="423">SUM(BA289)</f>
        <v>50000000</v>
      </c>
      <c r="BB288" s="55"/>
      <c r="BC288" s="55"/>
      <c r="BD288" s="55"/>
      <c r="BE288" s="55"/>
      <c r="BF288" s="55"/>
      <c r="BG288" s="55"/>
      <c r="BH288" s="55"/>
      <c r="BI288" s="55"/>
      <c r="BJ288" s="55"/>
      <c r="BK288" s="53">
        <f t="shared" ref="BK288:BL288" si="424">SUM(BK289)</f>
        <v>50000000</v>
      </c>
      <c r="BL288" s="53">
        <f t="shared" si="424"/>
        <v>210000000</v>
      </c>
    </row>
    <row r="289" spans="1:64" ht="120.75" customHeight="1" x14ac:dyDescent="0.2">
      <c r="A289" s="56">
        <v>195</v>
      </c>
      <c r="B289" s="56">
        <v>3</v>
      </c>
      <c r="C289" s="124"/>
      <c r="D289" s="124"/>
      <c r="E289" s="81">
        <v>37</v>
      </c>
      <c r="F289" s="297" t="s">
        <v>534</v>
      </c>
      <c r="G289" s="317">
        <v>0.54610000000000003</v>
      </c>
      <c r="H289" s="250">
        <v>0.6</v>
      </c>
      <c r="I289" s="64">
        <v>195</v>
      </c>
      <c r="J289" s="60" t="s">
        <v>677</v>
      </c>
      <c r="K289" s="57" t="s">
        <v>678</v>
      </c>
      <c r="L289" s="61" t="s">
        <v>634</v>
      </c>
      <c r="M289" s="61">
        <v>14</v>
      </c>
      <c r="N289" s="62" t="s">
        <v>54</v>
      </c>
      <c r="O289" s="65">
        <v>0</v>
      </c>
      <c r="P289" s="65">
        <v>1</v>
      </c>
      <c r="Q289" s="64">
        <v>1</v>
      </c>
      <c r="R289" s="65">
        <v>1</v>
      </c>
      <c r="S289" s="65">
        <v>1</v>
      </c>
      <c r="T289" s="65">
        <v>1</v>
      </c>
      <c r="U289" s="182">
        <f>AG289/AG288</f>
        <v>1</v>
      </c>
      <c r="V289" s="65">
        <v>10</v>
      </c>
      <c r="W289" s="62" t="s">
        <v>386</v>
      </c>
      <c r="X289" s="106"/>
      <c r="Y289" s="106"/>
      <c r="Z289" s="96">
        <v>50000000</v>
      </c>
      <c r="AA289" s="96"/>
      <c r="AB289" s="106"/>
      <c r="AC289" s="106"/>
      <c r="AD289" s="106"/>
      <c r="AE289" s="106"/>
      <c r="AF289" s="106"/>
      <c r="AG289" s="69">
        <f>+X289+Y289+Z289+AA289+AB289+AC289+AD289+AE289+AF289</f>
        <v>50000000</v>
      </c>
      <c r="AH289" s="78"/>
      <c r="AI289" s="78"/>
      <c r="AJ289" s="78">
        <v>60000000</v>
      </c>
      <c r="AK289" s="78"/>
      <c r="AL289" s="78"/>
      <c r="AM289" s="78"/>
      <c r="AN289" s="78"/>
      <c r="AO289" s="78"/>
      <c r="AP289" s="78"/>
      <c r="AQ289" s="71">
        <f>AH289+AI289+AJ289+AK289+AL289+AM289+AN289+AO289+AP289</f>
        <v>60000000</v>
      </c>
      <c r="AR289" s="78"/>
      <c r="AS289" s="78"/>
      <c r="AT289" s="78">
        <v>50000000</v>
      </c>
      <c r="AU289" s="78"/>
      <c r="AV289" s="78"/>
      <c r="AW289" s="78"/>
      <c r="AX289" s="78"/>
      <c r="AY289" s="78"/>
      <c r="AZ289" s="78"/>
      <c r="BA289" s="78">
        <f>SUM(AR289:AZ289)</f>
        <v>50000000</v>
      </c>
      <c r="BB289" s="78"/>
      <c r="BC289" s="78"/>
      <c r="BD289" s="78">
        <v>50000000</v>
      </c>
      <c r="BE289" s="78"/>
      <c r="BF289" s="78"/>
      <c r="BG289" s="78"/>
      <c r="BH289" s="78"/>
      <c r="BI289" s="78"/>
      <c r="BJ289" s="78"/>
      <c r="BK289" s="78">
        <f>SUM(BB289:BJ289)</f>
        <v>50000000</v>
      </c>
      <c r="BL289" s="603">
        <f>AG289+AQ289+BA289+BK289</f>
        <v>210000000</v>
      </c>
    </row>
    <row r="290" spans="1:64" ht="24.75" customHeight="1" x14ac:dyDescent="0.2">
      <c r="A290" s="56"/>
      <c r="B290" s="56"/>
      <c r="C290" s="124"/>
      <c r="D290" s="124"/>
      <c r="E290" s="44">
        <v>65</v>
      </c>
      <c r="F290" s="45" t="s">
        <v>679</v>
      </c>
      <c r="G290" s="48"/>
      <c r="H290" s="48"/>
      <c r="I290" s="47"/>
      <c r="J290" s="48"/>
      <c r="K290" s="48"/>
      <c r="L290" s="47"/>
      <c r="M290" s="49"/>
      <c r="N290" s="50"/>
      <c r="O290" s="48"/>
      <c r="P290" s="48"/>
      <c r="Q290" s="51"/>
      <c r="R290" s="48"/>
      <c r="S290" s="51"/>
      <c r="T290" s="51"/>
      <c r="U290" s="51"/>
      <c r="V290" s="51"/>
      <c r="W290" s="51"/>
      <c r="X290" s="480">
        <f t="shared" ref="X290:AC290" si="425">SUM(X291)</f>
        <v>0</v>
      </c>
      <c r="Y290" s="480">
        <f t="shared" si="425"/>
        <v>0</v>
      </c>
      <c r="Z290" s="480">
        <f t="shared" si="425"/>
        <v>20000000</v>
      </c>
      <c r="AA290" s="480">
        <f t="shared" si="425"/>
        <v>0</v>
      </c>
      <c r="AB290" s="480">
        <f t="shared" si="425"/>
        <v>0</v>
      </c>
      <c r="AC290" s="480">
        <f t="shared" si="425"/>
        <v>0</v>
      </c>
      <c r="AD290" s="480">
        <f t="shared" ref="AD290:AQ290" si="426">SUM(AD291)</f>
        <v>0</v>
      </c>
      <c r="AE290" s="480">
        <f t="shared" si="426"/>
        <v>0</v>
      </c>
      <c r="AF290" s="480">
        <f t="shared" si="426"/>
        <v>0</v>
      </c>
      <c r="AG290" s="480">
        <f t="shared" si="426"/>
        <v>20000000</v>
      </c>
      <c r="AH290" s="480">
        <f t="shared" si="426"/>
        <v>0</v>
      </c>
      <c r="AI290" s="480">
        <f t="shared" si="426"/>
        <v>0</v>
      </c>
      <c r="AJ290" s="480">
        <f t="shared" si="426"/>
        <v>21000000</v>
      </c>
      <c r="AK290" s="480">
        <f t="shared" si="426"/>
        <v>0</v>
      </c>
      <c r="AL290" s="480">
        <f t="shared" si="426"/>
        <v>0</v>
      </c>
      <c r="AM290" s="480">
        <f t="shared" si="426"/>
        <v>0</v>
      </c>
      <c r="AN290" s="480">
        <f t="shared" si="426"/>
        <v>0</v>
      </c>
      <c r="AO290" s="480">
        <f t="shared" si="426"/>
        <v>0</v>
      </c>
      <c r="AP290" s="480">
        <f t="shared" si="426"/>
        <v>0</v>
      </c>
      <c r="AQ290" s="480">
        <f t="shared" si="426"/>
        <v>21000000</v>
      </c>
      <c r="AR290" s="51"/>
      <c r="AS290" s="51"/>
      <c r="AT290" s="51"/>
      <c r="AU290" s="51"/>
      <c r="AV290" s="51"/>
      <c r="AW290" s="51"/>
      <c r="AX290" s="51"/>
      <c r="AY290" s="51"/>
      <c r="AZ290" s="51"/>
      <c r="BA290" s="480">
        <f t="shared" ref="BA290" si="427">SUM(BA291)</f>
        <v>22000000</v>
      </c>
      <c r="BB290" s="51"/>
      <c r="BC290" s="51"/>
      <c r="BD290" s="51"/>
      <c r="BE290" s="51"/>
      <c r="BF290" s="51"/>
      <c r="BG290" s="51"/>
      <c r="BH290" s="51"/>
      <c r="BI290" s="51"/>
      <c r="BJ290" s="51"/>
      <c r="BK290" s="480">
        <f t="shared" ref="BK290:BL290" si="428">SUM(BK291)</f>
        <v>23000000</v>
      </c>
      <c r="BL290" s="612">
        <f t="shared" si="428"/>
        <v>86000000</v>
      </c>
    </row>
    <row r="291" spans="1:64" ht="59.25" customHeight="1" x14ac:dyDescent="0.2">
      <c r="A291" s="74">
        <v>196</v>
      </c>
      <c r="B291" s="56">
        <v>3</v>
      </c>
      <c r="C291" s="124"/>
      <c r="D291" s="124"/>
      <c r="E291" s="65" t="s">
        <v>932</v>
      </c>
      <c r="F291" s="60" t="s">
        <v>680</v>
      </c>
      <c r="G291" s="60" t="s">
        <v>681</v>
      </c>
      <c r="H291" s="60" t="s">
        <v>682</v>
      </c>
      <c r="I291" s="64">
        <v>196</v>
      </c>
      <c r="J291" s="60" t="s">
        <v>683</v>
      </c>
      <c r="K291" s="57" t="s">
        <v>684</v>
      </c>
      <c r="L291" s="61" t="s">
        <v>634</v>
      </c>
      <c r="M291" s="61">
        <v>14</v>
      </c>
      <c r="N291" s="62" t="s">
        <v>54</v>
      </c>
      <c r="O291" s="65">
        <v>0</v>
      </c>
      <c r="P291" s="65">
        <v>1</v>
      </c>
      <c r="Q291" s="64">
        <v>1</v>
      </c>
      <c r="R291" s="65">
        <v>1</v>
      </c>
      <c r="S291" s="65">
        <v>1</v>
      </c>
      <c r="T291" s="65">
        <v>1</v>
      </c>
      <c r="U291" s="109">
        <f>AG291/AG290</f>
        <v>1</v>
      </c>
      <c r="V291" s="65">
        <v>5</v>
      </c>
      <c r="W291" s="62" t="s">
        <v>685</v>
      </c>
      <c r="X291" s="69"/>
      <c r="Y291" s="69"/>
      <c r="Z291" s="96">
        <f>20000000</f>
        <v>20000000</v>
      </c>
      <c r="AA291" s="96"/>
      <c r="AB291" s="69"/>
      <c r="AC291" s="69"/>
      <c r="AD291" s="69"/>
      <c r="AE291" s="69"/>
      <c r="AF291" s="69"/>
      <c r="AG291" s="69">
        <f>+X291+Y291+Z291+AA291+AB291+AC291+AD291+AE291+AF291</f>
        <v>20000000</v>
      </c>
      <c r="AH291" s="78"/>
      <c r="AI291" s="78"/>
      <c r="AJ291" s="138">
        <v>21000000</v>
      </c>
      <c r="AK291" s="146"/>
      <c r="AL291" s="78"/>
      <c r="AM291" s="78"/>
      <c r="AN291" s="78"/>
      <c r="AO291" s="78"/>
      <c r="AP291" s="78"/>
      <c r="AQ291" s="71">
        <f>AH291+AI291+AJ291+AK291+AL291+AM291+AN291+AO291+AP291</f>
        <v>21000000</v>
      </c>
      <c r="AR291" s="138"/>
      <c r="AS291" s="138"/>
      <c r="AT291" s="511">
        <v>22000000</v>
      </c>
      <c r="AU291" s="511"/>
      <c r="AV291" s="138"/>
      <c r="AW291" s="138"/>
      <c r="AX291" s="138"/>
      <c r="AY291" s="138"/>
      <c r="AZ291" s="138"/>
      <c r="BA291" s="138">
        <f>SUM(AR291:AZ291)</f>
        <v>22000000</v>
      </c>
      <c r="BB291" s="78"/>
      <c r="BC291" s="78"/>
      <c r="BD291" s="78">
        <v>23000000</v>
      </c>
      <c r="BE291" s="78"/>
      <c r="BF291" s="78"/>
      <c r="BG291" s="78"/>
      <c r="BH291" s="78"/>
      <c r="BI291" s="78"/>
      <c r="BJ291" s="78"/>
      <c r="BK291" s="78">
        <f>SUM(BB291:BJ291)</f>
        <v>23000000</v>
      </c>
      <c r="BL291" s="603">
        <f>AG291+AQ291+BA291+BK291</f>
        <v>86000000</v>
      </c>
    </row>
    <row r="292" spans="1:64" ht="24.75" customHeight="1" x14ac:dyDescent="0.2">
      <c r="A292" s="74"/>
      <c r="B292" s="56"/>
      <c r="C292" s="124"/>
      <c r="D292" s="124"/>
      <c r="E292" s="44">
        <v>66</v>
      </c>
      <c r="F292" s="45" t="s">
        <v>686</v>
      </c>
      <c r="G292" s="48"/>
      <c r="H292" s="48"/>
      <c r="I292" s="47"/>
      <c r="J292" s="48"/>
      <c r="K292" s="48"/>
      <c r="L292" s="47"/>
      <c r="M292" s="49"/>
      <c r="N292" s="50"/>
      <c r="O292" s="48"/>
      <c r="P292" s="48"/>
      <c r="Q292" s="51"/>
      <c r="R292" s="51"/>
      <c r="S292" s="48"/>
      <c r="T292" s="49"/>
      <c r="U292" s="125"/>
      <c r="V292" s="49"/>
      <c r="W292" s="49"/>
      <c r="X292" s="53">
        <f t="shared" ref="X292:AF292" si="429">SUM(X293)</f>
        <v>0</v>
      </c>
      <c r="Y292" s="53">
        <f t="shared" si="429"/>
        <v>0</v>
      </c>
      <c r="Z292" s="53">
        <f t="shared" si="429"/>
        <v>40000000</v>
      </c>
      <c r="AA292" s="53">
        <f t="shared" si="429"/>
        <v>0</v>
      </c>
      <c r="AB292" s="53">
        <f t="shared" si="429"/>
        <v>0</v>
      </c>
      <c r="AC292" s="53">
        <f t="shared" si="429"/>
        <v>0</v>
      </c>
      <c r="AD292" s="53">
        <f t="shared" si="429"/>
        <v>0</v>
      </c>
      <c r="AE292" s="53">
        <f t="shared" si="429"/>
        <v>0</v>
      </c>
      <c r="AF292" s="53">
        <f t="shared" si="429"/>
        <v>0</v>
      </c>
      <c r="AG292" s="54">
        <f>SUM(AG293)</f>
        <v>40000000</v>
      </c>
      <c r="AH292" s="53">
        <f t="shared" ref="AH292:AQ292" si="430">SUM(AH293)</f>
        <v>0</v>
      </c>
      <c r="AI292" s="53">
        <f t="shared" si="430"/>
        <v>0</v>
      </c>
      <c r="AJ292" s="53">
        <f t="shared" si="430"/>
        <v>42000000</v>
      </c>
      <c r="AK292" s="53">
        <f t="shared" si="430"/>
        <v>0</v>
      </c>
      <c r="AL292" s="53">
        <f t="shared" si="430"/>
        <v>0</v>
      </c>
      <c r="AM292" s="53">
        <f t="shared" si="430"/>
        <v>0</v>
      </c>
      <c r="AN292" s="53">
        <f t="shared" si="430"/>
        <v>0</v>
      </c>
      <c r="AO292" s="53">
        <f t="shared" si="430"/>
        <v>0</v>
      </c>
      <c r="AP292" s="53">
        <f t="shared" si="430"/>
        <v>0</v>
      </c>
      <c r="AQ292" s="53">
        <f t="shared" si="430"/>
        <v>42000000</v>
      </c>
      <c r="AR292" s="55"/>
      <c r="AS292" s="55"/>
      <c r="AT292" s="55"/>
      <c r="AU292" s="55"/>
      <c r="AV292" s="55"/>
      <c r="AW292" s="55"/>
      <c r="AX292" s="55"/>
      <c r="AY292" s="55"/>
      <c r="AZ292" s="55"/>
      <c r="BA292" s="53">
        <f t="shared" ref="BA292" si="431">SUM(BA293)</f>
        <v>43000000</v>
      </c>
      <c r="BB292" s="55"/>
      <c r="BC292" s="55"/>
      <c r="BD292" s="55"/>
      <c r="BE292" s="55"/>
      <c r="BF292" s="55"/>
      <c r="BG292" s="55"/>
      <c r="BH292" s="55"/>
      <c r="BI292" s="55"/>
      <c r="BJ292" s="55"/>
      <c r="BK292" s="53">
        <f t="shared" ref="BK292:BL292" si="432">SUM(BK293)</f>
        <v>44000000</v>
      </c>
      <c r="BL292" s="53">
        <f t="shared" si="432"/>
        <v>169000000</v>
      </c>
    </row>
    <row r="293" spans="1:64" ht="93" customHeight="1" x14ac:dyDescent="0.2">
      <c r="A293" s="56">
        <v>197</v>
      </c>
      <c r="B293" s="56">
        <v>3</v>
      </c>
      <c r="C293" s="124"/>
      <c r="D293" s="124"/>
      <c r="E293" s="65" t="s">
        <v>932</v>
      </c>
      <c r="F293" s="318" t="s">
        <v>687</v>
      </c>
      <c r="G293" s="319">
        <v>0.307</v>
      </c>
      <c r="H293" s="320">
        <v>0.27</v>
      </c>
      <c r="I293" s="549">
        <v>197</v>
      </c>
      <c r="J293" s="580" t="s">
        <v>688</v>
      </c>
      <c r="K293" s="415" t="s">
        <v>689</v>
      </c>
      <c r="L293" s="580" t="s">
        <v>634</v>
      </c>
      <c r="M293" s="549">
        <v>14</v>
      </c>
      <c r="N293" s="562" t="s">
        <v>54</v>
      </c>
      <c r="O293" s="562">
        <v>1</v>
      </c>
      <c r="P293" s="562">
        <v>1</v>
      </c>
      <c r="Q293" s="549">
        <v>1</v>
      </c>
      <c r="R293" s="562">
        <v>1</v>
      </c>
      <c r="S293" s="562">
        <v>1</v>
      </c>
      <c r="T293" s="562">
        <v>1</v>
      </c>
      <c r="U293" s="572">
        <f>AG293/AG292</f>
        <v>1</v>
      </c>
      <c r="V293" s="562">
        <v>5</v>
      </c>
      <c r="W293" s="562" t="s">
        <v>685</v>
      </c>
      <c r="X293" s="571"/>
      <c r="Y293" s="571"/>
      <c r="Z293" s="571">
        <v>40000000</v>
      </c>
      <c r="AA293" s="571"/>
      <c r="AB293" s="571"/>
      <c r="AC293" s="571"/>
      <c r="AD293" s="571"/>
      <c r="AE293" s="571"/>
      <c r="AF293" s="571"/>
      <c r="AG293" s="414">
        <f>+X293+Y293+Z293+AA293+AB293+AC293+AD293+AE293+AF293</f>
        <v>40000000</v>
      </c>
      <c r="AH293" s="551"/>
      <c r="AI293" s="551"/>
      <c r="AJ293" s="551">
        <v>42000000</v>
      </c>
      <c r="AK293" s="574"/>
      <c r="AL293" s="551"/>
      <c r="AM293" s="551"/>
      <c r="AN293" s="551"/>
      <c r="AO293" s="551"/>
      <c r="AP293" s="551"/>
      <c r="AQ293" s="571">
        <f>AH293+AI293+AJ293+AK293+AL293+AM293+AN293+AO293+AP293</f>
        <v>42000000</v>
      </c>
      <c r="AR293" s="551"/>
      <c r="AS293" s="551"/>
      <c r="AT293" s="551">
        <v>43000000</v>
      </c>
      <c r="AU293" s="574"/>
      <c r="AV293" s="551"/>
      <c r="AW293" s="551"/>
      <c r="AX293" s="551"/>
      <c r="AY293" s="551"/>
      <c r="AZ293" s="551"/>
      <c r="BA293" s="551">
        <f>SUM(AR293:AZ293)</f>
        <v>43000000</v>
      </c>
      <c r="BB293" s="551"/>
      <c r="BC293" s="551"/>
      <c r="BD293" s="551">
        <v>44000000</v>
      </c>
      <c r="BE293" s="574"/>
      <c r="BF293" s="551"/>
      <c r="BG293" s="551"/>
      <c r="BH293" s="551"/>
      <c r="BI293" s="551"/>
      <c r="BJ293" s="551"/>
      <c r="BK293" s="551">
        <f>SUM(BB293:BJ293)</f>
        <v>44000000</v>
      </c>
      <c r="BL293" s="619">
        <f>AG293+AQ293+BA293+BK293</f>
        <v>169000000</v>
      </c>
    </row>
    <row r="294" spans="1:64" ht="24.75" customHeight="1" x14ac:dyDescent="0.2">
      <c r="A294" s="56"/>
      <c r="B294" s="56"/>
      <c r="C294" s="124"/>
      <c r="D294" s="30">
        <v>19</v>
      </c>
      <c r="E294" s="122" t="s">
        <v>690</v>
      </c>
      <c r="F294" s="32"/>
      <c r="G294" s="32"/>
      <c r="H294" s="32"/>
      <c r="I294" s="262"/>
      <c r="J294" s="35"/>
      <c r="K294" s="35"/>
      <c r="L294" s="36"/>
      <c r="M294" s="34"/>
      <c r="N294" s="37"/>
      <c r="O294" s="35"/>
      <c r="P294" s="35"/>
      <c r="Q294" s="38"/>
      <c r="R294" s="35"/>
      <c r="S294" s="35"/>
      <c r="T294" s="34"/>
      <c r="U294" s="123"/>
      <c r="V294" s="34"/>
      <c r="W294" s="34"/>
      <c r="X294" s="40">
        <f t="shared" ref="X294:AF294" si="433">X295</f>
        <v>0</v>
      </c>
      <c r="Y294" s="40">
        <f t="shared" si="433"/>
        <v>3245382763</v>
      </c>
      <c r="Z294" s="40">
        <f t="shared" si="433"/>
        <v>20000000</v>
      </c>
      <c r="AA294" s="40">
        <f t="shared" si="433"/>
        <v>0</v>
      </c>
      <c r="AB294" s="40">
        <f t="shared" si="433"/>
        <v>0</v>
      </c>
      <c r="AC294" s="40">
        <f t="shared" si="433"/>
        <v>0</v>
      </c>
      <c r="AD294" s="40">
        <f t="shared" si="433"/>
        <v>0</v>
      </c>
      <c r="AE294" s="40">
        <f t="shared" si="433"/>
        <v>0</v>
      </c>
      <c r="AF294" s="40">
        <f t="shared" si="433"/>
        <v>0</v>
      </c>
      <c r="AG294" s="41">
        <f>AG295</f>
        <v>3265382763</v>
      </c>
      <c r="AH294" s="40">
        <f t="shared" ref="AH294:AQ294" si="434">AH295</f>
        <v>0</v>
      </c>
      <c r="AI294" s="40">
        <f t="shared" si="434"/>
        <v>2537920000</v>
      </c>
      <c r="AJ294" s="40">
        <f t="shared" si="434"/>
        <v>20000000</v>
      </c>
      <c r="AK294" s="40">
        <f t="shared" si="434"/>
        <v>0</v>
      </c>
      <c r="AL294" s="40">
        <f t="shared" si="434"/>
        <v>0</v>
      </c>
      <c r="AM294" s="40">
        <f t="shared" si="434"/>
        <v>0</v>
      </c>
      <c r="AN294" s="40">
        <f t="shared" si="434"/>
        <v>0</v>
      </c>
      <c r="AO294" s="40">
        <f t="shared" si="434"/>
        <v>0</v>
      </c>
      <c r="AP294" s="40">
        <f t="shared" si="434"/>
        <v>0</v>
      </c>
      <c r="AQ294" s="40">
        <f t="shared" si="434"/>
        <v>2557920000</v>
      </c>
      <c r="AR294" s="42"/>
      <c r="AS294" s="42"/>
      <c r="AT294" s="42"/>
      <c r="AU294" s="42"/>
      <c r="AV294" s="42"/>
      <c r="AW294" s="42"/>
      <c r="AX294" s="42"/>
      <c r="AY294" s="42"/>
      <c r="AZ294" s="42"/>
      <c r="BA294" s="40">
        <f t="shared" ref="BA294" si="435">BA295</f>
        <v>2634057600</v>
      </c>
      <c r="BB294" s="42"/>
      <c r="BC294" s="42"/>
      <c r="BD294" s="42"/>
      <c r="BE294" s="42"/>
      <c r="BF294" s="42"/>
      <c r="BG294" s="42"/>
      <c r="BH294" s="42"/>
      <c r="BI294" s="42"/>
      <c r="BJ294" s="42"/>
      <c r="BK294" s="40">
        <f t="shared" ref="BK294:BL294" si="436">BK295</f>
        <v>2712479328</v>
      </c>
      <c r="BL294" s="40">
        <f t="shared" si="436"/>
        <v>11169839691</v>
      </c>
    </row>
    <row r="295" spans="1:64" ht="24.75" customHeight="1" x14ac:dyDescent="0.2">
      <c r="A295" s="56"/>
      <c r="B295" s="56"/>
      <c r="C295" s="124"/>
      <c r="D295" s="417"/>
      <c r="E295" s="44">
        <v>67</v>
      </c>
      <c r="F295" s="45" t="s">
        <v>691</v>
      </c>
      <c r="G295" s="48"/>
      <c r="H295" s="48"/>
      <c r="I295" s="44"/>
      <c r="J295" s="45"/>
      <c r="K295" s="48"/>
      <c r="L295" s="47"/>
      <c r="M295" s="49"/>
      <c r="N295" s="50"/>
      <c r="O295" s="48"/>
      <c r="P295" s="48"/>
      <c r="Q295" s="51"/>
      <c r="R295" s="48"/>
      <c r="S295" s="48"/>
      <c r="T295" s="49"/>
      <c r="U295" s="125"/>
      <c r="V295" s="49"/>
      <c r="W295" s="49"/>
      <c r="X295" s="53">
        <f t="shared" ref="X295:AF295" si="437">SUM(X296:X299)</f>
        <v>0</v>
      </c>
      <c r="Y295" s="53">
        <f t="shared" si="437"/>
        <v>3245382763</v>
      </c>
      <c r="Z295" s="53">
        <f t="shared" si="437"/>
        <v>20000000</v>
      </c>
      <c r="AA295" s="53">
        <f t="shared" si="437"/>
        <v>0</v>
      </c>
      <c r="AB295" s="53">
        <f t="shared" si="437"/>
        <v>0</v>
      </c>
      <c r="AC295" s="53">
        <f t="shared" si="437"/>
        <v>0</v>
      </c>
      <c r="AD295" s="53">
        <f t="shared" si="437"/>
        <v>0</v>
      </c>
      <c r="AE295" s="53">
        <f t="shared" si="437"/>
        <v>0</v>
      </c>
      <c r="AF295" s="53">
        <f t="shared" si="437"/>
        <v>0</v>
      </c>
      <c r="AG295" s="54">
        <f>SUM(AG296:AG299)</f>
        <v>3265382763</v>
      </c>
      <c r="AH295" s="53">
        <f t="shared" ref="AH295:AQ295" si="438">SUM(AH296:AH299)</f>
        <v>0</v>
      </c>
      <c r="AI295" s="53">
        <f t="shared" si="438"/>
        <v>2537920000</v>
      </c>
      <c r="AJ295" s="53">
        <f t="shared" si="438"/>
        <v>20000000</v>
      </c>
      <c r="AK295" s="53">
        <f t="shared" si="438"/>
        <v>0</v>
      </c>
      <c r="AL295" s="53">
        <f t="shared" si="438"/>
        <v>0</v>
      </c>
      <c r="AM295" s="53">
        <f t="shared" si="438"/>
        <v>0</v>
      </c>
      <c r="AN295" s="53">
        <f t="shared" si="438"/>
        <v>0</v>
      </c>
      <c r="AO295" s="53">
        <f t="shared" si="438"/>
        <v>0</v>
      </c>
      <c r="AP295" s="53">
        <f t="shared" si="438"/>
        <v>0</v>
      </c>
      <c r="AQ295" s="53">
        <f t="shared" si="438"/>
        <v>2557920000</v>
      </c>
      <c r="AR295" s="55"/>
      <c r="AS295" s="55"/>
      <c r="AT295" s="55"/>
      <c r="AU295" s="55"/>
      <c r="AV295" s="55"/>
      <c r="AW295" s="55"/>
      <c r="AX295" s="55"/>
      <c r="AY295" s="55"/>
      <c r="AZ295" s="55"/>
      <c r="BA295" s="53">
        <f t="shared" ref="BA295" si="439">SUM(BA296:BA299)</f>
        <v>2634057600</v>
      </c>
      <c r="BB295" s="55"/>
      <c r="BC295" s="55"/>
      <c r="BD295" s="55"/>
      <c r="BE295" s="55"/>
      <c r="BF295" s="55"/>
      <c r="BG295" s="55"/>
      <c r="BH295" s="55"/>
      <c r="BI295" s="55"/>
      <c r="BJ295" s="55"/>
      <c r="BK295" s="53">
        <f t="shared" ref="BK295" si="440">SUM(BK296:BK299)</f>
        <v>2712479328</v>
      </c>
      <c r="BL295" s="53">
        <f t="shared" ref="BL295" si="441">SUM(BL296:BL299)</f>
        <v>11169839691</v>
      </c>
    </row>
    <row r="296" spans="1:64" ht="60" customHeight="1" x14ac:dyDescent="0.2">
      <c r="A296" s="74">
        <v>198</v>
      </c>
      <c r="B296" s="56">
        <v>3</v>
      </c>
      <c r="C296" s="124"/>
      <c r="D296" s="124"/>
      <c r="E296" s="510">
        <v>35</v>
      </c>
      <c r="F296" s="516" t="s">
        <v>692</v>
      </c>
      <c r="G296" s="440" t="s">
        <v>693</v>
      </c>
      <c r="H296" s="440" t="s">
        <v>694</v>
      </c>
      <c r="I296" s="64">
        <v>198</v>
      </c>
      <c r="J296" s="60" t="s">
        <v>695</v>
      </c>
      <c r="K296" s="57" t="s">
        <v>696</v>
      </c>
      <c r="L296" s="61" t="s">
        <v>697</v>
      </c>
      <c r="M296" s="61">
        <v>14</v>
      </c>
      <c r="N296" s="62" t="s">
        <v>54</v>
      </c>
      <c r="O296" s="65">
        <v>1</v>
      </c>
      <c r="P296" s="65">
        <v>1</v>
      </c>
      <c r="Q296" s="64">
        <v>1</v>
      </c>
      <c r="R296" s="65">
        <v>1</v>
      </c>
      <c r="S296" s="65">
        <v>1</v>
      </c>
      <c r="T296" s="65">
        <v>1</v>
      </c>
      <c r="U296" s="182">
        <f>AG296/$AG$295</f>
        <v>6.1248562424655638E-3</v>
      </c>
      <c r="V296" s="64">
        <v>10</v>
      </c>
      <c r="W296" s="61" t="s">
        <v>386</v>
      </c>
      <c r="X296" s="106"/>
      <c r="Y296" s="106"/>
      <c r="Z296" s="106">
        <f>20000000</f>
        <v>20000000</v>
      </c>
      <c r="AA296" s="106"/>
      <c r="AB296" s="106"/>
      <c r="AC296" s="106"/>
      <c r="AD296" s="106"/>
      <c r="AE296" s="106"/>
      <c r="AF296" s="106"/>
      <c r="AG296" s="69">
        <f>+X296+Y296+Z296+AA296+AB296+AC296+AD296+AE296+AF296</f>
        <v>20000000</v>
      </c>
      <c r="AH296" s="78"/>
      <c r="AI296" s="78"/>
      <c r="AJ296" s="78">
        <v>10000000</v>
      </c>
      <c r="AK296" s="78"/>
      <c r="AL296" s="78"/>
      <c r="AM296" s="78"/>
      <c r="AN296" s="78"/>
      <c r="AO296" s="78"/>
      <c r="AP296" s="78"/>
      <c r="AQ296" s="71">
        <f>AH296+AI296+AJ296+AK296+AL296+AM296+AN296+AO296+AP296</f>
        <v>10000000</v>
      </c>
      <c r="AR296" s="78"/>
      <c r="AS296" s="78"/>
      <c r="AT296" s="78">
        <v>10000000</v>
      </c>
      <c r="AU296" s="78"/>
      <c r="AV296" s="78"/>
      <c r="AW296" s="78"/>
      <c r="AX296" s="78"/>
      <c r="AY296" s="78"/>
      <c r="AZ296" s="78"/>
      <c r="BA296" s="78">
        <f>SUM(AR296:AZ296)</f>
        <v>10000000</v>
      </c>
      <c r="BB296" s="78"/>
      <c r="BC296" s="78"/>
      <c r="BD296" s="78">
        <v>10000000</v>
      </c>
      <c r="BE296" s="78"/>
      <c r="BF296" s="78"/>
      <c r="BG296" s="78"/>
      <c r="BH296" s="78"/>
      <c r="BI296" s="78"/>
      <c r="BJ296" s="78"/>
      <c r="BK296" s="78">
        <f>SUM(BB296:BJ296)</f>
        <v>10000000</v>
      </c>
      <c r="BL296" s="603">
        <f>AG296+AQ296+BA296+BK296</f>
        <v>50000000</v>
      </c>
    </row>
    <row r="297" spans="1:64" ht="75" customHeight="1" x14ac:dyDescent="0.2">
      <c r="A297" s="74"/>
      <c r="B297" s="56"/>
      <c r="C297" s="124"/>
      <c r="D297" s="124"/>
      <c r="E297" s="79"/>
      <c r="F297" s="107"/>
      <c r="G297" s="139"/>
      <c r="H297" s="139"/>
      <c r="I297" s="64">
        <v>199</v>
      </c>
      <c r="J297" s="60" t="s">
        <v>698</v>
      </c>
      <c r="K297" s="57" t="s">
        <v>699</v>
      </c>
      <c r="L297" s="61" t="s">
        <v>697</v>
      </c>
      <c r="M297" s="61">
        <v>14</v>
      </c>
      <c r="N297" s="61" t="s">
        <v>69</v>
      </c>
      <c r="O297" s="64">
        <v>0</v>
      </c>
      <c r="P297" s="64">
        <v>12</v>
      </c>
      <c r="Q297" s="64">
        <v>0</v>
      </c>
      <c r="R297" s="64">
        <v>4</v>
      </c>
      <c r="S297" s="64">
        <v>4</v>
      </c>
      <c r="T297" s="64">
        <v>4</v>
      </c>
      <c r="U297" s="182">
        <f>AG297/$AG$295</f>
        <v>0</v>
      </c>
      <c r="V297" s="64">
        <v>10</v>
      </c>
      <c r="W297" s="61" t="s">
        <v>386</v>
      </c>
      <c r="X297" s="69"/>
      <c r="Y297" s="69"/>
      <c r="Z297" s="69"/>
      <c r="AA297" s="69"/>
      <c r="AB297" s="69"/>
      <c r="AC297" s="69"/>
      <c r="AD297" s="69"/>
      <c r="AE297" s="69"/>
      <c r="AF297" s="69"/>
      <c r="AG297" s="69">
        <f>+X297+Y297+Z297+AA297+AB297+AC297+AD297+AE297+AF297</f>
        <v>0</v>
      </c>
      <c r="AH297" s="78"/>
      <c r="AI297" s="78"/>
      <c r="AJ297" s="78">
        <v>10000000</v>
      </c>
      <c r="AK297" s="78"/>
      <c r="AL297" s="78"/>
      <c r="AM297" s="78"/>
      <c r="AN297" s="78"/>
      <c r="AO297" s="78"/>
      <c r="AP297" s="78"/>
      <c r="AQ297" s="71">
        <f>AH297+AI297+AJ297+AK297+AL297+AM297+AN297+AO297+AP297</f>
        <v>10000000</v>
      </c>
      <c r="AR297" s="78"/>
      <c r="AS297" s="78"/>
      <c r="AT297" s="78">
        <v>10000000</v>
      </c>
      <c r="AU297" s="78"/>
      <c r="AV297" s="78"/>
      <c r="AW297" s="78"/>
      <c r="AX297" s="78"/>
      <c r="AY297" s="78"/>
      <c r="AZ297" s="78"/>
      <c r="BA297" s="78">
        <f>SUM(AR297:AZ297)</f>
        <v>10000000</v>
      </c>
      <c r="BB297" s="78"/>
      <c r="BC297" s="78"/>
      <c r="BD297" s="78">
        <v>10000000</v>
      </c>
      <c r="BE297" s="78"/>
      <c r="BF297" s="78"/>
      <c r="BG297" s="78"/>
      <c r="BH297" s="78"/>
      <c r="BI297" s="78"/>
      <c r="BJ297" s="78"/>
      <c r="BK297" s="78">
        <f>SUM(BB297:BJ297)</f>
        <v>10000000</v>
      </c>
      <c r="BL297" s="603">
        <f>AG297+AQ297+BA297+BK297</f>
        <v>30000000</v>
      </c>
    </row>
    <row r="298" spans="1:64" ht="71.25" customHeight="1" x14ac:dyDescent="0.2">
      <c r="A298" s="56">
        <v>199</v>
      </c>
      <c r="B298" s="56">
        <v>3</v>
      </c>
      <c r="C298" s="124"/>
      <c r="D298" s="124"/>
      <c r="E298" s="79"/>
      <c r="F298" s="107"/>
      <c r="G298" s="139"/>
      <c r="H298" s="139"/>
      <c r="I298" s="64">
        <v>200</v>
      </c>
      <c r="J298" s="60" t="s">
        <v>700</v>
      </c>
      <c r="K298" s="57" t="s">
        <v>701</v>
      </c>
      <c r="L298" s="61" t="s">
        <v>697</v>
      </c>
      <c r="M298" s="61">
        <v>14</v>
      </c>
      <c r="N298" s="62" t="s">
        <v>54</v>
      </c>
      <c r="O298" s="65">
        <v>12</v>
      </c>
      <c r="P298" s="65">
        <v>12</v>
      </c>
      <c r="Q298" s="64">
        <v>12</v>
      </c>
      <c r="R298" s="65">
        <v>12</v>
      </c>
      <c r="S298" s="65">
        <v>12</v>
      </c>
      <c r="T298" s="65">
        <v>12</v>
      </c>
      <c r="U298" s="182">
        <f>AG298/$AG$295</f>
        <v>0.29816254312726032</v>
      </c>
      <c r="V298" s="64">
        <v>3</v>
      </c>
      <c r="W298" s="61" t="s">
        <v>453</v>
      </c>
      <c r="X298" s="106"/>
      <c r="Y298" s="96">
        <v>973614828.89999998</v>
      </c>
      <c r="Z298" s="106"/>
      <c r="AA298" s="106"/>
      <c r="AB298" s="106"/>
      <c r="AC298" s="106"/>
      <c r="AD298" s="106"/>
      <c r="AE298" s="106"/>
      <c r="AF298" s="106"/>
      <c r="AG298" s="69">
        <f>+X298+Y298+Z298+AA298+AB298+AC298+AD298+AE298+AF298</f>
        <v>973614828.89999998</v>
      </c>
      <c r="AH298" s="78"/>
      <c r="AI298" s="78">
        <f>2537920000*0.3</f>
        <v>761376000</v>
      </c>
      <c r="AJ298" s="78"/>
      <c r="AK298" s="78"/>
      <c r="AL298" s="78"/>
      <c r="AM298" s="78"/>
      <c r="AN298" s="78"/>
      <c r="AO298" s="78"/>
      <c r="AP298" s="78"/>
      <c r="AQ298" s="71">
        <f>AH298+AI298+AJ298+AK298+AL298+AM298+AN298+AO298+AP298</f>
        <v>761376000</v>
      </c>
      <c r="AR298" s="78"/>
      <c r="AS298" s="78">
        <f>2614057600*0.3</f>
        <v>784217280</v>
      </c>
      <c r="AT298" s="78"/>
      <c r="AU298" s="78"/>
      <c r="AV298" s="78"/>
      <c r="AW298" s="78"/>
      <c r="AX298" s="78"/>
      <c r="AY298" s="78"/>
      <c r="AZ298" s="78"/>
      <c r="BA298" s="78">
        <f>SUM(AR298:AZ298)</f>
        <v>784217280</v>
      </c>
      <c r="BB298" s="78"/>
      <c r="BC298" s="78">
        <v>807743798.39999998</v>
      </c>
      <c r="BD298" s="78"/>
      <c r="BE298" s="78"/>
      <c r="BF298" s="78"/>
      <c r="BG298" s="78"/>
      <c r="BH298" s="78"/>
      <c r="BI298" s="78"/>
      <c r="BJ298" s="78"/>
      <c r="BK298" s="78">
        <f>SUM(BB298:BJ298)</f>
        <v>807743798.39999998</v>
      </c>
      <c r="BL298" s="603">
        <f>AG298+AQ298+BA298+BK298</f>
        <v>3326951907.3000002</v>
      </c>
    </row>
    <row r="299" spans="1:64" ht="71.25" customHeight="1" x14ac:dyDescent="0.2">
      <c r="A299" s="74">
        <v>200</v>
      </c>
      <c r="B299" s="56">
        <v>3</v>
      </c>
      <c r="C299" s="124"/>
      <c r="D299" s="183"/>
      <c r="E299" s="506"/>
      <c r="F299" s="517"/>
      <c r="G299" s="149"/>
      <c r="H299" s="149"/>
      <c r="I299" s="64">
        <v>201</v>
      </c>
      <c r="J299" s="60" t="s">
        <v>702</v>
      </c>
      <c r="K299" s="57" t="s">
        <v>703</v>
      </c>
      <c r="L299" s="61" t="s">
        <v>697</v>
      </c>
      <c r="M299" s="61">
        <v>14</v>
      </c>
      <c r="N299" s="76" t="s">
        <v>54</v>
      </c>
      <c r="O299" s="63">
        <v>14</v>
      </c>
      <c r="P299" s="63">
        <v>14</v>
      </c>
      <c r="Q299" s="77">
        <v>14</v>
      </c>
      <c r="R299" s="63">
        <v>14</v>
      </c>
      <c r="S299" s="63">
        <v>14</v>
      </c>
      <c r="T299" s="63">
        <v>14</v>
      </c>
      <c r="U299" s="182">
        <f>AG299/$AG$295</f>
        <v>0.69571260063027407</v>
      </c>
      <c r="V299" s="64">
        <v>3</v>
      </c>
      <c r="W299" s="61" t="s">
        <v>453</v>
      </c>
      <c r="X299" s="106"/>
      <c r="Y299" s="96">
        <v>2271767934.0999999</v>
      </c>
      <c r="Z299" s="106"/>
      <c r="AA299" s="106"/>
      <c r="AB299" s="106"/>
      <c r="AC299" s="106"/>
      <c r="AD299" s="106"/>
      <c r="AE299" s="106"/>
      <c r="AF299" s="106"/>
      <c r="AG299" s="69">
        <f>+X299+Y299+Z299+AA299+AB299+AC299+AD299+AE299+AF299</f>
        <v>2271767934.0999999</v>
      </c>
      <c r="AH299" s="78"/>
      <c r="AI299" s="78">
        <f>2537920000*0.7</f>
        <v>1776544000</v>
      </c>
      <c r="AJ299" s="78"/>
      <c r="AK299" s="78"/>
      <c r="AL299" s="78"/>
      <c r="AM299" s="78"/>
      <c r="AN299" s="78"/>
      <c r="AO299" s="78"/>
      <c r="AP299" s="78"/>
      <c r="AQ299" s="71">
        <f>AH299+AI299+AJ299+AK299+AL299+AM299+AN299+AO299+AP299</f>
        <v>1776544000</v>
      </c>
      <c r="AR299" s="78"/>
      <c r="AS299" s="78">
        <f>2614057600*0.7</f>
        <v>1829840320</v>
      </c>
      <c r="AT299" s="78"/>
      <c r="AU299" s="78"/>
      <c r="AV299" s="78"/>
      <c r="AW299" s="78"/>
      <c r="AX299" s="78"/>
      <c r="AY299" s="78"/>
      <c r="AZ299" s="78"/>
      <c r="BA299" s="78">
        <f>SUM(AR299:AZ299)</f>
        <v>1829840320</v>
      </c>
      <c r="BB299" s="78"/>
      <c r="BC299" s="78">
        <v>1884735529.5999999</v>
      </c>
      <c r="BD299" s="78"/>
      <c r="BE299" s="78"/>
      <c r="BF299" s="78"/>
      <c r="BG299" s="78"/>
      <c r="BH299" s="78"/>
      <c r="BI299" s="78"/>
      <c r="BJ299" s="78"/>
      <c r="BK299" s="78">
        <f>SUM(BB299:BJ299)</f>
        <v>1884735529.5999999</v>
      </c>
      <c r="BL299" s="603">
        <f>AG299+AQ299+BA299+BK299</f>
        <v>7762887783.7000008</v>
      </c>
    </row>
    <row r="300" spans="1:64" ht="24.75" customHeight="1" x14ac:dyDescent="0.2">
      <c r="A300" s="74"/>
      <c r="B300" s="56"/>
      <c r="C300" s="124"/>
      <c r="D300" s="30">
        <v>20</v>
      </c>
      <c r="E300" s="122" t="s">
        <v>704</v>
      </c>
      <c r="F300" s="32"/>
      <c r="G300" s="33"/>
      <c r="H300" s="33"/>
      <c r="I300" s="34"/>
      <c r="J300" s="35"/>
      <c r="K300" s="35"/>
      <c r="L300" s="36"/>
      <c r="M300" s="34"/>
      <c r="N300" s="37"/>
      <c r="O300" s="35"/>
      <c r="P300" s="35"/>
      <c r="Q300" s="38"/>
      <c r="R300" s="35"/>
      <c r="S300" s="35"/>
      <c r="T300" s="34"/>
      <c r="U300" s="123"/>
      <c r="V300" s="34"/>
      <c r="W300" s="34"/>
      <c r="X300" s="40">
        <f t="shared" ref="X300:AF300" si="442">X301+X304+X306+X308</f>
        <v>0</v>
      </c>
      <c r="Y300" s="40">
        <f t="shared" si="442"/>
        <v>382966448</v>
      </c>
      <c r="Z300" s="40">
        <f t="shared" si="442"/>
        <v>360787151.63999999</v>
      </c>
      <c r="AA300" s="40">
        <f t="shared" si="442"/>
        <v>0</v>
      </c>
      <c r="AB300" s="40">
        <f t="shared" si="442"/>
        <v>0</v>
      </c>
      <c r="AC300" s="40">
        <f t="shared" si="442"/>
        <v>0</v>
      </c>
      <c r="AD300" s="40">
        <f t="shared" si="442"/>
        <v>0</v>
      </c>
      <c r="AE300" s="40">
        <f t="shared" si="442"/>
        <v>0</v>
      </c>
      <c r="AF300" s="40">
        <f t="shared" si="442"/>
        <v>0</v>
      </c>
      <c r="AG300" s="41">
        <f>AG301+AG304+AG306+AG308</f>
        <v>743753599.63999999</v>
      </c>
      <c r="AH300" s="40">
        <f t="shared" ref="AH300:AQ300" si="443">AH301+AH304+AH306+AH308</f>
        <v>0</v>
      </c>
      <c r="AI300" s="40">
        <f t="shared" si="443"/>
        <v>394455441.44</v>
      </c>
      <c r="AJ300" s="40">
        <f t="shared" si="443"/>
        <v>371610766.18919998</v>
      </c>
      <c r="AK300" s="40">
        <f t="shared" si="443"/>
        <v>0</v>
      </c>
      <c r="AL300" s="40">
        <f t="shared" si="443"/>
        <v>0</v>
      </c>
      <c r="AM300" s="40">
        <f t="shared" si="443"/>
        <v>0</v>
      </c>
      <c r="AN300" s="40">
        <f t="shared" si="443"/>
        <v>0</v>
      </c>
      <c r="AO300" s="40">
        <f t="shared" si="443"/>
        <v>0</v>
      </c>
      <c r="AP300" s="40">
        <f t="shared" si="443"/>
        <v>0</v>
      </c>
      <c r="AQ300" s="40">
        <f t="shared" si="443"/>
        <v>766066207.62919998</v>
      </c>
      <c r="AR300" s="42"/>
      <c r="AS300" s="42"/>
      <c r="AT300" s="42"/>
      <c r="AU300" s="42"/>
      <c r="AV300" s="42"/>
      <c r="AW300" s="42"/>
      <c r="AX300" s="42"/>
      <c r="AY300" s="42"/>
      <c r="AZ300" s="42"/>
      <c r="BA300" s="40">
        <f t="shared" ref="BA300" si="444">BA301+BA304+BA306+BA308</f>
        <v>789048193.85807598</v>
      </c>
      <c r="BB300" s="42"/>
      <c r="BC300" s="42"/>
      <c r="BD300" s="42"/>
      <c r="BE300" s="42"/>
      <c r="BF300" s="42"/>
      <c r="BG300" s="42"/>
      <c r="BH300" s="42"/>
      <c r="BI300" s="42"/>
      <c r="BJ300" s="42"/>
      <c r="BK300" s="40">
        <f t="shared" ref="BK300" si="445">BK301+BK304+BK306+BK308</f>
        <v>812719639.67381835</v>
      </c>
      <c r="BL300" s="40">
        <f t="shared" ref="BL300" si="446">BL301+BL304+BL306+BL308</f>
        <v>3111587640.8010941</v>
      </c>
    </row>
    <row r="301" spans="1:64" ht="24.75" customHeight="1" x14ac:dyDescent="0.2">
      <c r="A301" s="74"/>
      <c r="B301" s="56"/>
      <c r="C301" s="124"/>
      <c r="D301" s="417"/>
      <c r="E301" s="44">
        <v>68</v>
      </c>
      <c r="F301" s="45" t="s">
        <v>705</v>
      </c>
      <c r="G301" s="84"/>
      <c r="H301" s="84"/>
      <c r="I301" s="47"/>
      <c r="J301" s="48"/>
      <c r="K301" s="84"/>
      <c r="L301" s="47"/>
      <c r="M301" s="47"/>
      <c r="N301" s="85"/>
      <c r="O301" s="84"/>
      <c r="P301" s="84"/>
      <c r="Q301" s="86"/>
      <c r="R301" s="84"/>
      <c r="S301" s="84"/>
      <c r="T301" s="47"/>
      <c r="U301" s="87"/>
      <c r="V301" s="47"/>
      <c r="W301" s="47"/>
      <c r="X301" s="88">
        <f t="shared" ref="X301:AF301" si="447">SUM(X302:X303)</f>
        <v>0</v>
      </c>
      <c r="Y301" s="88">
        <f t="shared" si="447"/>
        <v>382966448</v>
      </c>
      <c r="Z301" s="88">
        <f t="shared" si="447"/>
        <v>258910352</v>
      </c>
      <c r="AA301" s="88">
        <f t="shared" si="447"/>
        <v>0</v>
      </c>
      <c r="AB301" s="88">
        <f t="shared" si="447"/>
        <v>0</v>
      </c>
      <c r="AC301" s="88">
        <f t="shared" si="447"/>
        <v>0</v>
      </c>
      <c r="AD301" s="88">
        <f t="shared" si="447"/>
        <v>0</v>
      </c>
      <c r="AE301" s="88">
        <f t="shared" si="447"/>
        <v>0</v>
      </c>
      <c r="AF301" s="88">
        <f t="shared" si="447"/>
        <v>0</v>
      </c>
      <c r="AG301" s="89">
        <f>SUM(AG302:AG303)</f>
        <v>641876800</v>
      </c>
      <c r="AH301" s="88">
        <f t="shared" ref="AH301:AQ301" si="448">SUM(AH302:AH303)</f>
        <v>0</v>
      </c>
      <c r="AI301" s="88">
        <f t="shared" si="448"/>
        <v>394455441.44</v>
      </c>
      <c r="AJ301" s="88">
        <f t="shared" si="448"/>
        <v>266677662.56</v>
      </c>
      <c r="AK301" s="88">
        <f t="shared" si="448"/>
        <v>0</v>
      </c>
      <c r="AL301" s="88">
        <f t="shared" si="448"/>
        <v>0</v>
      </c>
      <c r="AM301" s="88">
        <f t="shared" si="448"/>
        <v>0</v>
      </c>
      <c r="AN301" s="88">
        <f t="shared" si="448"/>
        <v>0</v>
      </c>
      <c r="AO301" s="88">
        <f t="shared" si="448"/>
        <v>0</v>
      </c>
      <c r="AP301" s="88">
        <f t="shared" si="448"/>
        <v>0</v>
      </c>
      <c r="AQ301" s="88">
        <f t="shared" si="448"/>
        <v>661133104</v>
      </c>
      <c r="AR301" s="90"/>
      <c r="AS301" s="90"/>
      <c r="AT301" s="90"/>
      <c r="AU301" s="90"/>
      <c r="AV301" s="90"/>
      <c r="AW301" s="90"/>
      <c r="AX301" s="90"/>
      <c r="AY301" s="90"/>
      <c r="AZ301" s="90"/>
      <c r="BA301" s="88">
        <f t="shared" ref="BA301" si="449">SUM(BA302:BA303)</f>
        <v>680967097.12</v>
      </c>
      <c r="BB301" s="90"/>
      <c r="BC301" s="90"/>
      <c r="BD301" s="90"/>
      <c r="BE301" s="90"/>
      <c r="BF301" s="90"/>
      <c r="BG301" s="90"/>
      <c r="BH301" s="90"/>
      <c r="BI301" s="90"/>
      <c r="BJ301" s="90"/>
      <c r="BK301" s="88">
        <f t="shared" ref="BK301" si="450">SUM(BK302:BK303)</f>
        <v>701396110.03360009</v>
      </c>
      <c r="BL301" s="88">
        <f t="shared" ref="BL301" si="451">SUM(BL302:BL303)</f>
        <v>2685373111.1535997</v>
      </c>
    </row>
    <row r="302" spans="1:64" ht="57.75" customHeight="1" x14ac:dyDescent="0.2">
      <c r="A302" s="56">
        <v>201</v>
      </c>
      <c r="B302" s="56">
        <v>3</v>
      </c>
      <c r="C302" s="124"/>
      <c r="D302" s="124"/>
      <c r="E302" s="510">
        <v>36</v>
      </c>
      <c r="F302" s="516" t="s">
        <v>706</v>
      </c>
      <c r="G302" s="448">
        <v>0.4</v>
      </c>
      <c r="H302" s="448">
        <v>0.6</v>
      </c>
      <c r="I302" s="64">
        <v>202</v>
      </c>
      <c r="J302" s="60" t="s">
        <v>707</v>
      </c>
      <c r="K302" s="257" t="s">
        <v>708</v>
      </c>
      <c r="L302" s="61" t="s">
        <v>709</v>
      </c>
      <c r="M302" s="240">
        <v>4</v>
      </c>
      <c r="N302" s="100" t="s">
        <v>54</v>
      </c>
      <c r="O302" s="81">
        <v>23</v>
      </c>
      <c r="P302" s="81">
        <v>23</v>
      </c>
      <c r="Q302" s="187">
        <v>23</v>
      </c>
      <c r="R302" s="81">
        <v>23</v>
      </c>
      <c r="S302" s="81">
        <v>23</v>
      </c>
      <c r="T302" s="81">
        <v>23</v>
      </c>
      <c r="U302" s="252">
        <f>AG302/AG301</f>
        <v>0.71731335359059556</v>
      </c>
      <c r="V302" s="65">
        <v>3</v>
      </c>
      <c r="W302" s="62" t="s">
        <v>453</v>
      </c>
      <c r="X302" s="96"/>
      <c r="Y302" s="321">
        <v>379516448</v>
      </c>
      <c r="Z302" s="321">
        <f>97585333-16674981</f>
        <v>80910352</v>
      </c>
      <c r="AA302" s="96"/>
      <c r="AB302" s="96"/>
      <c r="AC302" s="96"/>
      <c r="AD302" s="96"/>
      <c r="AE302" s="96"/>
      <c r="AF302" s="96"/>
      <c r="AG302" s="69">
        <f>+X302+Y302+Z302+AA302+AB302+AC302+AD302+AE302+AF302</f>
        <v>460426800</v>
      </c>
      <c r="AH302" s="78"/>
      <c r="AI302" s="78">
        <f>379516448*1.03</f>
        <v>390901941.44</v>
      </c>
      <c r="AJ302" s="511">
        <f>80910352*1.03</f>
        <v>83337662.560000002</v>
      </c>
      <c r="AK302" s="78"/>
      <c r="AL302" s="78"/>
      <c r="AM302" s="78"/>
      <c r="AN302" s="78"/>
      <c r="AO302" s="78"/>
      <c r="AP302" s="78"/>
      <c r="AQ302" s="71">
        <f>AH302+AI302+AJ302+AK302+AL302+AM302+AN302+AO302+AP302</f>
        <v>474239604</v>
      </c>
      <c r="AR302" s="511"/>
      <c r="AS302" s="78">
        <v>402628999.6832</v>
      </c>
      <c r="AT302" s="511">
        <v>85837792.436800003</v>
      </c>
      <c r="AU302" s="511"/>
      <c r="AV302" s="511"/>
      <c r="AW302" s="511"/>
      <c r="AX302" s="511"/>
      <c r="AY302" s="511"/>
      <c r="AZ302" s="511"/>
      <c r="BA302" s="511">
        <f>SUM(AR302:AZ302)</f>
        <v>488466792.12</v>
      </c>
      <c r="BB302" s="78"/>
      <c r="BC302" s="78">
        <f>402628999.6832*1.03</f>
        <v>414707869.67369604</v>
      </c>
      <c r="BD302" s="511">
        <f>85837792.4368*1.03</f>
        <v>88412926.209904</v>
      </c>
      <c r="BE302" s="78"/>
      <c r="BF302" s="78"/>
      <c r="BG302" s="78"/>
      <c r="BH302" s="78"/>
      <c r="BI302" s="78"/>
      <c r="BJ302" s="78"/>
      <c r="BK302" s="78">
        <f>SUM(BB302:BJ302)</f>
        <v>503120795.88360006</v>
      </c>
      <c r="BL302" s="603">
        <f>AG302+AQ302+BA302+BK302</f>
        <v>1926253992.0035999</v>
      </c>
    </row>
    <row r="303" spans="1:64" ht="67.5" customHeight="1" x14ac:dyDescent="0.2">
      <c r="A303" s="74">
        <v>202</v>
      </c>
      <c r="B303" s="56">
        <v>3</v>
      </c>
      <c r="C303" s="124"/>
      <c r="D303" s="124"/>
      <c r="E303" s="506"/>
      <c r="F303" s="517"/>
      <c r="G303" s="195"/>
      <c r="H303" s="195"/>
      <c r="I303" s="64">
        <v>203</v>
      </c>
      <c r="J303" s="60" t="s">
        <v>710</v>
      </c>
      <c r="K303" s="257" t="s">
        <v>711</v>
      </c>
      <c r="L303" s="61" t="s">
        <v>709</v>
      </c>
      <c r="M303" s="240">
        <v>4</v>
      </c>
      <c r="N303" s="100" t="s">
        <v>54</v>
      </c>
      <c r="O303" s="81">
        <v>20</v>
      </c>
      <c r="P303" s="81">
        <v>20</v>
      </c>
      <c r="Q303" s="187">
        <v>20</v>
      </c>
      <c r="R303" s="81">
        <v>20</v>
      </c>
      <c r="S303" s="81">
        <v>20</v>
      </c>
      <c r="T303" s="81">
        <v>20</v>
      </c>
      <c r="U303" s="252">
        <f>AG303/AG301</f>
        <v>0.28268664640940444</v>
      </c>
      <c r="V303" s="65">
        <v>3</v>
      </c>
      <c r="W303" s="62" t="s">
        <v>453</v>
      </c>
      <c r="X303" s="96"/>
      <c r="Y303" s="176">
        <v>3450000</v>
      </c>
      <c r="Z303" s="321">
        <f>100000000+78000000</f>
        <v>178000000</v>
      </c>
      <c r="AA303" s="96"/>
      <c r="AB303" s="96"/>
      <c r="AC303" s="96"/>
      <c r="AD303" s="96"/>
      <c r="AE303" s="96"/>
      <c r="AF303" s="96"/>
      <c r="AG303" s="69">
        <f>+X303+Y303+Z303+AA303+AB303+AC303+AD303+AE303+AF303</f>
        <v>181450000</v>
      </c>
      <c r="AH303" s="78"/>
      <c r="AI303" s="78">
        <f>3450000*1.03</f>
        <v>3553500</v>
      </c>
      <c r="AJ303" s="78">
        <f>178000000*1.03</f>
        <v>183340000</v>
      </c>
      <c r="AK303" s="78"/>
      <c r="AL303" s="78"/>
      <c r="AM303" s="78"/>
      <c r="AN303" s="78"/>
      <c r="AO303" s="78"/>
      <c r="AP303" s="78"/>
      <c r="AQ303" s="71">
        <f>AH303+AI303+AJ303+AK303+AL303+AM303+AN303+AO303+AP303</f>
        <v>186893500</v>
      </c>
      <c r="AR303" s="511"/>
      <c r="AS303" s="78">
        <v>3660105</v>
      </c>
      <c r="AT303" s="78">
        <v>188840200</v>
      </c>
      <c r="AU303" s="78"/>
      <c r="AV303" s="511"/>
      <c r="AW303" s="511"/>
      <c r="AX303" s="511"/>
      <c r="AY303" s="511"/>
      <c r="AZ303" s="511"/>
      <c r="BA303" s="511">
        <f>SUM(AR303:AZ303)</f>
        <v>192500305</v>
      </c>
      <c r="BB303" s="78"/>
      <c r="BC303" s="78">
        <f>3660105*1.03</f>
        <v>3769908.15</v>
      </c>
      <c r="BD303" s="78">
        <f>188840200*1.03</f>
        <v>194505406</v>
      </c>
      <c r="BE303" s="78"/>
      <c r="BF303" s="78"/>
      <c r="BG303" s="78"/>
      <c r="BH303" s="78"/>
      <c r="BI303" s="78"/>
      <c r="BJ303" s="78"/>
      <c r="BK303" s="78">
        <f>SUM(BB303:BJ303)</f>
        <v>198275314.15000001</v>
      </c>
      <c r="BL303" s="603">
        <f>AG303+AQ303+BA303+BK303</f>
        <v>759119119.14999998</v>
      </c>
    </row>
    <row r="304" spans="1:64" ht="24.75" customHeight="1" x14ac:dyDescent="0.2">
      <c r="A304" s="74"/>
      <c r="B304" s="56"/>
      <c r="C304" s="124"/>
      <c r="D304" s="124"/>
      <c r="E304" s="44">
        <v>69</v>
      </c>
      <c r="F304" s="45" t="s">
        <v>712</v>
      </c>
      <c r="G304" s="48"/>
      <c r="H304" s="48"/>
      <c r="I304" s="44"/>
      <c r="J304" s="45"/>
      <c r="K304" s="48"/>
      <c r="L304" s="47"/>
      <c r="M304" s="49"/>
      <c r="N304" s="50"/>
      <c r="O304" s="48"/>
      <c r="P304" s="48"/>
      <c r="Q304" s="51"/>
      <c r="R304" s="48"/>
      <c r="S304" s="48"/>
      <c r="T304" s="49"/>
      <c r="U304" s="125"/>
      <c r="V304" s="49"/>
      <c r="W304" s="49"/>
      <c r="X304" s="53">
        <f t="shared" ref="X304:AF304" si="452">SUM(X305)</f>
        <v>0</v>
      </c>
      <c r="Y304" s="53">
        <f t="shared" si="452"/>
        <v>0</v>
      </c>
      <c r="Z304" s="53">
        <f t="shared" si="452"/>
        <v>30000000</v>
      </c>
      <c r="AA304" s="53">
        <f t="shared" si="452"/>
        <v>0</v>
      </c>
      <c r="AB304" s="53">
        <f t="shared" si="452"/>
        <v>0</v>
      </c>
      <c r="AC304" s="53">
        <f t="shared" si="452"/>
        <v>0</v>
      </c>
      <c r="AD304" s="53">
        <f t="shared" si="452"/>
        <v>0</v>
      </c>
      <c r="AE304" s="53">
        <f t="shared" si="452"/>
        <v>0</v>
      </c>
      <c r="AF304" s="53">
        <f t="shared" si="452"/>
        <v>0</v>
      </c>
      <c r="AG304" s="54">
        <f>SUM(AG305)</f>
        <v>30000000</v>
      </c>
      <c r="AH304" s="53">
        <f t="shared" ref="AH304:AQ304" si="453">SUM(AH305)</f>
        <v>0</v>
      </c>
      <c r="AI304" s="53">
        <f t="shared" si="453"/>
        <v>0</v>
      </c>
      <c r="AJ304" s="53">
        <f t="shared" si="453"/>
        <v>30900000</v>
      </c>
      <c r="AK304" s="53">
        <f t="shared" si="453"/>
        <v>0</v>
      </c>
      <c r="AL304" s="53">
        <f t="shared" si="453"/>
        <v>0</v>
      </c>
      <c r="AM304" s="53">
        <f t="shared" si="453"/>
        <v>0</v>
      </c>
      <c r="AN304" s="53">
        <f t="shared" si="453"/>
        <v>0</v>
      </c>
      <c r="AO304" s="53">
        <f t="shared" si="453"/>
        <v>0</v>
      </c>
      <c r="AP304" s="53">
        <f t="shared" si="453"/>
        <v>0</v>
      </c>
      <c r="AQ304" s="53">
        <f t="shared" si="453"/>
        <v>30900000</v>
      </c>
      <c r="AR304" s="55"/>
      <c r="AS304" s="55"/>
      <c r="AT304" s="55"/>
      <c r="AU304" s="55"/>
      <c r="AV304" s="55"/>
      <c r="AW304" s="55"/>
      <c r="AX304" s="55"/>
      <c r="AY304" s="55"/>
      <c r="AZ304" s="55"/>
      <c r="BA304" s="53">
        <f t="shared" ref="BA304" si="454">SUM(BA305)</f>
        <v>31827000</v>
      </c>
      <c r="BB304" s="55"/>
      <c r="BC304" s="55"/>
      <c r="BD304" s="55"/>
      <c r="BE304" s="55"/>
      <c r="BF304" s="55"/>
      <c r="BG304" s="55"/>
      <c r="BH304" s="55"/>
      <c r="BI304" s="55"/>
      <c r="BJ304" s="55"/>
      <c r="BK304" s="53">
        <f t="shared" ref="BK304:BL304" si="455">SUM(BK305)</f>
        <v>32781810</v>
      </c>
      <c r="BL304" s="53">
        <f t="shared" si="455"/>
        <v>125508810</v>
      </c>
    </row>
    <row r="305" spans="1:64" ht="57.75" customHeight="1" x14ac:dyDescent="0.2">
      <c r="A305" s="56">
        <v>203</v>
      </c>
      <c r="B305" s="56">
        <v>3</v>
      </c>
      <c r="C305" s="124"/>
      <c r="D305" s="124"/>
      <c r="E305" s="81">
        <v>36</v>
      </c>
      <c r="F305" s="516" t="s">
        <v>706</v>
      </c>
      <c r="G305" s="448">
        <v>0.4</v>
      </c>
      <c r="H305" s="448">
        <v>0.6</v>
      </c>
      <c r="I305" s="64">
        <v>204</v>
      </c>
      <c r="J305" s="60" t="s">
        <v>713</v>
      </c>
      <c r="K305" s="257" t="s">
        <v>714</v>
      </c>
      <c r="L305" s="61" t="s">
        <v>709</v>
      </c>
      <c r="M305" s="240">
        <v>4</v>
      </c>
      <c r="N305" s="100" t="s">
        <v>54</v>
      </c>
      <c r="O305" s="81">
        <v>13</v>
      </c>
      <c r="P305" s="81">
        <v>13</v>
      </c>
      <c r="Q305" s="187">
        <v>13</v>
      </c>
      <c r="R305" s="81">
        <v>13</v>
      </c>
      <c r="S305" s="81">
        <v>13</v>
      </c>
      <c r="T305" s="81">
        <v>13</v>
      </c>
      <c r="U305" s="252">
        <f>AG305/AG304</f>
        <v>1</v>
      </c>
      <c r="V305" s="65">
        <v>3</v>
      </c>
      <c r="W305" s="62" t="s">
        <v>453</v>
      </c>
      <c r="X305" s="96"/>
      <c r="Y305" s="96"/>
      <c r="Z305" s="96">
        <v>30000000</v>
      </c>
      <c r="AA305" s="96"/>
      <c r="AB305" s="96"/>
      <c r="AC305" s="96"/>
      <c r="AD305" s="96"/>
      <c r="AE305" s="96"/>
      <c r="AF305" s="96"/>
      <c r="AG305" s="69">
        <f>+X305+Y305+Z305+AA305+AB305+AC305+AD305+AE305+AF305</f>
        <v>30000000</v>
      </c>
      <c r="AH305" s="78"/>
      <c r="AI305" s="78"/>
      <c r="AJ305" s="511">
        <v>30900000</v>
      </c>
      <c r="AK305" s="78"/>
      <c r="AL305" s="78"/>
      <c r="AM305" s="78"/>
      <c r="AN305" s="78"/>
      <c r="AO305" s="78"/>
      <c r="AP305" s="78"/>
      <c r="AQ305" s="71">
        <f>AH305+AI305+AJ305+AK305+AL305+AM305+AN305+AO305+AP305</f>
        <v>30900000</v>
      </c>
      <c r="AR305" s="511"/>
      <c r="AS305" s="511"/>
      <c r="AT305" s="511">
        <v>31827000</v>
      </c>
      <c r="AU305" s="511"/>
      <c r="AV305" s="511"/>
      <c r="AW305" s="511"/>
      <c r="AX305" s="511"/>
      <c r="AY305" s="511"/>
      <c r="AZ305" s="511"/>
      <c r="BA305" s="511">
        <f>SUM(AR305:AZ305)</f>
        <v>31827000</v>
      </c>
      <c r="BB305" s="78"/>
      <c r="BC305" s="78"/>
      <c r="BD305" s="78">
        <v>32781810</v>
      </c>
      <c r="BE305" s="78"/>
      <c r="BF305" s="78"/>
      <c r="BG305" s="78"/>
      <c r="BH305" s="78"/>
      <c r="BI305" s="78"/>
      <c r="BJ305" s="78"/>
      <c r="BK305" s="78">
        <f>SUM(BB305:BJ305)</f>
        <v>32781810</v>
      </c>
      <c r="BL305" s="603">
        <f>AG305+AQ305+BA305+BK305</f>
        <v>125508810</v>
      </c>
    </row>
    <row r="306" spans="1:64" ht="24.75" customHeight="1" x14ac:dyDescent="0.2">
      <c r="A306" s="56"/>
      <c r="B306" s="56"/>
      <c r="C306" s="124"/>
      <c r="D306" s="124"/>
      <c r="E306" s="44">
        <v>70</v>
      </c>
      <c r="F306" s="175" t="s">
        <v>715</v>
      </c>
      <c r="G306" s="84"/>
      <c r="H306" s="84"/>
      <c r="I306" s="47"/>
      <c r="J306" s="84"/>
      <c r="K306" s="84"/>
      <c r="L306" s="47"/>
      <c r="M306" s="47"/>
      <c r="N306" s="85"/>
      <c r="O306" s="84"/>
      <c r="P306" s="84"/>
      <c r="Q306" s="86"/>
      <c r="R306" s="84"/>
      <c r="S306" s="84"/>
      <c r="T306" s="47"/>
      <c r="U306" s="87"/>
      <c r="V306" s="47"/>
      <c r="W306" s="47"/>
      <c r="X306" s="89">
        <f t="shared" ref="X306:AF306" si="456">SUM(X307)</f>
        <v>0</v>
      </c>
      <c r="Y306" s="89">
        <f t="shared" si="456"/>
        <v>0</v>
      </c>
      <c r="Z306" s="89">
        <f t="shared" si="456"/>
        <v>41876799.640000001</v>
      </c>
      <c r="AA306" s="89">
        <f t="shared" si="456"/>
        <v>0</v>
      </c>
      <c r="AB306" s="89">
        <f t="shared" si="456"/>
        <v>0</v>
      </c>
      <c r="AC306" s="89">
        <f t="shared" si="456"/>
        <v>0</v>
      </c>
      <c r="AD306" s="89">
        <f t="shared" si="456"/>
        <v>0</v>
      </c>
      <c r="AE306" s="89">
        <f t="shared" si="456"/>
        <v>0</v>
      </c>
      <c r="AF306" s="89">
        <f t="shared" si="456"/>
        <v>0</v>
      </c>
      <c r="AG306" s="89">
        <f>SUM(AG307)</f>
        <v>41876799.640000001</v>
      </c>
      <c r="AH306" s="89">
        <f t="shared" ref="AH306:AQ306" si="457">SUM(AH307)</f>
        <v>0</v>
      </c>
      <c r="AI306" s="89">
        <f t="shared" si="457"/>
        <v>0</v>
      </c>
      <c r="AJ306" s="89">
        <f t="shared" si="457"/>
        <v>43133103.629199989</v>
      </c>
      <c r="AK306" s="89">
        <f t="shared" si="457"/>
        <v>0</v>
      </c>
      <c r="AL306" s="89">
        <f t="shared" si="457"/>
        <v>0</v>
      </c>
      <c r="AM306" s="89">
        <f t="shared" si="457"/>
        <v>0</v>
      </c>
      <c r="AN306" s="89">
        <f t="shared" si="457"/>
        <v>0</v>
      </c>
      <c r="AO306" s="89">
        <f t="shared" si="457"/>
        <v>0</v>
      </c>
      <c r="AP306" s="89">
        <f t="shared" si="457"/>
        <v>0</v>
      </c>
      <c r="AQ306" s="89">
        <f t="shared" si="457"/>
        <v>43133103.629199989</v>
      </c>
      <c r="AR306" s="90"/>
      <c r="AS306" s="90"/>
      <c r="AT306" s="90"/>
      <c r="AU306" s="90"/>
      <c r="AV306" s="90"/>
      <c r="AW306" s="90"/>
      <c r="AX306" s="90"/>
      <c r="AY306" s="90"/>
      <c r="AZ306" s="90"/>
      <c r="BA306" s="89">
        <f t="shared" ref="BA306" si="458">SUM(BA307)</f>
        <v>44427096.738075987</v>
      </c>
      <c r="BB306" s="55"/>
      <c r="BC306" s="55"/>
      <c r="BD306" s="55"/>
      <c r="BE306" s="55"/>
      <c r="BF306" s="55"/>
      <c r="BG306" s="55"/>
      <c r="BH306" s="55"/>
      <c r="BI306" s="55"/>
      <c r="BJ306" s="55"/>
      <c r="BK306" s="89">
        <f t="shared" ref="BK306:BL306" si="459">SUM(BK307)</f>
        <v>45759909.640218265</v>
      </c>
      <c r="BL306" s="607">
        <f t="shared" si="459"/>
        <v>175196909.64749426</v>
      </c>
    </row>
    <row r="307" spans="1:64" ht="152.25" customHeight="1" x14ac:dyDescent="0.2">
      <c r="A307" s="74">
        <v>204</v>
      </c>
      <c r="B307" s="56">
        <v>3</v>
      </c>
      <c r="C307" s="124"/>
      <c r="D307" s="124"/>
      <c r="E307" s="81">
        <v>36</v>
      </c>
      <c r="F307" s="516" t="s">
        <v>706</v>
      </c>
      <c r="G307" s="448">
        <v>0.4</v>
      </c>
      <c r="H307" s="448">
        <v>0.6</v>
      </c>
      <c r="I307" s="64">
        <v>205</v>
      </c>
      <c r="J307" s="60" t="s">
        <v>716</v>
      </c>
      <c r="K307" s="257" t="s">
        <v>717</v>
      </c>
      <c r="L307" s="61" t="s">
        <v>709</v>
      </c>
      <c r="M307" s="240">
        <v>4</v>
      </c>
      <c r="N307" s="100" t="s">
        <v>69</v>
      </c>
      <c r="O307" s="81">
        <v>4</v>
      </c>
      <c r="P307" s="81">
        <v>4</v>
      </c>
      <c r="Q307" s="187">
        <v>1</v>
      </c>
      <c r="R307" s="81">
        <v>1</v>
      </c>
      <c r="S307" s="81">
        <v>1</v>
      </c>
      <c r="T307" s="81">
        <v>1</v>
      </c>
      <c r="U307" s="252">
        <f>AG307/AG306</f>
        <v>1</v>
      </c>
      <c r="V307" s="65">
        <v>10</v>
      </c>
      <c r="W307" s="62" t="s">
        <v>386</v>
      </c>
      <c r="X307" s="96"/>
      <c r="Y307" s="96"/>
      <c r="Z307" s="96">
        <v>41876799.640000001</v>
      </c>
      <c r="AA307" s="96"/>
      <c r="AB307" s="96"/>
      <c r="AC307" s="96"/>
      <c r="AD307" s="96"/>
      <c r="AE307" s="96"/>
      <c r="AF307" s="96"/>
      <c r="AG307" s="69">
        <f>+X307+Y307+Z307+AA307+AB307+AC307+AD307+AE307+AF307</f>
        <v>41876799.640000001</v>
      </c>
      <c r="AH307" s="78"/>
      <c r="AI307" s="78"/>
      <c r="AJ307" s="511">
        <v>43133103.629199989</v>
      </c>
      <c r="AK307" s="78"/>
      <c r="AL307" s="78"/>
      <c r="AM307" s="78"/>
      <c r="AN307" s="78"/>
      <c r="AO307" s="78"/>
      <c r="AP307" s="78"/>
      <c r="AQ307" s="71">
        <f>AH307+AI307+AJ307+AK307+AL307+AM307+AN307+AO307+AP307</f>
        <v>43133103.629199989</v>
      </c>
      <c r="AR307" s="511"/>
      <c r="AS307" s="511"/>
      <c r="AT307" s="511">
        <v>44427096.738075987</v>
      </c>
      <c r="AU307" s="511"/>
      <c r="AV307" s="511"/>
      <c r="AW307" s="511"/>
      <c r="AX307" s="511"/>
      <c r="AY307" s="511"/>
      <c r="AZ307" s="511"/>
      <c r="BA307" s="511">
        <f>SUM(AR307:AZ307)</f>
        <v>44427096.738075987</v>
      </c>
      <c r="BB307" s="322"/>
      <c r="BC307" s="78"/>
      <c r="BD307" s="78">
        <v>45759909.640218265</v>
      </c>
      <c r="BE307" s="78"/>
      <c r="BF307" s="78"/>
      <c r="BG307" s="78"/>
      <c r="BH307" s="78"/>
      <c r="BI307" s="78"/>
      <c r="BJ307" s="78"/>
      <c r="BK307" s="78">
        <f>SUM(BB307:BJ307)</f>
        <v>45759909.640218265</v>
      </c>
      <c r="BL307" s="603">
        <f>AG307+AQ307+BA307+BK307</f>
        <v>175196909.64749426</v>
      </c>
    </row>
    <row r="308" spans="1:64" ht="24.75" customHeight="1" x14ac:dyDescent="0.2">
      <c r="A308" s="74"/>
      <c r="B308" s="56"/>
      <c r="C308" s="124"/>
      <c r="D308" s="124"/>
      <c r="E308" s="44">
        <v>71</v>
      </c>
      <c r="F308" s="45" t="s">
        <v>718</v>
      </c>
      <c r="G308" s="48"/>
      <c r="H308" s="48"/>
      <c r="I308" s="47"/>
      <c r="J308" s="48"/>
      <c r="K308" s="48"/>
      <c r="L308" s="47"/>
      <c r="M308" s="49"/>
      <c r="N308" s="50"/>
      <c r="O308" s="48"/>
      <c r="P308" s="48"/>
      <c r="Q308" s="51"/>
      <c r="R308" s="48"/>
      <c r="S308" s="48"/>
      <c r="T308" s="49"/>
      <c r="U308" s="125"/>
      <c r="V308" s="49"/>
      <c r="W308" s="49"/>
      <c r="X308" s="53">
        <f t="shared" ref="X308:AF308" si="460">SUM(X309:X311)</f>
        <v>0</v>
      </c>
      <c r="Y308" s="53">
        <f t="shared" si="460"/>
        <v>0</v>
      </c>
      <c r="Z308" s="53">
        <f t="shared" si="460"/>
        <v>30000000</v>
      </c>
      <c r="AA308" s="53">
        <f t="shared" si="460"/>
        <v>0</v>
      </c>
      <c r="AB308" s="53">
        <f t="shared" si="460"/>
        <v>0</v>
      </c>
      <c r="AC308" s="53">
        <f t="shared" si="460"/>
        <v>0</v>
      </c>
      <c r="AD308" s="53">
        <f t="shared" si="460"/>
        <v>0</v>
      </c>
      <c r="AE308" s="53">
        <f t="shared" si="460"/>
        <v>0</v>
      </c>
      <c r="AF308" s="53">
        <f t="shared" si="460"/>
        <v>0</v>
      </c>
      <c r="AG308" s="54">
        <f>SUM(AG309:AG311)</f>
        <v>30000000</v>
      </c>
      <c r="AH308" s="53">
        <f t="shared" ref="AH308:AQ308" si="461">SUM(AH309:AH311)</f>
        <v>0</v>
      </c>
      <c r="AI308" s="53">
        <f t="shared" si="461"/>
        <v>0</v>
      </c>
      <c r="AJ308" s="53">
        <f t="shared" si="461"/>
        <v>30900000</v>
      </c>
      <c r="AK308" s="53">
        <f t="shared" si="461"/>
        <v>0</v>
      </c>
      <c r="AL308" s="53">
        <f t="shared" si="461"/>
        <v>0</v>
      </c>
      <c r="AM308" s="53">
        <f t="shared" si="461"/>
        <v>0</v>
      </c>
      <c r="AN308" s="53">
        <f t="shared" si="461"/>
        <v>0</v>
      </c>
      <c r="AO308" s="53">
        <f t="shared" si="461"/>
        <v>0</v>
      </c>
      <c r="AP308" s="53">
        <f t="shared" si="461"/>
        <v>0</v>
      </c>
      <c r="AQ308" s="53">
        <f t="shared" si="461"/>
        <v>30900000</v>
      </c>
      <c r="AR308" s="55"/>
      <c r="AS308" s="55"/>
      <c r="AT308" s="55"/>
      <c r="AU308" s="55"/>
      <c r="AV308" s="55"/>
      <c r="AW308" s="55"/>
      <c r="AX308" s="55"/>
      <c r="AY308" s="55"/>
      <c r="AZ308" s="55"/>
      <c r="BA308" s="53">
        <f t="shared" ref="BA308" si="462">SUM(BA309:BA311)</f>
        <v>31827000</v>
      </c>
      <c r="BB308" s="55"/>
      <c r="BC308" s="55"/>
      <c r="BD308" s="55"/>
      <c r="BE308" s="55"/>
      <c r="BF308" s="55"/>
      <c r="BG308" s="55"/>
      <c r="BH308" s="55"/>
      <c r="BI308" s="55"/>
      <c r="BJ308" s="55"/>
      <c r="BK308" s="53">
        <f t="shared" ref="BK308:BL308" si="463">SUM(BK309:BK311)</f>
        <v>32781810</v>
      </c>
      <c r="BL308" s="53">
        <f t="shared" si="463"/>
        <v>125508810</v>
      </c>
    </row>
    <row r="309" spans="1:64" ht="96" customHeight="1" x14ac:dyDescent="0.2">
      <c r="A309" s="56">
        <v>205</v>
      </c>
      <c r="B309" s="56">
        <v>3</v>
      </c>
      <c r="C309" s="124"/>
      <c r="D309" s="124"/>
      <c r="E309" s="510">
        <v>36</v>
      </c>
      <c r="F309" s="516" t="s">
        <v>706</v>
      </c>
      <c r="G309" s="448">
        <v>0.4</v>
      </c>
      <c r="H309" s="448">
        <v>0.6</v>
      </c>
      <c r="I309" s="64">
        <v>206</v>
      </c>
      <c r="J309" s="60" t="s">
        <v>719</v>
      </c>
      <c r="K309" s="257" t="s">
        <v>720</v>
      </c>
      <c r="L309" s="61" t="s">
        <v>709</v>
      </c>
      <c r="M309" s="240">
        <v>4</v>
      </c>
      <c r="N309" s="100" t="s">
        <v>54</v>
      </c>
      <c r="O309" s="81">
        <v>12</v>
      </c>
      <c r="P309" s="81">
        <v>12</v>
      </c>
      <c r="Q309" s="187">
        <v>12</v>
      </c>
      <c r="R309" s="81">
        <v>12</v>
      </c>
      <c r="S309" s="81">
        <v>12</v>
      </c>
      <c r="T309" s="81">
        <v>12</v>
      </c>
      <c r="U309" s="211">
        <f>AG309/$AG$308</f>
        <v>0.28999999999999998</v>
      </c>
      <c r="V309" s="65">
        <v>10</v>
      </c>
      <c r="W309" s="62" t="s">
        <v>386</v>
      </c>
      <c r="X309" s="176"/>
      <c r="Y309" s="176"/>
      <c r="Z309" s="96">
        <v>8700000</v>
      </c>
      <c r="AA309" s="96"/>
      <c r="AB309" s="176"/>
      <c r="AC309" s="176"/>
      <c r="AD309" s="176"/>
      <c r="AE309" s="176"/>
      <c r="AF309" s="176"/>
      <c r="AG309" s="69">
        <f>+X309+Y309+Z309+AA309+AB309+AC309+AD309+AE309+AF309</f>
        <v>8700000</v>
      </c>
      <c r="AH309" s="78"/>
      <c r="AI309" s="78"/>
      <c r="AJ309" s="511">
        <v>5665000</v>
      </c>
      <c r="AK309" s="78"/>
      <c r="AL309" s="78"/>
      <c r="AM309" s="78"/>
      <c r="AN309" s="78"/>
      <c r="AO309" s="78"/>
      <c r="AP309" s="78"/>
      <c r="AQ309" s="71">
        <f>AH309+AI309+AJ309+AK309+AL309+AM309+AN309+AO309+AP309</f>
        <v>5665000</v>
      </c>
      <c r="AR309" s="511"/>
      <c r="AS309" s="511"/>
      <c r="AT309" s="511">
        <v>9200000</v>
      </c>
      <c r="AU309" s="511"/>
      <c r="AV309" s="511"/>
      <c r="AW309" s="511"/>
      <c r="AX309" s="511"/>
      <c r="AY309" s="511"/>
      <c r="AZ309" s="511"/>
      <c r="BA309" s="511">
        <f>SUM(AR309:AZ309)</f>
        <v>9200000</v>
      </c>
      <c r="BB309" s="78"/>
      <c r="BC309" s="78"/>
      <c r="BD309" s="78">
        <v>6000000</v>
      </c>
      <c r="BE309" s="78"/>
      <c r="BF309" s="78"/>
      <c r="BG309" s="78"/>
      <c r="BH309" s="78"/>
      <c r="BI309" s="78"/>
      <c r="BJ309" s="78"/>
      <c r="BK309" s="78">
        <f>SUM(BB309:BJ309)</f>
        <v>6000000</v>
      </c>
      <c r="BL309" s="603">
        <f>AG309+AQ309+BA309+BK309</f>
        <v>29565000</v>
      </c>
    </row>
    <row r="310" spans="1:64" ht="57.75" customHeight="1" x14ac:dyDescent="0.2">
      <c r="A310" s="74">
        <v>206</v>
      </c>
      <c r="B310" s="56">
        <v>3</v>
      </c>
      <c r="C310" s="124"/>
      <c r="D310" s="124"/>
      <c r="E310" s="79"/>
      <c r="F310" s="107"/>
      <c r="G310" s="323"/>
      <c r="H310" s="323"/>
      <c r="I310" s="64">
        <v>207</v>
      </c>
      <c r="J310" s="60" t="s">
        <v>721</v>
      </c>
      <c r="K310" s="257" t="s">
        <v>722</v>
      </c>
      <c r="L310" s="61" t="s">
        <v>709</v>
      </c>
      <c r="M310" s="240">
        <v>4</v>
      </c>
      <c r="N310" s="100" t="s">
        <v>69</v>
      </c>
      <c r="O310" s="81">
        <v>4</v>
      </c>
      <c r="P310" s="81">
        <v>4</v>
      </c>
      <c r="Q310" s="187">
        <v>1</v>
      </c>
      <c r="R310" s="81">
        <v>1</v>
      </c>
      <c r="S310" s="81">
        <v>1</v>
      </c>
      <c r="T310" s="81">
        <v>1</v>
      </c>
      <c r="U310" s="211">
        <f>AG310/$AG$308</f>
        <v>0.54333333333333333</v>
      </c>
      <c r="V310" s="65">
        <v>3</v>
      </c>
      <c r="W310" s="62" t="s">
        <v>453</v>
      </c>
      <c r="X310" s="176"/>
      <c r="Y310" s="176"/>
      <c r="Z310" s="96">
        <v>16300000</v>
      </c>
      <c r="AA310" s="96"/>
      <c r="AB310" s="176"/>
      <c r="AC310" s="176"/>
      <c r="AD310" s="176"/>
      <c r="AE310" s="176"/>
      <c r="AF310" s="176"/>
      <c r="AG310" s="69">
        <f>+X310+Y310+Z310+AA310+AB310+AC310+AD310+AE310+AF310</f>
        <v>16300000</v>
      </c>
      <c r="AH310" s="78"/>
      <c r="AI310" s="78"/>
      <c r="AJ310" s="511">
        <v>20085000</v>
      </c>
      <c r="AK310" s="78"/>
      <c r="AL310" s="78"/>
      <c r="AM310" s="78"/>
      <c r="AN310" s="78"/>
      <c r="AO310" s="78"/>
      <c r="AP310" s="78"/>
      <c r="AQ310" s="71">
        <f>AH310+AI310+AJ310+AK310+AL310+AM310+AN310+AO310+AP310</f>
        <v>20085000</v>
      </c>
      <c r="AR310" s="511"/>
      <c r="AS310" s="511"/>
      <c r="AT310" s="511">
        <v>17250000</v>
      </c>
      <c r="AU310" s="511"/>
      <c r="AV310" s="511"/>
      <c r="AW310" s="511"/>
      <c r="AX310" s="511"/>
      <c r="AY310" s="511"/>
      <c r="AZ310" s="511"/>
      <c r="BA310" s="511">
        <f>SUM(AR310:AZ310)</f>
        <v>17250000</v>
      </c>
      <c r="BB310" s="78"/>
      <c r="BC310" s="78"/>
      <c r="BD310" s="78">
        <v>21300000</v>
      </c>
      <c r="BE310" s="78"/>
      <c r="BF310" s="78"/>
      <c r="BG310" s="78"/>
      <c r="BH310" s="78"/>
      <c r="BI310" s="78"/>
      <c r="BJ310" s="78"/>
      <c r="BK310" s="78">
        <f>SUM(BB310:BJ310)</f>
        <v>21300000</v>
      </c>
      <c r="BL310" s="603">
        <f>AG310+AQ310+BA310+BK310</f>
        <v>74935000</v>
      </c>
    </row>
    <row r="311" spans="1:64" ht="95.25" customHeight="1" x14ac:dyDescent="0.2">
      <c r="A311" s="56">
        <v>207</v>
      </c>
      <c r="B311" s="56">
        <v>3</v>
      </c>
      <c r="C311" s="124"/>
      <c r="D311" s="183"/>
      <c r="E311" s="506"/>
      <c r="F311" s="517"/>
      <c r="G311" s="195"/>
      <c r="H311" s="195"/>
      <c r="I311" s="64">
        <v>208</v>
      </c>
      <c r="J311" s="60" t="s">
        <v>723</v>
      </c>
      <c r="K311" s="257" t="s">
        <v>724</v>
      </c>
      <c r="L311" s="61" t="s">
        <v>709</v>
      </c>
      <c r="M311" s="240">
        <v>4</v>
      </c>
      <c r="N311" s="100" t="s">
        <v>54</v>
      </c>
      <c r="O311" s="81">
        <v>1</v>
      </c>
      <c r="P311" s="81">
        <v>1</v>
      </c>
      <c r="Q311" s="187">
        <v>1</v>
      </c>
      <c r="R311" s="81">
        <v>1</v>
      </c>
      <c r="S311" s="81">
        <v>1</v>
      </c>
      <c r="T311" s="81">
        <v>1</v>
      </c>
      <c r="U311" s="211">
        <f>AG311/$AG$308</f>
        <v>0.16666666666666666</v>
      </c>
      <c r="V311" s="65">
        <v>10</v>
      </c>
      <c r="W311" s="62" t="s">
        <v>386</v>
      </c>
      <c r="X311" s="176"/>
      <c r="Y311" s="176"/>
      <c r="Z311" s="96">
        <v>5000000</v>
      </c>
      <c r="AA311" s="96"/>
      <c r="AB311" s="176"/>
      <c r="AC311" s="176"/>
      <c r="AD311" s="176"/>
      <c r="AE311" s="176"/>
      <c r="AF311" s="176"/>
      <c r="AG311" s="69">
        <f>+X311+Y311+Z311+AA311+AB311+AC311+AD311+AE311+AF311</f>
        <v>5000000</v>
      </c>
      <c r="AH311" s="78"/>
      <c r="AI311" s="78"/>
      <c r="AJ311" s="511">
        <v>5150000</v>
      </c>
      <c r="AK311" s="78"/>
      <c r="AL311" s="78"/>
      <c r="AM311" s="78"/>
      <c r="AN311" s="78"/>
      <c r="AO311" s="78"/>
      <c r="AP311" s="78"/>
      <c r="AQ311" s="71">
        <f>AH311+AI311+AJ311+AK311+AL311+AM311+AN311+AO311+AP311</f>
        <v>5150000</v>
      </c>
      <c r="AR311" s="511"/>
      <c r="AS311" s="511"/>
      <c r="AT311" s="511">
        <v>5377000</v>
      </c>
      <c r="AU311" s="511"/>
      <c r="AV311" s="511"/>
      <c r="AW311" s="511"/>
      <c r="AX311" s="511"/>
      <c r="AY311" s="511"/>
      <c r="AZ311" s="511"/>
      <c r="BA311" s="511">
        <f>SUM(AR311:AZ311)</f>
        <v>5377000</v>
      </c>
      <c r="BB311" s="78"/>
      <c r="BC311" s="78"/>
      <c r="BD311" s="78">
        <v>5481810</v>
      </c>
      <c r="BE311" s="78"/>
      <c r="BF311" s="78"/>
      <c r="BG311" s="78"/>
      <c r="BH311" s="78"/>
      <c r="BI311" s="78"/>
      <c r="BJ311" s="78"/>
      <c r="BK311" s="78">
        <f>SUM(BB311:BJ311)</f>
        <v>5481810</v>
      </c>
      <c r="BL311" s="603">
        <f>AG311+AQ311+BA311+BK311</f>
        <v>21008810</v>
      </c>
    </row>
    <row r="312" spans="1:64" ht="24.75" customHeight="1" x14ac:dyDescent="0.2">
      <c r="A312" s="56"/>
      <c r="B312" s="56"/>
      <c r="C312" s="124"/>
      <c r="D312" s="30">
        <v>21</v>
      </c>
      <c r="E312" s="122" t="s">
        <v>725</v>
      </c>
      <c r="F312" s="32"/>
      <c r="G312" s="33"/>
      <c r="H312" s="32"/>
      <c r="I312" s="34"/>
      <c r="J312" s="35"/>
      <c r="K312" s="35"/>
      <c r="L312" s="36"/>
      <c r="M312" s="34"/>
      <c r="N312" s="37"/>
      <c r="O312" s="35"/>
      <c r="P312" s="35"/>
      <c r="Q312" s="38"/>
      <c r="R312" s="35"/>
      <c r="S312" s="35"/>
      <c r="T312" s="34"/>
      <c r="U312" s="123"/>
      <c r="V312" s="34"/>
      <c r="W312" s="34"/>
      <c r="X312" s="40">
        <f t="shared" ref="X312:AF312" si="464">X313+X317</f>
        <v>0</v>
      </c>
      <c r="Y312" s="40">
        <f t="shared" si="464"/>
        <v>0</v>
      </c>
      <c r="Z312" s="40">
        <f t="shared" si="464"/>
        <v>201923416</v>
      </c>
      <c r="AA312" s="40">
        <f t="shared" si="464"/>
        <v>0</v>
      </c>
      <c r="AB312" s="40">
        <f t="shared" si="464"/>
        <v>0</v>
      </c>
      <c r="AC312" s="40">
        <f t="shared" si="464"/>
        <v>0</v>
      </c>
      <c r="AD312" s="40">
        <f t="shared" si="464"/>
        <v>0</v>
      </c>
      <c r="AE312" s="40">
        <f t="shared" si="464"/>
        <v>0</v>
      </c>
      <c r="AF312" s="40">
        <f t="shared" si="464"/>
        <v>0</v>
      </c>
      <c r="AG312" s="41">
        <f>AG313+AG317</f>
        <v>201923416</v>
      </c>
      <c r="AH312" s="40">
        <f t="shared" ref="AH312:AQ312" si="465">AH313+AH317</f>
        <v>0</v>
      </c>
      <c r="AI312" s="40">
        <f t="shared" si="465"/>
        <v>0</v>
      </c>
      <c r="AJ312" s="40">
        <f t="shared" si="465"/>
        <v>207981118.48000002</v>
      </c>
      <c r="AK312" s="40">
        <f t="shared" si="465"/>
        <v>0</v>
      </c>
      <c r="AL312" s="40">
        <f t="shared" si="465"/>
        <v>0</v>
      </c>
      <c r="AM312" s="40">
        <f t="shared" si="465"/>
        <v>0</v>
      </c>
      <c r="AN312" s="40">
        <f t="shared" si="465"/>
        <v>0</v>
      </c>
      <c r="AO312" s="40">
        <f t="shared" si="465"/>
        <v>0</v>
      </c>
      <c r="AP312" s="40">
        <f t="shared" si="465"/>
        <v>0</v>
      </c>
      <c r="AQ312" s="40">
        <f t="shared" si="465"/>
        <v>207981118.48000002</v>
      </c>
      <c r="AR312" s="42"/>
      <c r="AS312" s="42"/>
      <c r="AT312" s="42"/>
      <c r="AU312" s="42"/>
      <c r="AV312" s="42"/>
      <c r="AW312" s="42"/>
      <c r="AX312" s="42"/>
      <c r="AY312" s="42"/>
      <c r="AZ312" s="42"/>
      <c r="BA312" s="40">
        <f t="shared" ref="BA312" si="466">BA313+BA317</f>
        <v>214220552.03439999</v>
      </c>
      <c r="BB312" s="42"/>
      <c r="BC312" s="42"/>
      <c r="BD312" s="42"/>
      <c r="BE312" s="42"/>
      <c r="BF312" s="42"/>
      <c r="BG312" s="42"/>
      <c r="BH312" s="42"/>
      <c r="BI312" s="42"/>
      <c r="BJ312" s="42"/>
      <c r="BK312" s="40">
        <f t="shared" ref="BK312" si="467">BK313+BK317</f>
        <v>220647168.59543198</v>
      </c>
      <c r="BL312" s="40">
        <f t="shared" ref="BL312" si="468">BL313+BL317</f>
        <v>844772255.10983205</v>
      </c>
    </row>
    <row r="313" spans="1:64" ht="24.75" customHeight="1" x14ac:dyDescent="0.2">
      <c r="A313" s="56"/>
      <c r="B313" s="56"/>
      <c r="C313" s="124"/>
      <c r="D313" s="417"/>
      <c r="E313" s="44">
        <v>72</v>
      </c>
      <c r="F313" s="45" t="s">
        <v>726</v>
      </c>
      <c r="G313" s="48"/>
      <c r="H313" s="48"/>
      <c r="I313" s="47"/>
      <c r="J313" s="48"/>
      <c r="K313" s="48"/>
      <c r="L313" s="47"/>
      <c r="M313" s="49"/>
      <c r="N313" s="50"/>
      <c r="O313" s="48"/>
      <c r="P313" s="48"/>
      <c r="Q313" s="51"/>
      <c r="R313" s="48"/>
      <c r="S313" s="48"/>
      <c r="T313" s="49"/>
      <c r="U313" s="125"/>
      <c r="V313" s="49"/>
      <c r="W313" s="49"/>
      <c r="X313" s="53">
        <f t="shared" ref="X313:AF313" si="469">SUM(X314:X316)</f>
        <v>0</v>
      </c>
      <c r="Y313" s="53">
        <f t="shared" si="469"/>
        <v>0</v>
      </c>
      <c r="Z313" s="53">
        <f t="shared" si="469"/>
        <v>130000000</v>
      </c>
      <c r="AA313" s="53">
        <f t="shared" si="469"/>
        <v>0</v>
      </c>
      <c r="AB313" s="53">
        <f t="shared" si="469"/>
        <v>0</v>
      </c>
      <c r="AC313" s="53">
        <f t="shared" si="469"/>
        <v>0</v>
      </c>
      <c r="AD313" s="53">
        <f t="shared" si="469"/>
        <v>0</v>
      </c>
      <c r="AE313" s="53">
        <f t="shared" si="469"/>
        <v>0</v>
      </c>
      <c r="AF313" s="53">
        <f t="shared" si="469"/>
        <v>0</v>
      </c>
      <c r="AG313" s="54">
        <f>SUM(AG314:AG316)</f>
        <v>130000000</v>
      </c>
      <c r="AH313" s="53">
        <f t="shared" ref="AH313:AQ313" si="470">SUM(AH314:AH316)</f>
        <v>0</v>
      </c>
      <c r="AI313" s="53">
        <f t="shared" si="470"/>
        <v>0</v>
      </c>
      <c r="AJ313" s="53">
        <f t="shared" si="470"/>
        <v>133900000</v>
      </c>
      <c r="AK313" s="53">
        <f t="shared" si="470"/>
        <v>0</v>
      </c>
      <c r="AL313" s="53">
        <f t="shared" si="470"/>
        <v>0</v>
      </c>
      <c r="AM313" s="53">
        <f t="shared" si="470"/>
        <v>0</v>
      </c>
      <c r="AN313" s="53">
        <f t="shared" si="470"/>
        <v>0</v>
      </c>
      <c r="AO313" s="53">
        <f t="shared" si="470"/>
        <v>0</v>
      </c>
      <c r="AP313" s="53">
        <f t="shared" si="470"/>
        <v>0</v>
      </c>
      <c r="AQ313" s="53">
        <f t="shared" si="470"/>
        <v>133900000</v>
      </c>
      <c r="AR313" s="55"/>
      <c r="AS313" s="55"/>
      <c r="AT313" s="55"/>
      <c r="AU313" s="55"/>
      <c r="AV313" s="55"/>
      <c r="AW313" s="55"/>
      <c r="AX313" s="55"/>
      <c r="AY313" s="55"/>
      <c r="AZ313" s="55"/>
      <c r="BA313" s="53">
        <f t="shared" ref="BA313" si="471">SUM(BA314:BA316)</f>
        <v>137917000</v>
      </c>
      <c r="BB313" s="55"/>
      <c r="BC313" s="55"/>
      <c r="BD313" s="55"/>
      <c r="BE313" s="55"/>
      <c r="BF313" s="55"/>
      <c r="BG313" s="55"/>
      <c r="BH313" s="55"/>
      <c r="BI313" s="55"/>
      <c r="BJ313" s="55"/>
      <c r="BK313" s="53">
        <f t="shared" ref="BK313" si="472">SUM(BK314:BK316)</f>
        <v>142054510</v>
      </c>
      <c r="BL313" s="53">
        <f t="shared" ref="BL313" si="473">SUM(BL314:BL316)</f>
        <v>543871510</v>
      </c>
    </row>
    <row r="314" spans="1:64" ht="56.25" customHeight="1" x14ac:dyDescent="0.2">
      <c r="A314" s="74">
        <v>208</v>
      </c>
      <c r="B314" s="56">
        <v>3</v>
      </c>
      <c r="C314" s="124"/>
      <c r="D314" s="124"/>
      <c r="E314" s="510">
        <v>36</v>
      </c>
      <c r="F314" s="516" t="s">
        <v>706</v>
      </c>
      <c r="G314" s="448">
        <v>0.4</v>
      </c>
      <c r="H314" s="448">
        <v>0.6</v>
      </c>
      <c r="I314" s="64">
        <v>209</v>
      </c>
      <c r="J314" s="60" t="s">
        <v>727</v>
      </c>
      <c r="K314" s="257" t="s">
        <v>728</v>
      </c>
      <c r="L314" s="61" t="s">
        <v>709</v>
      </c>
      <c r="M314" s="240">
        <v>4</v>
      </c>
      <c r="N314" s="100" t="s">
        <v>54</v>
      </c>
      <c r="O314" s="81">
        <v>1</v>
      </c>
      <c r="P314" s="81">
        <v>1</v>
      </c>
      <c r="Q314" s="187">
        <v>1</v>
      </c>
      <c r="R314" s="81">
        <v>1</v>
      </c>
      <c r="S314" s="81">
        <v>1</v>
      </c>
      <c r="T314" s="81">
        <v>1</v>
      </c>
      <c r="U314" s="252">
        <f>AG314/$AG$313</f>
        <v>0.14246153846153847</v>
      </c>
      <c r="V314" s="65">
        <v>3</v>
      </c>
      <c r="W314" s="62" t="s">
        <v>453</v>
      </c>
      <c r="X314" s="96"/>
      <c r="Y314" s="96"/>
      <c r="Z314" s="96">
        <v>18520000</v>
      </c>
      <c r="AA314" s="96"/>
      <c r="AB314" s="96"/>
      <c r="AC314" s="96"/>
      <c r="AD314" s="96"/>
      <c r="AE314" s="96"/>
      <c r="AF314" s="96"/>
      <c r="AG314" s="69">
        <f>+X314+Y314+Z314+AA314+AB314+AC314+AD314+AE314+AF314</f>
        <v>18520000</v>
      </c>
      <c r="AH314" s="78"/>
      <c r="AI314" s="78"/>
      <c r="AJ314" s="78">
        <v>19075600</v>
      </c>
      <c r="AK314" s="78"/>
      <c r="AL314" s="78"/>
      <c r="AM314" s="78"/>
      <c r="AN314" s="78"/>
      <c r="AO314" s="78"/>
      <c r="AP314" s="78"/>
      <c r="AQ314" s="71">
        <f>AH314+AI314+AJ314+AK314+AL314+AM314+AN314+AO314+AP314</f>
        <v>19075600</v>
      </c>
      <c r="AR314" s="511"/>
      <c r="AS314" s="511"/>
      <c r="AT314" s="511">
        <v>19600000</v>
      </c>
      <c r="AU314" s="511"/>
      <c r="AV314" s="511"/>
      <c r="AW314" s="511"/>
      <c r="AX314" s="511"/>
      <c r="AY314" s="511"/>
      <c r="AZ314" s="511"/>
      <c r="BA314" s="511">
        <f>SUM(AR314:AZ314)</f>
        <v>19600000</v>
      </c>
      <c r="BB314" s="78"/>
      <c r="BC314" s="78"/>
      <c r="BD314" s="78">
        <v>20200000</v>
      </c>
      <c r="BE314" s="78"/>
      <c r="BF314" s="78"/>
      <c r="BG314" s="78"/>
      <c r="BH314" s="78"/>
      <c r="BI314" s="78"/>
      <c r="BJ314" s="78"/>
      <c r="BK314" s="78">
        <f>SUM(BB314:BJ314)</f>
        <v>20200000</v>
      </c>
      <c r="BL314" s="603">
        <f>AG314+AQ314+BA314+BK314</f>
        <v>77395600</v>
      </c>
    </row>
    <row r="315" spans="1:64" ht="56.25" customHeight="1" x14ac:dyDescent="0.2">
      <c r="A315" s="56">
        <v>209</v>
      </c>
      <c r="B315" s="56">
        <v>3</v>
      </c>
      <c r="C315" s="124"/>
      <c r="D315" s="124"/>
      <c r="E315" s="79"/>
      <c r="F315" s="107"/>
      <c r="G315" s="323"/>
      <c r="H315" s="323"/>
      <c r="I315" s="64">
        <v>210</v>
      </c>
      <c r="J315" s="60" t="s">
        <v>729</v>
      </c>
      <c r="K315" s="57" t="s">
        <v>730</v>
      </c>
      <c r="L315" s="61" t="s">
        <v>709</v>
      </c>
      <c r="M315" s="240">
        <v>4</v>
      </c>
      <c r="N315" s="62" t="s">
        <v>54</v>
      </c>
      <c r="O315" s="65">
        <v>1</v>
      </c>
      <c r="P315" s="65">
        <v>1</v>
      </c>
      <c r="Q315" s="64">
        <v>1</v>
      </c>
      <c r="R315" s="65">
        <v>1</v>
      </c>
      <c r="S315" s="65">
        <v>1</v>
      </c>
      <c r="T315" s="65">
        <v>1</v>
      </c>
      <c r="U315" s="252">
        <f>AG315/$AG$313</f>
        <v>2.4230769230769229E-2</v>
      </c>
      <c r="V315" s="65">
        <v>3</v>
      </c>
      <c r="W315" s="62" t="s">
        <v>453</v>
      </c>
      <c r="X315" s="96"/>
      <c r="Y315" s="96"/>
      <c r="Z315" s="496">
        <v>3150000</v>
      </c>
      <c r="AA315" s="96"/>
      <c r="AB315" s="96"/>
      <c r="AC315" s="96"/>
      <c r="AD315" s="96"/>
      <c r="AE315" s="96"/>
      <c r="AF315" s="96"/>
      <c r="AG315" s="69">
        <f>+X315+Y315+Z315+AA315+AB315+AC315+AD315+AE315+AF315</f>
        <v>3150000</v>
      </c>
      <c r="AH315" s="78"/>
      <c r="AI315" s="78"/>
      <c r="AJ315" s="78">
        <v>3244500</v>
      </c>
      <c r="AK315" s="78"/>
      <c r="AL315" s="78"/>
      <c r="AM315" s="78"/>
      <c r="AN315" s="78"/>
      <c r="AO315" s="78"/>
      <c r="AP315" s="78"/>
      <c r="AQ315" s="71">
        <f>AH315+AI315+AJ315+AK315+AL315+AM315+AN315+AO315+AP315</f>
        <v>3244500</v>
      </c>
      <c r="AR315" s="511"/>
      <c r="AS315" s="511"/>
      <c r="AT315" s="511">
        <v>3340000</v>
      </c>
      <c r="AU315" s="511"/>
      <c r="AV315" s="511"/>
      <c r="AW315" s="511"/>
      <c r="AX315" s="511"/>
      <c r="AY315" s="511"/>
      <c r="AZ315" s="511"/>
      <c r="BA315" s="511">
        <f>SUM(AR315:AZ315)</f>
        <v>3340000</v>
      </c>
      <c r="BB315" s="78"/>
      <c r="BC315" s="78"/>
      <c r="BD315" s="78">
        <v>3400000</v>
      </c>
      <c r="BE315" s="78"/>
      <c r="BF315" s="78"/>
      <c r="BG315" s="78"/>
      <c r="BH315" s="78"/>
      <c r="BI315" s="78"/>
      <c r="BJ315" s="78"/>
      <c r="BK315" s="78">
        <f>SUM(BB315:BJ315)</f>
        <v>3400000</v>
      </c>
      <c r="BL315" s="603">
        <f>AG315+AQ315+BA315+BK315</f>
        <v>13134500</v>
      </c>
    </row>
    <row r="316" spans="1:64" ht="56.25" customHeight="1" x14ac:dyDescent="0.2">
      <c r="A316" s="74">
        <v>210</v>
      </c>
      <c r="B316" s="56">
        <v>3</v>
      </c>
      <c r="C316" s="124"/>
      <c r="D316" s="124"/>
      <c r="E316" s="506"/>
      <c r="F316" s="517"/>
      <c r="G316" s="195"/>
      <c r="H316" s="195"/>
      <c r="I316" s="64">
        <v>211</v>
      </c>
      <c r="J316" s="60" t="s">
        <v>731</v>
      </c>
      <c r="K316" s="57" t="s">
        <v>732</v>
      </c>
      <c r="L316" s="61" t="s">
        <v>709</v>
      </c>
      <c r="M316" s="240">
        <v>4</v>
      </c>
      <c r="N316" s="100" t="s">
        <v>54</v>
      </c>
      <c r="O316" s="81">
        <v>1</v>
      </c>
      <c r="P316" s="81">
        <v>1</v>
      </c>
      <c r="Q316" s="187">
        <v>1</v>
      </c>
      <c r="R316" s="81">
        <v>1</v>
      </c>
      <c r="S316" s="81">
        <v>1</v>
      </c>
      <c r="T316" s="81">
        <v>1</v>
      </c>
      <c r="U316" s="252">
        <f>AG316/$AG$313</f>
        <v>0.8333076923076923</v>
      </c>
      <c r="V316" s="65">
        <v>3</v>
      </c>
      <c r="W316" s="62" t="s">
        <v>453</v>
      </c>
      <c r="X316" s="96"/>
      <c r="Y316" s="96"/>
      <c r="Z316" s="324">
        <v>108330000</v>
      </c>
      <c r="AA316" s="96"/>
      <c r="AB316" s="96"/>
      <c r="AC316" s="96"/>
      <c r="AD316" s="96"/>
      <c r="AE316" s="96"/>
      <c r="AF316" s="96"/>
      <c r="AG316" s="69">
        <f>+X316+Y316+Z316+AA316+AB316+AC316+AD316+AE316+AF316</f>
        <v>108330000</v>
      </c>
      <c r="AH316" s="78"/>
      <c r="AI316" s="78"/>
      <c r="AJ316" s="78">
        <v>111579900</v>
      </c>
      <c r="AK316" s="78"/>
      <c r="AL316" s="78"/>
      <c r="AM316" s="78"/>
      <c r="AN316" s="78"/>
      <c r="AO316" s="78"/>
      <c r="AP316" s="78"/>
      <c r="AQ316" s="71">
        <f>AH316+AI316+AJ316+AK316+AL316+AM316+AN316+AO316+AP316</f>
        <v>111579900</v>
      </c>
      <c r="AR316" s="511"/>
      <c r="AS316" s="511"/>
      <c r="AT316" s="511">
        <v>114977000</v>
      </c>
      <c r="AU316" s="511"/>
      <c r="AV316" s="511"/>
      <c r="AW316" s="511"/>
      <c r="AX316" s="511"/>
      <c r="AY316" s="511"/>
      <c r="AZ316" s="511"/>
      <c r="BA316" s="511">
        <f>SUM(AR316:AZ316)</f>
        <v>114977000</v>
      </c>
      <c r="BB316" s="78"/>
      <c r="BC316" s="78"/>
      <c r="BD316" s="78">
        <v>118454510</v>
      </c>
      <c r="BE316" s="78"/>
      <c r="BF316" s="78"/>
      <c r="BG316" s="78"/>
      <c r="BH316" s="78"/>
      <c r="BI316" s="78"/>
      <c r="BJ316" s="78"/>
      <c r="BK316" s="78">
        <f>SUM(BB316:BJ316)</f>
        <v>118454510</v>
      </c>
      <c r="BL316" s="603">
        <f>AG316+AQ316+BA316+BK316</f>
        <v>453341410</v>
      </c>
    </row>
    <row r="317" spans="1:64" ht="24.75" customHeight="1" x14ac:dyDescent="0.2">
      <c r="A317" s="74"/>
      <c r="B317" s="56"/>
      <c r="C317" s="124"/>
      <c r="D317" s="124"/>
      <c r="E317" s="44">
        <v>73</v>
      </c>
      <c r="F317" s="45" t="s">
        <v>733</v>
      </c>
      <c r="G317" s="48"/>
      <c r="H317" s="48"/>
      <c r="I317" s="47"/>
      <c r="J317" s="48"/>
      <c r="K317" s="48"/>
      <c r="L317" s="47"/>
      <c r="M317" s="49"/>
      <c r="N317" s="50"/>
      <c r="O317" s="48"/>
      <c r="P317" s="48"/>
      <c r="Q317" s="51"/>
      <c r="R317" s="47"/>
      <c r="S317" s="51"/>
      <c r="T317" s="51"/>
      <c r="U317" s="125"/>
      <c r="V317" s="49"/>
      <c r="W317" s="49"/>
      <c r="X317" s="53">
        <f t="shared" ref="X317:AF317" si="474">SUM(X318)</f>
        <v>0</v>
      </c>
      <c r="Y317" s="53">
        <f t="shared" si="474"/>
        <v>0</v>
      </c>
      <c r="Z317" s="53">
        <f t="shared" si="474"/>
        <v>71923416</v>
      </c>
      <c r="AA317" s="53">
        <f t="shared" si="474"/>
        <v>0</v>
      </c>
      <c r="AB317" s="53">
        <f t="shared" si="474"/>
        <v>0</v>
      </c>
      <c r="AC317" s="53">
        <f t="shared" si="474"/>
        <v>0</v>
      </c>
      <c r="AD317" s="53">
        <f t="shared" si="474"/>
        <v>0</v>
      </c>
      <c r="AE317" s="53">
        <f t="shared" si="474"/>
        <v>0</v>
      </c>
      <c r="AF317" s="53">
        <f t="shared" si="474"/>
        <v>0</v>
      </c>
      <c r="AG317" s="54">
        <f>SUM(AG318)</f>
        <v>71923416</v>
      </c>
      <c r="AH317" s="53">
        <f t="shared" ref="AH317:AQ317" si="475">SUM(AH318)</f>
        <v>0</v>
      </c>
      <c r="AI317" s="53">
        <f t="shared" si="475"/>
        <v>0</v>
      </c>
      <c r="AJ317" s="53">
        <f t="shared" si="475"/>
        <v>74081118.480000004</v>
      </c>
      <c r="AK317" s="53">
        <f t="shared" si="475"/>
        <v>0</v>
      </c>
      <c r="AL317" s="53">
        <f t="shared" si="475"/>
        <v>0</v>
      </c>
      <c r="AM317" s="53">
        <f t="shared" si="475"/>
        <v>0</v>
      </c>
      <c r="AN317" s="53">
        <f t="shared" si="475"/>
        <v>0</v>
      </c>
      <c r="AO317" s="53">
        <f t="shared" si="475"/>
        <v>0</v>
      </c>
      <c r="AP317" s="53">
        <f t="shared" si="475"/>
        <v>0</v>
      </c>
      <c r="AQ317" s="53">
        <f t="shared" si="475"/>
        <v>74081118.480000004</v>
      </c>
      <c r="AR317" s="55"/>
      <c r="AS317" s="55"/>
      <c r="AT317" s="55"/>
      <c r="AU317" s="55"/>
      <c r="AV317" s="55"/>
      <c r="AW317" s="55"/>
      <c r="AX317" s="55"/>
      <c r="AY317" s="55"/>
      <c r="AZ317" s="55"/>
      <c r="BA317" s="53">
        <f t="shared" ref="BA317" si="476">SUM(BA318)</f>
        <v>76303552.034400001</v>
      </c>
      <c r="BB317" s="55"/>
      <c r="BC317" s="55"/>
      <c r="BD317" s="55"/>
      <c r="BE317" s="55"/>
      <c r="BF317" s="55"/>
      <c r="BG317" s="55"/>
      <c r="BH317" s="55"/>
      <c r="BI317" s="55"/>
      <c r="BJ317" s="55"/>
      <c r="BK317" s="53">
        <f t="shared" ref="BK317:BL317" si="477">SUM(BK318)</f>
        <v>78592658.595431998</v>
      </c>
      <c r="BL317" s="53">
        <f t="shared" si="477"/>
        <v>300900745.10983199</v>
      </c>
    </row>
    <row r="318" spans="1:64" ht="75" customHeight="1" x14ac:dyDescent="0.2">
      <c r="A318" s="56">
        <v>211</v>
      </c>
      <c r="B318" s="56">
        <v>3</v>
      </c>
      <c r="C318" s="124"/>
      <c r="D318" s="183"/>
      <c r="E318" s="81">
        <v>36</v>
      </c>
      <c r="F318" s="516" t="s">
        <v>706</v>
      </c>
      <c r="G318" s="448">
        <v>0.4</v>
      </c>
      <c r="H318" s="448">
        <v>0.6</v>
      </c>
      <c r="I318" s="64">
        <v>212</v>
      </c>
      <c r="J318" s="60" t="s">
        <v>734</v>
      </c>
      <c r="K318" s="257" t="s">
        <v>735</v>
      </c>
      <c r="L318" s="61" t="s">
        <v>709</v>
      </c>
      <c r="M318" s="240">
        <v>4</v>
      </c>
      <c r="N318" s="100" t="s">
        <v>54</v>
      </c>
      <c r="O318" s="81">
        <v>1</v>
      </c>
      <c r="P318" s="81">
        <v>1</v>
      </c>
      <c r="Q318" s="187">
        <v>1</v>
      </c>
      <c r="R318" s="81">
        <v>1</v>
      </c>
      <c r="S318" s="81">
        <v>1</v>
      </c>
      <c r="T318" s="81">
        <v>1</v>
      </c>
      <c r="U318" s="252">
        <v>1</v>
      </c>
      <c r="V318" s="65">
        <v>3</v>
      </c>
      <c r="W318" s="62" t="s">
        <v>453</v>
      </c>
      <c r="X318" s="96"/>
      <c r="Y318" s="96"/>
      <c r="Z318" s="96">
        <v>71923416</v>
      </c>
      <c r="AA318" s="96"/>
      <c r="AB318" s="96"/>
      <c r="AC318" s="96"/>
      <c r="AD318" s="96"/>
      <c r="AE318" s="96"/>
      <c r="AF318" s="96"/>
      <c r="AG318" s="69">
        <f>+X318+Y318+Z318+AA318+AB318+AC318+AD318+AE318+AF318</f>
        <v>71923416</v>
      </c>
      <c r="AH318" s="78"/>
      <c r="AI318" s="78"/>
      <c r="AJ318" s="78">
        <v>74081118.480000004</v>
      </c>
      <c r="AK318" s="78"/>
      <c r="AL318" s="78"/>
      <c r="AM318" s="78"/>
      <c r="AN318" s="78"/>
      <c r="AO318" s="78"/>
      <c r="AP318" s="78"/>
      <c r="AQ318" s="71">
        <f>AH318+AI318+AJ318+AK318+AL318+AM318+AN318+AO318+AP318</f>
        <v>74081118.480000004</v>
      </c>
      <c r="AR318" s="511"/>
      <c r="AS318" s="511"/>
      <c r="AT318" s="511">
        <v>76303552.034400001</v>
      </c>
      <c r="AU318" s="511"/>
      <c r="AV318" s="511"/>
      <c r="AW318" s="511"/>
      <c r="AX318" s="511"/>
      <c r="AY318" s="511"/>
      <c r="AZ318" s="511"/>
      <c r="BA318" s="511">
        <f>SUM(AR318:AZ318)</f>
        <v>76303552.034400001</v>
      </c>
      <c r="BB318" s="78"/>
      <c r="BC318" s="78"/>
      <c r="BD318" s="78">
        <v>78592658.595431998</v>
      </c>
      <c r="BE318" s="78"/>
      <c r="BF318" s="78"/>
      <c r="BG318" s="78"/>
      <c r="BH318" s="78"/>
      <c r="BI318" s="78"/>
      <c r="BJ318" s="78"/>
      <c r="BK318" s="78">
        <f>SUM(BB318:BJ318)</f>
        <v>78592658.595431998</v>
      </c>
      <c r="BL318" s="603">
        <f>AG318+AQ318+BA318+BK318</f>
        <v>300900745.10983199</v>
      </c>
    </row>
    <row r="319" spans="1:64" ht="24.75" customHeight="1" x14ac:dyDescent="0.2">
      <c r="A319" s="56"/>
      <c r="B319" s="56"/>
      <c r="C319" s="124"/>
      <c r="D319" s="30">
        <v>22</v>
      </c>
      <c r="E319" s="122" t="s">
        <v>736</v>
      </c>
      <c r="F319" s="32"/>
      <c r="G319" s="32"/>
      <c r="H319" s="32"/>
      <c r="I319" s="262"/>
      <c r="J319" s="35"/>
      <c r="K319" s="35"/>
      <c r="L319" s="36"/>
      <c r="M319" s="34"/>
      <c r="N319" s="37"/>
      <c r="O319" s="35"/>
      <c r="P319" s="35"/>
      <c r="Q319" s="38"/>
      <c r="R319" s="35"/>
      <c r="S319" s="35"/>
      <c r="T319" s="34"/>
      <c r="U319" s="123"/>
      <c r="V319" s="34"/>
      <c r="W319" s="34"/>
      <c r="X319" s="40">
        <f t="shared" ref="X319:AF319" si="478">X320</f>
        <v>0</v>
      </c>
      <c r="Y319" s="40">
        <f t="shared" si="478"/>
        <v>230048382</v>
      </c>
      <c r="Z319" s="40">
        <f t="shared" si="478"/>
        <v>0</v>
      </c>
      <c r="AA319" s="40">
        <f t="shared" si="478"/>
        <v>0</v>
      </c>
      <c r="AB319" s="40">
        <f t="shared" si="478"/>
        <v>0</v>
      </c>
      <c r="AC319" s="40">
        <f t="shared" si="478"/>
        <v>0</v>
      </c>
      <c r="AD319" s="40">
        <f t="shared" si="478"/>
        <v>0</v>
      </c>
      <c r="AE319" s="40">
        <f t="shared" si="478"/>
        <v>0</v>
      </c>
      <c r="AF319" s="40">
        <f t="shared" si="478"/>
        <v>0</v>
      </c>
      <c r="AG319" s="41">
        <f>AG320</f>
        <v>230048382</v>
      </c>
      <c r="AH319" s="40">
        <f t="shared" ref="AH319:AQ319" si="479">AH320</f>
        <v>0</v>
      </c>
      <c r="AI319" s="40">
        <f t="shared" si="479"/>
        <v>236949833.46000001</v>
      </c>
      <c r="AJ319" s="40">
        <f t="shared" si="479"/>
        <v>0</v>
      </c>
      <c r="AK319" s="40">
        <f t="shared" si="479"/>
        <v>0</v>
      </c>
      <c r="AL319" s="40">
        <f t="shared" si="479"/>
        <v>0</v>
      </c>
      <c r="AM319" s="40">
        <f t="shared" si="479"/>
        <v>0</v>
      </c>
      <c r="AN319" s="40">
        <f t="shared" si="479"/>
        <v>0</v>
      </c>
      <c r="AO319" s="40">
        <f t="shared" si="479"/>
        <v>0</v>
      </c>
      <c r="AP319" s="40">
        <f t="shared" si="479"/>
        <v>0</v>
      </c>
      <c r="AQ319" s="40">
        <f t="shared" si="479"/>
        <v>236949833.46000001</v>
      </c>
      <c r="AR319" s="42"/>
      <c r="AS319" s="42"/>
      <c r="AT319" s="42"/>
      <c r="AU319" s="42"/>
      <c r="AV319" s="42"/>
      <c r="AW319" s="42"/>
      <c r="AX319" s="42"/>
      <c r="AY319" s="42"/>
      <c r="AZ319" s="42"/>
      <c r="BA319" s="40">
        <f t="shared" ref="BA319" si="480">BA320</f>
        <v>244058328.46380001</v>
      </c>
      <c r="BB319" s="42"/>
      <c r="BC319" s="42"/>
      <c r="BD319" s="42"/>
      <c r="BE319" s="42"/>
      <c r="BF319" s="42"/>
      <c r="BG319" s="42"/>
      <c r="BH319" s="42"/>
      <c r="BI319" s="42"/>
      <c r="BJ319" s="42"/>
      <c r="BK319" s="40">
        <f t="shared" ref="BK319:BL319" si="481">BK320</f>
        <v>251380078.31771401</v>
      </c>
      <c r="BL319" s="40">
        <f t="shared" si="481"/>
        <v>962436622.24151397</v>
      </c>
    </row>
    <row r="320" spans="1:64" ht="24.75" customHeight="1" x14ac:dyDescent="0.2">
      <c r="A320" s="56"/>
      <c r="B320" s="56"/>
      <c r="C320" s="124"/>
      <c r="D320" s="417"/>
      <c r="E320" s="44">
        <v>74</v>
      </c>
      <c r="F320" s="45" t="s">
        <v>737</v>
      </c>
      <c r="G320" s="48"/>
      <c r="H320" s="48"/>
      <c r="I320" s="49"/>
      <c r="J320" s="45"/>
      <c r="K320" s="84"/>
      <c r="L320" s="47"/>
      <c r="M320" s="47"/>
      <c r="N320" s="85"/>
      <c r="O320" s="84"/>
      <c r="P320" s="84"/>
      <c r="Q320" s="86"/>
      <c r="R320" s="84"/>
      <c r="S320" s="84"/>
      <c r="T320" s="47"/>
      <c r="U320" s="87"/>
      <c r="V320" s="47"/>
      <c r="W320" s="47"/>
      <c r="X320" s="88">
        <f t="shared" ref="X320:AF320" si="482">SUM(X321)</f>
        <v>0</v>
      </c>
      <c r="Y320" s="88">
        <f t="shared" si="482"/>
        <v>230048382</v>
      </c>
      <c r="Z320" s="88">
        <f t="shared" si="482"/>
        <v>0</v>
      </c>
      <c r="AA320" s="88">
        <f t="shared" si="482"/>
        <v>0</v>
      </c>
      <c r="AB320" s="88">
        <f t="shared" si="482"/>
        <v>0</v>
      </c>
      <c r="AC320" s="88">
        <f t="shared" si="482"/>
        <v>0</v>
      </c>
      <c r="AD320" s="88">
        <f t="shared" si="482"/>
        <v>0</v>
      </c>
      <c r="AE320" s="88">
        <f t="shared" si="482"/>
        <v>0</v>
      </c>
      <c r="AF320" s="88">
        <f t="shared" si="482"/>
        <v>0</v>
      </c>
      <c r="AG320" s="89">
        <f>SUM(AG321)</f>
        <v>230048382</v>
      </c>
      <c r="AH320" s="88">
        <f t="shared" ref="AH320:AQ320" si="483">SUM(AH321)</f>
        <v>0</v>
      </c>
      <c r="AI320" s="88">
        <f t="shared" si="483"/>
        <v>236949833.46000001</v>
      </c>
      <c r="AJ320" s="88">
        <f t="shared" si="483"/>
        <v>0</v>
      </c>
      <c r="AK320" s="88">
        <f t="shared" si="483"/>
        <v>0</v>
      </c>
      <c r="AL320" s="88">
        <f t="shared" si="483"/>
        <v>0</v>
      </c>
      <c r="AM320" s="88">
        <f t="shared" si="483"/>
        <v>0</v>
      </c>
      <c r="AN320" s="88">
        <f t="shared" si="483"/>
        <v>0</v>
      </c>
      <c r="AO320" s="88">
        <f t="shared" si="483"/>
        <v>0</v>
      </c>
      <c r="AP320" s="88">
        <f t="shared" si="483"/>
        <v>0</v>
      </c>
      <c r="AQ320" s="88">
        <f t="shared" si="483"/>
        <v>236949833.46000001</v>
      </c>
      <c r="AR320" s="90"/>
      <c r="AS320" s="90"/>
      <c r="AT320" s="90"/>
      <c r="AU320" s="90"/>
      <c r="AV320" s="90"/>
      <c r="AW320" s="90"/>
      <c r="AX320" s="90"/>
      <c r="AY320" s="90"/>
      <c r="AZ320" s="90"/>
      <c r="BA320" s="88">
        <f t="shared" ref="BA320" si="484">SUM(BA321)</f>
        <v>244058328.46380001</v>
      </c>
      <c r="BB320" s="90"/>
      <c r="BC320" s="90"/>
      <c r="BD320" s="90"/>
      <c r="BE320" s="90"/>
      <c r="BF320" s="90"/>
      <c r="BG320" s="90"/>
      <c r="BH320" s="90"/>
      <c r="BI320" s="90"/>
      <c r="BJ320" s="90"/>
      <c r="BK320" s="88">
        <f t="shared" ref="BK320:BL320" si="485">SUM(BK321)</f>
        <v>251380078.31771401</v>
      </c>
      <c r="BL320" s="88">
        <f t="shared" si="485"/>
        <v>962436622.24151397</v>
      </c>
    </row>
    <row r="321" spans="1:64" ht="65.25" customHeight="1" x14ac:dyDescent="0.2">
      <c r="A321" s="56"/>
      <c r="B321" s="56">
        <v>3</v>
      </c>
      <c r="C321" s="183"/>
      <c r="D321" s="183"/>
      <c r="E321" s="81">
        <v>36</v>
      </c>
      <c r="F321" s="516" t="s">
        <v>706</v>
      </c>
      <c r="G321" s="448">
        <v>0.4</v>
      </c>
      <c r="H321" s="448">
        <v>0.6</v>
      </c>
      <c r="I321" s="64">
        <v>213</v>
      </c>
      <c r="J321" s="60" t="s">
        <v>738</v>
      </c>
      <c r="K321" s="257" t="s">
        <v>739</v>
      </c>
      <c r="L321" s="61" t="s">
        <v>709</v>
      </c>
      <c r="M321" s="240">
        <v>4</v>
      </c>
      <c r="N321" s="100" t="s">
        <v>54</v>
      </c>
      <c r="O321" s="81">
        <v>12</v>
      </c>
      <c r="P321" s="81">
        <v>12</v>
      </c>
      <c r="Q321" s="187">
        <v>12</v>
      </c>
      <c r="R321" s="81">
        <v>12</v>
      </c>
      <c r="S321" s="81">
        <v>12</v>
      </c>
      <c r="T321" s="81">
        <v>12</v>
      </c>
      <c r="U321" s="295">
        <f>AG321/AG320</f>
        <v>1</v>
      </c>
      <c r="V321" s="65">
        <v>10</v>
      </c>
      <c r="W321" s="157" t="s">
        <v>386</v>
      </c>
      <c r="X321" s="161"/>
      <c r="Y321" s="96">
        <v>230048382</v>
      </c>
      <c r="Z321" s="161"/>
      <c r="AA321" s="161"/>
      <c r="AB321" s="161"/>
      <c r="AC321" s="161"/>
      <c r="AD321" s="161"/>
      <c r="AE321" s="161"/>
      <c r="AF321" s="161"/>
      <c r="AG321" s="69">
        <f>+X321+Y321+Z321+AA321+AB321+AC321+AD321+AE321+AF321</f>
        <v>230048382</v>
      </c>
      <c r="AH321" s="78"/>
      <c r="AI321" s="511">
        <v>236949833.46000001</v>
      </c>
      <c r="AJ321" s="78"/>
      <c r="AK321" s="78"/>
      <c r="AL321" s="78"/>
      <c r="AM321" s="78"/>
      <c r="AN321" s="78"/>
      <c r="AO321" s="78"/>
      <c r="AP321" s="78"/>
      <c r="AQ321" s="71">
        <f>AH321+AI321+AJ321+AK321+AL321+AM321+AN321+AO321+AP321</f>
        <v>236949833.46000001</v>
      </c>
      <c r="AR321" s="511"/>
      <c r="AS321" s="511">
        <v>244058328.46380001</v>
      </c>
      <c r="AT321" s="511"/>
      <c r="AU321" s="511"/>
      <c r="AV321" s="511"/>
      <c r="AW321" s="511"/>
      <c r="AX321" s="511"/>
      <c r="AY321" s="511"/>
      <c r="AZ321" s="511"/>
      <c r="BA321" s="511">
        <f>SUM(AR321:AZ321)</f>
        <v>244058328.46380001</v>
      </c>
      <c r="BB321" s="78"/>
      <c r="BC321" s="78">
        <v>251380078.31771401</v>
      </c>
      <c r="BD321" s="78"/>
      <c r="BE321" s="78"/>
      <c r="BF321" s="78"/>
      <c r="BG321" s="78"/>
      <c r="BH321" s="78"/>
      <c r="BI321" s="78"/>
      <c r="BJ321" s="78"/>
      <c r="BK321" s="78">
        <f>SUM(BB321:BJ321)</f>
        <v>251380078.31771401</v>
      </c>
      <c r="BL321" s="603">
        <f>AG321+AQ321+BA321+BK321</f>
        <v>962436622.24151397</v>
      </c>
    </row>
    <row r="322" spans="1:64" ht="24.75" customHeight="1" x14ac:dyDescent="0.2">
      <c r="A322" s="56"/>
      <c r="B322" s="56"/>
      <c r="C322" s="113">
        <v>4</v>
      </c>
      <c r="D322" s="114" t="s">
        <v>740</v>
      </c>
      <c r="E322" s="115"/>
      <c r="F322" s="116"/>
      <c r="G322" s="116"/>
      <c r="H322" s="116"/>
      <c r="I322" s="115"/>
      <c r="J322" s="116"/>
      <c r="K322" s="116"/>
      <c r="L322" s="117"/>
      <c r="M322" s="115"/>
      <c r="N322" s="118"/>
      <c r="O322" s="116"/>
      <c r="P322" s="116"/>
      <c r="Q322" s="119"/>
      <c r="R322" s="116"/>
      <c r="S322" s="116"/>
      <c r="T322" s="115"/>
      <c r="U322" s="120"/>
      <c r="V322" s="115"/>
      <c r="W322" s="115"/>
      <c r="X322" s="27">
        <f t="shared" ref="X322:AE322" si="486">X323+X339+X353</f>
        <v>0</v>
      </c>
      <c r="Y322" s="27">
        <f t="shared" si="486"/>
        <v>6015925271</v>
      </c>
      <c r="Z322" s="27">
        <f t="shared" si="486"/>
        <v>1077000000</v>
      </c>
      <c r="AA322" s="27">
        <f t="shared" si="486"/>
        <v>0</v>
      </c>
      <c r="AB322" s="27">
        <f t="shared" si="486"/>
        <v>0</v>
      </c>
      <c r="AC322" s="27">
        <f t="shared" si="486"/>
        <v>0</v>
      </c>
      <c r="AD322" s="27">
        <f t="shared" si="486"/>
        <v>0</v>
      </c>
      <c r="AE322" s="27">
        <f t="shared" si="486"/>
        <v>0</v>
      </c>
      <c r="AF322" s="27">
        <f t="shared" ref="AF322:AM322" si="487">AF323+AF339+AF353</f>
        <v>1000000000</v>
      </c>
      <c r="AG322" s="121">
        <f t="shared" si="487"/>
        <v>8092925271</v>
      </c>
      <c r="AH322" s="27">
        <f t="shared" si="487"/>
        <v>0</v>
      </c>
      <c r="AI322" s="27">
        <f t="shared" si="487"/>
        <v>1804560000</v>
      </c>
      <c r="AJ322" s="27">
        <f t="shared" si="487"/>
        <v>1014349775.75</v>
      </c>
      <c r="AK322" s="27">
        <f t="shared" si="487"/>
        <v>0</v>
      </c>
      <c r="AL322" s="27">
        <f t="shared" si="487"/>
        <v>0</v>
      </c>
      <c r="AM322" s="27">
        <f t="shared" si="487"/>
        <v>0</v>
      </c>
      <c r="AN322" s="27">
        <f t="shared" ref="AN322:AQ322" si="488">AN323+AN339+AN353</f>
        <v>0</v>
      </c>
      <c r="AO322" s="27">
        <f t="shared" si="488"/>
        <v>0</v>
      </c>
      <c r="AP322" s="27">
        <f t="shared" si="488"/>
        <v>1000000000</v>
      </c>
      <c r="AQ322" s="27">
        <f t="shared" si="488"/>
        <v>3818909775.75</v>
      </c>
      <c r="AR322" s="29"/>
      <c r="AS322" s="29"/>
      <c r="AT322" s="29"/>
      <c r="AU322" s="29"/>
      <c r="AV322" s="29"/>
      <c r="AW322" s="29"/>
      <c r="AX322" s="29"/>
      <c r="AY322" s="29"/>
      <c r="AZ322" s="29"/>
      <c r="BA322" s="27">
        <f>BA323+BA339+BA353</f>
        <v>3674977069.0229998</v>
      </c>
      <c r="BB322" s="29"/>
      <c r="BC322" s="29"/>
      <c r="BD322" s="29"/>
      <c r="BE322" s="29"/>
      <c r="BF322" s="29"/>
      <c r="BG322" s="29"/>
      <c r="BH322" s="29"/>
      <c r="BI322" s="29"/>
      <c r="BJ322" s="29"/>
      <c r="BK322" s="27">
        <f>BK323+BK339+BK353</f>
        <v>3687086381.0902042</v>
      </c>
      <c r="BL322" s="27">
        <f>BL323+BL339+BL353</f>
        <v>19273898496.863205</v>
      </c>
    </row>
    <row r="323" spans="1:64" ht="24.75" customHeight="1" x14ac:dyDescent="0.2">
      <c r="A323" s="56"/>
      <c r="B323" s="56"/>
      <c r="C323" s="417"/>
      <c r="D323" s="30">
        <v>23</v>
      </c>
      <c r="E323" s="122" t="s">
        <v>741</v>
      </c>
      <c r="F323" s="32"/>
      <c r="G323" s="32"/>
      <c r="H323" s="32"/>
      <c r="I323" s="262"/>
      <c r="J323" s="35"/>
      <c r="K323" s="35"/>
      <c r="L323" s="36"/>
      <c r="M323" s="34"/>
      <c r="N323" s="37"/>
      <c r="O323" s="35"/>
      <c r="P323" s="35"/>
      <c r="Q323" s="38"/>
      <c r="R323" s="35"/>
      <c r="S323" s="35"/>
      <c r="T323" s="34"/>
      <c r="U323" s="123"/>
      <c r="V323" s="34"/>
      <c r="W323" s="34"/>
      <c r="X323" s="40">
        <f t="shared" ref="X323:AE323" si="489">X324+X330+X335</f>
        <v>0</v>
      </c>
      <c r="Y323" s="40">
        <f t="shared" si="489"/>
        <v>6015925271</v>
      </c>
      <c r="Z323" s="40">
        <f t="shared" si="489"/>
        <v>60000000</v>
      </c>
      <c r="AA323" s="40">
        <f t="shared" si="489"/>
        <v>0</v>
      </c>
      <c r="AB323" s="40">
        <f t="shared" si="489"/>
        <v>0</v>
      </c>
      <c r="AC323" s="40">
        <f t="shared" si="489"/>
        <v>0</v>
      </c>
      <c r="AD323" s="40">
        <f t="shared" si="489"/>
        <v>0</v>
      </c>
      <c r="AE323" s="40">
        <f t="shared" si="489"/>
        <v>0</v>
      </c>
      <c r="AF323" s="40">
        <f t="shared" ref="AF323:AM323" si="490">AF324+AF330+AF335</f>
        <v>1000000000</v>
      </c>
      <c r="AG323" s="41">
        <f t="shared" si="490"/>
        <v>7075925271</v>
      </c>
      <c r="AH323" s="40">
        <f t="shared" si="490"/>
        <v>0</v>
      </c>
      <c r="AI323" s="40">
        <f t="shared" si="490"/>
        <v>1804560000</v>
      </c>
      <c r="AJ323" s="40">
        <f t="shared" si="490"/>
        <v>60000000</v>
      </c>
      <c r="AK323" s="40">
        <f t="shared" si="490"/>
        <v>0</v>
      </c>
      <c r="AL323" s="40">
        <f t="shared" si="490"/>
        <v>0</v>
      </c>
      <c r="AM323" s="40">
        <f t="shared" si="490"/>
        <v>0</v>
      </c>
      <c r="AN323" s="40">
        <f t="shared" ref="AN323:AQ323" si="491">AN324+AN330+AN335</f>
        <v>0</v>
      </c>
      <c r="AO323" s="40">
        <f t="shared" si="491"/>
        <v>0</v>
      </c>
      <c r="AP323" s="40">
        <f t="shared" si="491"/>
        <v>1000000000</v>
      </c>
      <c r="AQ323" s="40">
        <f t="shared" si="491"/>
        <v>2864560000</v>
      </c>
      <c r="AR323" s="42"/>
      <c r="AS323" s="42"/>
      <c r="AT323" s="42"/>
      <c r="AU323" s="42"/>
      <c r="AV323" s="42"/>
      <c r="AW323" s="42"/>
      <c r="AX323" s="42"/>
      <c r="AY323" s="42"/>
      <c r="AZ323" s="42"/>
      <c r="BA323" s="40">
        <f>BA324+BA330+BA335</f>
        <v>2916696800</v>
      </c>
      <c r="BB323" s="42"/>
      <c r="BC323" s="42"/>
      <c r="BD323" s="42"/>
      <c r="BE323" s="42"/>
      <c r="BF323" s="42"/>
      <c r="BG323" s="42"/>
      <c r="BH323" s="42"/>
      <c r="BI323" s="42"/>
      <c r="BJ323" s="42"/>
      <c r="BK323" s="40">
        <f>BK324+BK330+BK335</f>
        <v>2964457704.0002041</v>
      </c>
      <c r="BL323" s="40">
        <f>BL324+BL330+BL335</f>
        <v>15821639775.000204</v>
      </c>
    </row>
    <row r="324" spans="1:64" ht="24.75" customHeight="1" thickBot="1" x14ac:dyDescent="0.25">
      <c r="A324" s="56"/>
      <c r="B324" s="56"/>
      <c r="C324" s="124"/>
      <c r="D324" s="417"/>
      <c r="E324" s="44">
        <v>75</v>
      </c>
      <c r="F324" s="45" t="s">
        <v>742</v>
      </c>
      <c r="G324" s="48"/>
      <c r="H324" s="48"/>
      <c r="I324" s="49"/>
      <c r="J324" s="45"/>
      <c r="K324" s="48"/>
      <c r="L324" s="47"/>
      <c r="M324" s="430"/>
      <c r="N324" s="431"/>
      <c r="O324" s="156"/>
      <c r="P324" s="156"/>
      <c r="Q324" s="155"/>
      <c r="R324" s="156"/>
      <c r="S324" s="48"/>
      <c r="T324" s="49"/>
      <c r="U324" s="125"/>
      <c r="V324" s="49"/>
      <c r="W324" s="49"/>
      <c r="X324" s="53">
        <f t="shared" ref="X324:AE324" si="492">SUM(X325:X329)</f>
        <v>0</v>
      </c>
      <c r="Y324" s="53">
        <f t="shared" si="492"/>
        <v>5963925271</v>
      </c>
      <c r="Z324" s="53">
        <f t="shared" si="492"/>
        <v>30000000</v>
      </c>
      <c r="AA324" s="53">
        <f t="shared" si="492"/>
        <v>0</v>
      </c>
      <c r="AB324" s="53">
        <f t="shared" si="492"/>
        <v>0</v>
      </c>
      <c r="AC324" s="53">
        <f t="shared" si="492"/>
        <v>0</v>
      </c>
      <c r="AD324" s="53">
        <f t="shared" si="492"/>
        <v>0</v>
      </c>
      <c r="AE324" s="53">
        <f t="shared" si="492"/>
        <v>0</v>
      </c>
      <c r="AF324" s="53">
        <f t="shared" ref="AF324:AM324" si="493">SUM(AF325:AF329)</f>
        <v>0</v>
      </c>
      <c r="AG324" s="54">
        <f t="shared" si="493"/>
        <v>5993925271</v>
      </c>
      <c r="AH324" s="53">
        <f t="shared" si="493"/>
        <v>0</v>
      </c>
      <c r="AI324" s="53">
        <f t="shared" si="493"/>
        <v>1513000000</v>
      </c>
      <c r="AJ324" s="53">
        <f t="shared" si="493"/>
        <v>30000000</v>
      </c>
      <c r="AK324" s="53">
        <f t="shared" si="493"/>
        <v>0</v>
      </c>
      <c r="AL324" s="53">
        <f t="shared" si="493"/>
        <v>0</v>
      </c>
      <c r="AM324" s="53">
        <f t="shared" si="493"/>
        <v>0</v>
      </c>
      <c r="AN324" s="53">
        <f t="shared" ref="AN324:AQ324" si="494">SUM(AN325:AN329)</f>
        <v>0</v>
      </c>
      <c r="AO324" s="53">
        <f t="shared" si="494"/>
        <v>0</v>
      </c>
      <c r="AP324" s="53">
        <f t="shared" si="494"/>
        <v>0</v>
      </c>
      <c r="AQ324" s="53">
        <f t="shared" si="494"/>
        <v>1543000000</v>
      </c>
      <c r="AR324" s="55"/>
      <c r="AS324" s="55"/>
      <c r="AT324" s="55"/>
      <c r="AU324" s="55"/>
      <c r="AV324" s="55"/>
      <c r="AW324" s="55"/>
      <c r="AX324" s="55"/>
      <c r="AY324" s="55"/>
      <c r="AZ324" s="55"/>
      <c r="BA324" s="53">
        <f>SUM(BA325:BA329)</f>
        <v>1593530000</v>
      </c>
      <c r="BB324" s="55"/>
      <c r="BC324" s="55"/>
      <c r="BD324" s="55"/>
      <c r="BE324" s="55"/>
      <c r="BF324" s="55"/>
      <c r="BG324" s="55"/>
      <c r="BH324" s="55"/>
      <c r="BI324" s="55"/>
      <c r="BJ324" s="55"/>
      <c r="BK324" s="53">
        <f>SUM(BK325:BK329)</f>
        <v>1639635900.0002038</v>
      </c>
      <c r="BL324" s="53">
        <f>SUM(BL325:BL329)</f>
        <v>10770091171.000204</v>
      </c>
    </row>
    <row r="325" spans="1:64" ht="83.25" customHeight="1" x14ac:dyDescent="0.2">
      <c r="A325" s="56">
        <v>213</v>
      </c>
      <c r="B325" s="56">
        <v>4</v>
      </c>
      <c r="C325" s="124"/>
      <c r="D325" s="124"/>
      <c r="E325" s="65" t="s">
        <v>933</v>
      </c>
      <c r="F325" s="325" t="s">
        <v>234</v>
      </c>
      <c r="G325" s="58" t="s">
        <v>235</v>
      </c>
      <c r="H325" s="58" t="s">
        <v>236</v>
      </c>
      <c r="I325" s="549">
        <v>214</v>
      </c>
      <c r="J325" s="214" t="s">
        <v>743</v>
      </c>
      <c r="K325" s="263" t="s">
        <v>744</v>
      </c>
      <c r="L325" s="64" t="s">
        <v>745</v>
      </c>
      <c r="M325" s="187">
        <v>18</v>
      </c>
      <c r="N325" s="81" t="s">
        <v>69</v>
      </c>
      <c r="O325" s="328" t="s">
        <v>49</v>
      </c>
      <c r="P325" s="328">
        <v>6</v>
      </c>
      <c r="Q325" s="187">
        <v>1</v>
      </c>
      <c r="R325" s="81">
        <v>2</v>
      </c>
      <c r="S325" s="591">
        <v>2</v>
      </c>
      <c r="T325" s="591">
        <v>1</v>
      </c>
      <c r="U325" s="300">
        <f>AG325/$AG$324</f>
        <v>5.1418102431327425E-2</v>
      </c>
      <c r="V325" s="65">
        <v>16</v>
      </c>
      <c r="W325" s="65" t="s">
        <v>373</v>
      </c>
      <c r="X325" s="555"/>
      <c r="Y325" s="555">
        <f>308196263.55-10000000</f>
        <v>298196263.55000001</v>
      </c>
      <c r="Z325" s="555">
        <v>10000000</v>
      </c>
      <c r="AA325" s="555"/>
      <c r="AB325" s="555"/>
      <c r="AC325" s="555"/>
      <c r="AD325" s="555"/>
      <c r="AE325" s="555"/>
      <c r="AF325" s="555"/>
      <c r="AG325" s="553">
        <f>+X325+Y325+Z325+AA325+AB325+AC325+AD325+AE325+AF325</f>
        <v>308196263.55000001</v>
      </c>
      <c r="AH325" s="555"/>
      <c r="AI325" s="555">
        <v>49300000</v>
      </c>
      <c r="AJ325" s="555">
        <v>30000000</v>
      </c>
      <c r="AK325" s="555"/>
      <c r="AL325" s="555"/>
      <c r="AM325" s="555"/>
      <c r="AN325" s="555"/>
      <c r="AO325" s="555"/>
      <c r="AP325" s="555"/>
      <c r="AQ325" s="566">
        <f>AH325+AI325+AJ325+AK325+AL325+AM325+AN325+AO325+AP325</f>
        <v>79300000</v>
      </c>
      <c r="AR325" s="555"/>
      <c r="AS325" s="555">
        <f>81930000-28000000</f>
        <v>53930000</v>
      </c>
      <c r="AT325" s="555">
        <v>28000000</v>
      </c>
      <c r="AU325" s="576"/>
      <c r="AV325" s="555"/>
      <c r="AW325" s="555"/>
      <c r="AX325" s="555"/>
      <c r="AY325" s="555"/>
      <c r="AZ325" s="555"/>
      <c r="BA325" s="555">
        <f>SUM(AR325:AZ325)</f>
        <v>81930000</v>
      </c>
      <c r="BB325" s="555"/>
      <c r="BC325" s="555">
        <f>84300000-20000000</f>
        <v>64300000</v>
      </c>
      <c r="BD325" s="555">
        <v>20000000</v>
      </c>
      <c r="BE325" s="576"/>
      <c r="BF325" s="555"/>
      <c r="BG325" s="555"/>
      <c r="BH325" s="555"/>
      <c r="BI325" s="555"/>
      <c r="BJ325" s="555"/>
      <c r="BK325" s="555">
        <f>SUM(BB325:BJ325)</f>
        <v>84300000</v>
      </c>
      <c r="BL325" s="590">
        <f>AG325+AQ325+BA325+BK325</f>
        <v>553726263.54999995</v>
      </c>
    </row>
    <row r="326" spans="1:64" ht="113.25" customHeight="1" x14ac:dyDescent="0.2">
      <c r="A326" s="74">
        <v>214</v>
      </c>
      <c r="B326" s="56">
        <v>4</v>
      </c>
      <c r="C326" s="124"/>
      <c r="D326" s="124"/>
      <c r="E326" s="81">
        <v>32</v>
      </c>
      <c r="F326" s="57" t="s">
        <v>747</v>
      </c>
      <c r="G326" s="75" t="s">
        <v>248</v>
      </c>
      <c r="H326" s="213" t="s">
        <v>249</v>
      </c>
      <c r="I326" s="64">
        <v>215</v>
      </c>
      <c r="J326" s="546" t="s">
        <v>748</v>
      </c>
      <c r="K326" s="547" t="s">
        <v>749</v>
      </c>
      <c r="L326" s="153" t="s">
        <v>745</v>
      </c>
      <c r="M326" s="294">
        <v>18</v>
      </c>
      <c r="N326" s="327" t="s">
        <v>69</v>
      </c>
      <c r="O326" s="573">
        <v>10</v>
      </c>
      <c r="P326" s="573">
        <v>10</v>
      </c>
      <c r="Q326" s="519">
        <v>2</v>
      </c>
      <c r="R326" s="506">
        <v>3</v>
      </c>
      <c r="S326" s="506">
        <v>3</v>
      </c>
      <c r="T326" s="506">
        <v>2</v>
      </c>
      <c r="U326" s="550">
        <f>AG326/$AG$324</f>
        <v>3.3367116031233551E-3</v>
      </c>
      <c r="V326" s="563">
        <v>16</v>
      </c>
      <c r="W326" s="563" t="s">
        <v>373</v>
      </c>
      <c r="X326" s="552"/>
      <c r="Y326" s="161"/>
      <c r="Z326" s="552">
        <v>20000000</v>
      </c>
      <c r="AA326" s="552"/>
      <c r="AB326" s="552"/>
      <c r="AC326" s="552"/>
      <c r="AD326" s="552"/>
      <c r="AE326" s="552"/>
      <c r="AF326" s="552"/>
      <c r="AG326" s="160">
        <f>+X326+Y326+Z326+AA326+AB326+AC326+AD326+AE326+AF326</f>
        <v>20000000</v>
      </c>
      <c r="AH326" s="588"/>
      <c r="AI326" s="589">
        <v>5100000</v>
      </c>
      <c r="AJ326" s="588"/>
      <c r="AK326" s="588"/>
      <c r="AL326" s="588"/>
      <c r="AM326" s="588"/>
      <c r="AN326" s="588"/>
      <c r="AO326" s="588"/>
      <c r="AP326" s="588"/>
      <c r="AQ326" s="298">
        <f>AH326+AI326+AJ326+AK326+AL326+AM326+AN326+AO326+AP326</f>
        <v>5100000</v>
      </c>
      <c r="AR326" s="589"/>
      <c r="AS326" s="575">
        <v>5300000</v>
      </c>
      <c r="AT326" s="589"/>
      <c r="AU326" s="589"/>
      <c r="AV326" s="589"/>
      <c r="AW326" s="589"/>
      <c r="AX326" s="589"/>
      <c r="AY326" s="589"/>
      <c r="AZ326" s="589"/>
      <c r="BA326" s="575">
        <f>SUM(AR326:AZ326)</f>
        <v>5300000</v>
      </c>
      <c r="BB326" s="578"/>
      <c r="BC326" s="578">
        <v>5470000</v>
      </c>
      <c r="BD326" s="578"/>
      <c r="BE326" s="578"/>
      <c r="BF326" s="578"/>
      <c r="BG326" s="578"/>
      <c r="BH326" s="578"/>
      <c r="BI326" s="578"/>
      <c r="BJ326" s="578"/>
      <c r="BK326" s="575">
        <f>SUM(BB326:BJ326)</f>
        <v>5470000</v>
      </c>
      <c r="BL326" s="616">
        <f>AG326+AQ326+BA326+BK326</f>
        <v>35870000</v>
      </c>
    </row>
    <row r="327" spans="1:64" ht="68.25" customHeight="1" x14ac:dyDescent="0.2">
      <c r="A327" s="56">
        <v>215</v>
      </c>
      <c r="B327" s="56">
        <v>4</v>
      </c>
      <c r="C327" s="124"/>
      <c r="D327" s="124"/>
      <c r="E327" s="81">
        <v>10</v>
      </c>
      <c r="F327" s="325" t="s">
        <v>234</v>
      </c>
      <c r="G327" s="58" t="s">
        <v>235</v>
      </c>
      <c r="H327" s="58" t="s">
        <v>236</v>
      </c>
      <c r="I327" s="512">
        <v>216</v>
      </c>
      <c r="J327" s="514" t="s">
        <v>750</v>
      </c>
      <c r="K327" s="516" t="s">
        <v>751</v>
      </c>
      <c r="L327" s="153" t="s">
        <v>745</v>
      </c>
      <c r="M327" s="294">
        <v>18</v>
      </c>
      <c r="N327" s="510" t="s">
        <v>69</v>
      </c>
      <c r="O327" s="410" t="s">
        <v>752</v>
      </c>
      <c r="P327" s="410">
        <v>6</v>
      </c>
      <c r="Q327" s="187">
        <v>1</v>
      </c>
      <c r="R327" s="81">
        <v>2</v>
      </c>
      <c r="S327" s="81">
        <v>2</v>
      </c>
      <c r="T327" s="81">
        <v>1</v>
      </c>
      <c r="U327" s="300">
        <f>AG327/$AG$324</f>
        <v>0.49749746629765751</v>
      </c>
      <c r="V327" s="491">
        <v>16</v>
      </c>
      <c r="W327" s="491" t="s">
        <v>373</v>
      </c>
      <c r="X327" s="496"/>
      <c r="Y327" s="96">
        <v>2981962635.5</v>
      </c>
      <c r="Z327" s="496"/>
      <c r="AA327" s="496"/>
      <c r="AB327" s="496"/>
      <c r="AC327" s="496"/>
      <c r="AD327" s="496"/>
      <c r="AE327" s="496"/>
      <c r="AF327" s="496"/>
      <c r="AG327" s="69">
        <f>+X327+Y327+Z327+AA327+AB327+AC327+AD327+AE327+AF327</f>
        <v>2981962635.5</v>
      </c>
      <c r="AH327" s="505"/>
      <c r="AI327" s="495">
        <v>767600000</v>
      </c>
      <c r="AJ327" s="505"/>
      <c r="AK327" s="505"/>
      <c r="AL327" s="505"/>
      <c r="AM327" s="505"/>
      <c r="AN327" s="505"/>
      <c r="AO327" s="505"/>
      <c r="AP327" s="505"/>
      <c r="AQ327" s="71">
        <f>AH327+AI327+AJ327+AK327+AL327+AM327+AN327+AO327+AP327</f>
        <v>767600000</v>
      </c>
      <c r="AR327" s="495"/>
      <c r="AS327" s="511">
        <v>792700000</v>
      </c>
      <c r="AT327" s="495"/>
      <c r="AU327" s="495"/>
      <c r="AV327" s="495"/>
      <c r="AW327" s="495"/>
      <c r="AX327" s="495"/>
      <c r="AY327" s="495"/>
      <c r="AZ327" s="495"/>
      <c r="BA327" s="511">
        <f>SUM(AR327:AZ327)</f>
        <v>792700000</v>
      </c>
      <c r="BB327" s="78"/>
      <c r="BC327" s="78">
        <v>815700000</v>
      </c>
      <c r="BD327" s="78"/>
      <c r="BE327" s="78"/>
      <c r="BF327" s="78"/>
      <c r="BG327" s="78"/>
      <c r="BH327" s="78"/>
      <c r="BI327" s="78"/>
      <c r="BJ327" s="78"/>
      <c r="BK327" s="511">
        <f>SUM(BB327:BJ327)</f>
        <v>815700000</v>
      </c>
      <c r="BL327" s="603">
        <f>AG327+AQ327+BA327+BK327</f>
        <v>5357962635.5</v>
      </c>
    </row>
    <row r="328" spans="1:64" ht="82.5" customHeight="1" x14ac:dyDescent="0.2">
      <c r="A328" s="74">
        <v>216</v>
      </c>
      <c r="B328" s="56">
        <v>4</v>
      </c>
      <c r="C328" s="124"/>
      <c r="D328" s="124"/>
      <c r="E328" s="79">
        <v>12</v>
      </c>
      <c r="F328" s="94" t="s">
        <v>746</v>
      </c>
      <c r="G328" s="102">
        <v>3166</v>
      </c>
      <c r="H328" s="102">
        <v>2500</v>
      </c>
      <c r="I328" s="64">
        <v>217</v>
      </c>
      <c r="J328" s="60" t="s">
        <v>753</v>
      </c>
      <c r="K328" s="57" t="s">
        <v>754</v>
      </c>
      <c r="L328" s="153" t="s">
        <v>745</v>
      </c>
      <c r="M328" s="294">
        <v>18</v>
      </c>
      <c r="N328" s="510" t="s">
        <v>54</v>
      </c>
      <c r="O328" s="63" t="s">
        <v>752</v>
      </c>
      <c r="P328" s="63" t="s">
        <v>755</v>
      </c>
      <c r="Q328" s="187">
        <v>5</v>
      </c>
      <c r="R328" s="81">
        <v>5</v>
      </c>
      <c r="S328" s="81">
        <v>5</v>
      </c>
      <c r="T328" s="81">
        <v>5</v>
      </c>
      <c r="U328" s="300">
        <f>AG328/$AG$324</f>
        <v>0.29849847977859451</v>
      </c>
      <c r="V328" s="65">
        <v>16</v>
      </c>
      <c r="W328" s="65" t="s">
        <v>373</v>
      </c>
      <c r="X328" s="496"/>
      <c r="Y328" s="96">
        <v>1789177581.3</v>
      </c>
      <c r="Z328" s="496"/>
      <c r="AA328" s="496"/>
      <c r="AB328" s="496"/>
      <c r="AC328" s="496"/>
      <c r="AD328" s="496"/>
      <c r="AE328" s="496"/>
      <c r="AF328" s="496"/>
      <c r="AG328" s="69">
        <f>+X328+Y328+Z328+AA328+AB328+AC328+AD328+AE328+AF328</f>
        <v>1789177581.3</v>
      </c>
      <c r="AH328" s="505"/>
      <c r="AI328" s="495">
        <v>460500000</v>
      </c>
      <c r="AJ328" s="505"/>
      <c r="AK328" s="505"/>
      <c r="AL328" s="505"/>
      <c r="AM328" s="505"/>
      <c r="AN328" s="505"/>
      <c r="AO328" s="505"/>
      <c r="AP328" s="505"/>
      <c r="AQ328" s="71">
        <f>AH328+AI328+AJ328+AK328+AL328+AM328+AN328+AO328+AP328</f>
        <v>460500000</v>
      </c>
      <c r="AR328" s="495"/>
      <c r="AS328" s="511">
        <v>475600000</v>
      </c>
      <c r="AT328" s="495"/>
      <c r="AU328" s="495"/>
      <c r="AV328" s="495"/>
      <c r="AW328" s="495"/>
      <c r="AX328" s="495"/>
      <c r="AY328" s="495"/>
      <c r="AZ328" s="495"/>
      <c r="BA328" s="138">
        <f>SUM(AR328:AZ328)</f>
        <v>475600000</v>
      </c>
      <c r="BB328" s="78"/>
      <c r="BC328" s="78">
        <v>489400000</v>
      </c>
      <c r="BD328" s="78"/>
      <c r="BE328" s="78"/>
      <c r="BF328" s="78"/>
      <c r="BG328" s="78"/>
      <c r="BH328" s="78"/>
      <c r="BI328" s="78"/>
      <c r="BJ328" s="78"/>
      <c r="BK328" s="511">
        <f>SUM(BB328:BJ328)</f>
        <v>489400000</v>
      </c>
      <c r="BL328" s="603">
        <f>AG328+AQ328+BA328+BK328</f>
        <v>3214677581.3000002</v>
      </c>
    </row>
    <row r="329" spans="1:64" ht="81.75" customHeight="1" x14ac:dyDescent="0.2">
      <c r="A329" s="56">
        <v>217</v>
      </c>
      <c r="B329" s="56">
        <v>4</v>
      </c>
      <c r="C329" s="124"/>
      <c r="D329" s="124"/>
      <c r="E329" s="506"/>
      <c r="F329" s="326"/>
      <c r="G329" s="102"/>
      <c r="H329" s="102"/>
      <c r="I329" s="64">
        <v>218</v>
      </c>
      <c r="J329" s="60" t="s">
        <v>756</v>
      </c>
      <c r="K329" s="257" t="s">
        <v>757</v>
      </c>
      <c r="L329" s="153" t="s">
        <v>745</v>
      </c>
      <c r="M329" s="294">
        <v>18</v>
      </c>
      <c r="N329" s="510" t="s">
        <v>54</v>
      </c>
      <c r="O329" s="328">
        <v>3</v>
      </c>
      <c r="P329" s="328">
        <v>3</v>
      </c>
      <c r="Q329" s="518">
        <v>3</v>
      </c>
      <c r="R329" s="510">
        <v>3</v>
      </c>
      <c r="S329" s="510">
        <v>3</v>
      </c>
      <c r="T329" s="510">
        <v>3</v>
      </c>
      <c r="U329" s="300">
        <f>AG329/$AG$324</f>
        <v>0.14924923988929725</v>
      </c>
      <c r="V329" s="65">
        <v>16</v>
      </c>
      <c r="W329" s="65" t="s">
        <v>373</v>
      </c>
      <c r="X329" s="496"/>
      <c r="Y329" s="96">
        <v>894588790.64999998</v>
      </c>
      <c r="Z329" s="496"/>
      <c r="AA329" s="496"/>
      <c r="AB329" s="496"/>
      <c r="AC329" s="496"/>
      <c r="AD329" s="496"/>
      <c r="AE329" s="496"/>
      <c r="AF329" s="496"/>
      <c r="AG329" s="69">
        <f>+X329+Y329+Z329+AA329+AB329+AC329+AD329+AE329+AF329</f>
        <v>894588790.64999998</v>
      </c>
      <c r="AH329" s="505"/>
      <c r="AI329" s="495">
        <v>230500000</v>
      </c>
      <c r="AJ329" s="505"/>
      <c r="AK329" s="505"/>
      <c r="AL329" s="505"/>
      <c r="AM329" s="505"/>
      <c r="AN329" s="505"/>
      <c r="AO329" s="505"/>
      <c r="AP329" s="505"/>
      <c r="AQ329" s="71">
        <f>AH329+AI329+AJ329+AK329+AL329+AM329+AN329+AO329+AP329</f>
        <v>230500000</v>
      </c>
      <c r="AR329" s="495"/>
      <c r="AS329" s="511">
        <f>237800000+200000</f>
        <v>238000000</v>
      </c>
      <c r="AT329" s="495"/>
      <c r="AU329" s="495"/>
      <c r="AV329" s="495"/>
      <c r="AW329" s="495"/>
      <c r="AX329" s="495"/>
      <c r="AY329" s="495"/>
      <c r="AZ329" s="495"/>
      <c r="BA329" s="138">
        <f>SUM(AR329:AZ329)</f>
        <v>238000000</v>
      </c>
      <c r="BB329" s="78"/>
      <c r="BC329" s="78">
        <v>244765900.00020379</v>
      </c>
      <c r="BD329" s="78"/>
      <c r="BE329" s="78"/>
      <c r="BF329" s="78"/>
      <c r="BG329" s="78"/>
      <c r="BH329" s="78"/>
      <c r="BI329" s="78"/>
      <c r="BJ329" s="78"/>
      <c r="BK329" s="511">
        <f>SUM(BB329:BJ329)</f>
        <v>244765900.00020379</v>
      </c>
      <c r="BL329" s="603">
        <f>AG329+AQ329+BA329+BK329</f>
        <v>1607854690.6502039</v>
      </c>
    </row>
    <row r="330" spans="1:64" ht="24.75" customHeight="1" x14ac:dyDescent="0.2">
      <c r="A330" s="56"/>
      <c r="B330" s="56"/>
      <c r="C330" s="124"/>
      <c r="D330" s="124"/>
      <c r="E330" s="44">
        <v>76</v>
      </c>
      <c r="F330" s="45" t="s">
        <v>758</v>
      </c>
      <c r="G330" s="48"/>
      <c r="H330" s="48"/>
      <c r="I330" s="49"/>
      <c r="J330" s="48"/>
      <c r="K330" s="48"/>
      <c r="L330" s="47"/>
      <c r="M330" s="49"/>
      <c r="N330" s="50"/>
      <c r="O330" s="48"/>
      <c r="P330" s="48"/>
      <c r="Q330" s="48"/>
      <c r="R330" s="48"/>
      <c r="S330" s="48"/>
      <c r="T330" s="48"/>
      <c r="U330" s="48"/>
      <c r="V330" s="48"/>
      <c r="W330" s="49"/>
      <c r="X330" s="53">
        <f t="shared" ref="X330:AF330" si="495">SUM(X331:X334)</f>
        <v>0</v>
      </c>
      <c r="Y330" s="53">
        <f t="shared" si="495"/>
        <v>0</v>
      </c>
      <c r="Z330" s="53">
        <f t="shared" si="495"/>
        <v>30000000</v>
      </c>
      <c r="AA330" s="53">
        <f t="shared" si="495"/>
        <v>0</v>
      </c>
      <c r="AB330" s="53">
        <f t="shared" si="495"/>
        <v>0</v>
      </c>
      <c r="AC330" s="53">
        <f t="shared" si="495"/>
        <v>0</v>
      </c>
      <c r="AD330" s="53">
        <f t="shared" si="495"/>
        <v>0</v>
      </c>
      <c r="AE330" s="53">
        <f t="shared" si="495"/>
        <v>0</v>
      </c>
      <c r="AF330" s="53">
        <f t="shared" si="495"/>
        <v>1000000000</v>
      </c>
      <c r="AG330" s="54">
        <f>SUM(AG331:AG334)</f>
        <v>1030000000</v>
      </c>
      <c r="AH330" s="53">
        <f t="shared" ref="AH330:AQ330" si="496">SUM(AH331:AH334)</f>
        <v>0</v>
      </c>
      <c r="AI330" s="53">
        <f t="shared" si="496"/>
        <v>238000000</v>
      </c>
      <c r="AJ330" s="53">
        <f t="shared" si="496"/>
        <v>30000000</v>
      </c>
      <c r="AK330" s="53">
        <f t="shared" si="496"/>
        <v>0</v>
      </c>
      <c r="AL330" s="53">
        <f t="shared" si="496"/>
        <v>0</v>
      </c>
      <c r="AM330" s="53">
        <f t="shared" si="496"/>
        <v>0</v>
      </c>
      <c r="AN330" s="53">
        <f t="shared" si="496"/>
        <v>0</v>
      </c>
      <c r="AO330" s="53">
        <f t="shared" si="496"/>
        <v>0</v>
      </c>
      <c r="AP330" s="53">
        <f t="shared" si="496"/>
        <v>1000000000</v>
      </c>
      <c r="AQ330" s="53">
        <f t="shared" si="496"/>
        <v>1268000000</v>
      </c>
      <c r="AR330" s="55"/>
      <c r="AS330" s="55"/>
      <c r="AT330" s="55"/>
      <c r="AU330" s="55"/>
      <c r="AV330" s="55"/>
      <c r="AW330" s="55"/>
      <c r="AX330" s="55"/>
      <c r="AY330" s="55"/>
      <c r="AZ330" s="55"/>
      <c r="BA330" s="53">
        <f t="shared" ref="BA330" si="497">SUM(BA331:BA334)</f>
        <v>1268000000</v>
      </c>
      <c r="BB330" s="55"/>
      <c r="BC330" s="55"/>
      <c r="BD330" s="55"/>
      <c r="BE330" s="55"/>
      <c r="BF330" s="55"/>
      <c r="BG330" s="55"/>
      <c r="BH330" s="55"/>
      <c r="BI330" s="55"/>
      <c r="BJ330" s="55"/>
      <c r="BK330" s="53">
        <f t="shared" ref="BK330:BL330" si="498">SUM(BK331:BK334)</f>
        <v>1268000000</v>
      </c>
      <c r="BL330" s="53">
        <f t="shared" si="498"/>
        <v>4834000000</v>
      </c>
    </row>
    <row r="331" spans="1:64" ht="203.25" customHeight="1" x14ac:dyDescent="0.2">
      <c r="A331" s="74">
        <v>218</v>
      </c>
      <c r="B331" s="56">
        <v>4</v>
      </c>
      <c r="C331" s="124"/>
      <c r="D331" s="124"/>
      <c r="E331" s="81">
        <v>13</v>
      </c>
      <c r="F331" s="263" t="s">
        <v>759</v>
      </c>
      <c r="G331" s="58" t="s">
        <v>539</v>
      </c>
      <c r="H331" s="284" t="s">
        <v>540</v>
      </c>
      <c r="I331" s="64">
        <v>219</v>
      </c>
      <c r="J331" s="60" t="s">
        <v>760</v>
      </c>
      <c r="K331" s="257" t="s">
        <v>761</v>
      </c>
      <c r="L331" s="153" t="s">
        <v>745</v>
      </c>
      <c r="M331" s="294">
        <v>18</v>
      </c>
      <c r="N331" s="266" t="s">
        <v>69</v>
      </c>
      <c r="O331" s="328" t="s">
        <v>49</v>
      </c>
      <c r="P331" s="328">
        <v>36</v>
      </c>
      <c r="Q331" s="331">
        <v>3</v>
      </c>
      <c r="R331" s="332">
        <v>11</v>
      </c>
      <c r="S331" s="332">
        <v>11</v>
      </c>
      <c r="T331" s="332">
        <v>11</v>
      </c>
      <c r="U331" s="333">
        <f>AG331/$AG$330</f>
        <v>1.2135922330097087E-2</v>
      </c>
      <c r="V331" s="65">
        <v>16</v>
      </c>
      <c r="W331" s="65" t="s">
        <v>373</v>
      </c>
      <c r="X331" s="500"/>
      <c r="Y331" s="500"/>
      <c r="Z331" s="496">
        <v>12500000</v>
      </c>
      <c r="AA331" s="496"/>
      <c r="AB331" s="500"/>
      <c r="AC331" s="500"/>
      <c r="AD331" s="500"/>
      <c r="AE331" s="500"/>
      <c r="AF331" s="500"/>
      <c r="AG331" s="69">
        <f>+X331+Y331+Z331+AA331+AB331+AC331+AD331+AE331+AF331</f>
        <v>12500000</v>
      </c>
      <c r="AH331" s="78"/>
      <c r="AI331" s="511">
        <v>111600000</v>
      </c>
      <c r="AJ331" s="78"/>
      <c r="AK331" s="78"/>
      <c r="AL331" s="78"/>
      <c r="AM331" s="78"/>
      <c r="AN331" s="78"/>
      <c r="AO331" s="78"/>
      <c r="AP331" s="78"/>
      <c r="AQ331" s="71">
        <f>AH331+AI331+AJ331+AK331+AL331+AM331+AN331+AO331+AP331</f>
        <v>111600000</v>
      </c>
      <c r="AR331" s="511"/>
      <c r="AS331" s="511">
        <v>111600000</v>
      </c>
      <c r="AT331" s="78"/>
      <c r="AU331" s="78"/>
      <c r="AV331" s="511"/>
      <c r="AW331" s="511"/>
      <c r="AX331" s="511"/>
      <c r="AY331" s="511"/>
      <c r="AZ331" s="511"/>
      <c r="BA331" s="138">
        <f>SUM(AR331:AZ331)</f>
        <v>111600000</v>
      </c>
      <c r="BB331" s="78"/>
      <c r="BC331" s="511">
        <v>111600000</v>
      </c>
      <c r="BD331" s="78"/>
      <c r="BE331" s="78"/>
      <c r="BF331" s="78"/>
      <c r="BG331" s="78"/>
      <c r="BH331" s="78"/>
      <c r="BI331" s="78"/>
      <c r="BJ331" s="78"/>
      <c r="BK331" s="78">
        <f>SUM(BB331:BJ331)</f>
        <v>111600000</v>
      </c>
      <c r="BL331" s="603">
        <f>AG331+AQ331+BA331+BK331</f>
        <v>347300000</v>
      </c>
    </row>
    <row r="332" spans="1:64" ht="48.75" customHeight="1" x14ac:dyDescent="0.2">
      <c r="A332" s="74"/>
      <c r="B332" s="56">
        <v>4</v>
      </c>
      <c r="C332" s="124"/>
      <c r="D332" s="124"/>
      <c r="E332" s="81">
        <v>10</v>
      </c>
      <c r="F332" s="325" t="s">
        <v>234</v>
      </c>
      <c r="G332" s="58" t="s">
        <v>235</v>
      </c>
      <c r="H332" s="58" t="s">
        <v>236</v>
      </c>
      <c r="I332" s="64">
        <v>220</v>
      </c>
      <c r="J332" s="60" t="s">
        <v>762</v>
      </c>
      <c r="K332" s="257" t="s">
        <v>763</v>
      </c>
      <c r="L332" s="153" t="s">
        <v>745</v>
      </c>
      <c r="M332" s="294">
        <v>18</v>
      </c>
      <c r="N332" s="265" t="s">
        <v>69</v>
      </c>
      <c r="O332" s="271">
        <v>0</v>
      </c>
      <c r="P332" s="271">
        <v>12</v>
      </c>
      <c r="Q332" s="453">
        <v>5</v>
      </c>
      <c r="R332" s="453">
        <v>9</v>
      </c>
      <c r="S332" s="453">
        <v>12</v>
      </c>
      <c r="T332" s="454">
        <v>12</v>
      </c>
      <c r="U332" s="333">
        <f>AG332/$AG$330</f>
        <v>0.98300970873786409</v>
      </c>
      <c r="V332" s="65">
        <v>16</v>
      </c>
      <c r="W332" s="65" t="s">
        <v>373</v>
      </c>
      <c r="X332" s="500"/>
      <c r="Y332" s="500"/>
      <c r="Z332" s="496">
        <v>12500000</v>
      </c>
      <c r="AA332" s="496"/>
      <c r="AB332" s="500"/>
      <c r="AC332" s="500"/>
      <c r="AD332" s="500"/>
      <c r="AE332" s="500"/>
      <c r="AF332" s="500">
        <v>1000000000</v>
      </c>
      <c r="AG332" s="69">
        <f>+X332+Y332+Z332+AA332+AB332+AC332+AD332+AE332+AF332</f>
        <v>1012500000</v>
      </c>
      <c r="AH332" s="78"/>
      <c r="AI332" s="511">
        <v>111600000</v>
      </c>
      <c r="AJ332" s="78"/>
      <c r="AK332" s="78"/>
      <c r="AL332" s="78"/>
      <c r="AM332" s="78"/>
      <c r="AN332" s="78"/>
      <c r="AO332" s="78"/>
      <c r="AP332" s="78">
        <v>1000000000</v>
      </c>
      <c r="AQ332" s="71">
        <f>AH332+AI332+AJ332+AK332+AL332+AM332+AN332+AO332+AP332</f>
        <v>1111600000</v>
      </c>
      <c r="AR332" s="511"/>
      <c r="AS332" s="511">
        <v>111600000</v>
      </c>
      <c r="AT332" s="78"/>
      <c r="AU332" s="78"/>
      <c r="AV332" s="511"/>
      <c r="AW332" s="511"/>
      <c r="AX332" s="511"/>
      <c r="AY332" s="511"/>
      <c r="AZ332" s="511">
        <v>1000000000</v>
      </c>
      <c r="BA332" s="138">
        <f>SUM(AR332:AZ332)</f>
        <v>1111600000</v>
      </c>
      <c r="BB332" s="78"/>
      <c r="BC332" s="511">
        <v>111600000</v>
      </c>
      <c r="BD332" s="78"/>
      <c r="BE332" s="78"/>
      <c r="BF332" s="78"/>
      <c r="BG332" s="78"/>
      <c r="BH332" s="78"/>
      <c r="BI332" s="78"/>
      <c r="BJ332" s="78">
        <v>1000000000</v>
      </c>
      <c r="BK332" s="78">
        <f>SUM(BB332:BJ332)</f>
        <v>1111600000</v>
      </c>
      <c r="BL332" s="603">
        <f>AG332+AQ332+BA332+BK332</f>
        <v>4347300000</v>
      </c>
    </row>
    <row r="333" spans="1:64" ht="71.25" customHeight="1" x14ac:dyDescent="0.2">
      <c r="A333" s="56">
        <v>219</v>
      </c>
      <c r="B333" s="56">
        <v>4</v>
      </c>
      <c r="C333" s="124"/>
      <c r="D333" s="124"/>
      <c r="E333" s="81">
        <v>12</v>
      </c>
      <c r="F333" s="107" t="s">
        <v>746</v>
      </c>
      <c r="G333" s="102">
        <v>3166</v>
      </c>
      <c r="H333" s="80">
        <v>2500</v>
      </c>
      <c r="I333" s="64">
        <v>221</v>
      </c>
      <c r="J333" s="60" t="s">
        <v>764</v>
      </c>
      <c r="K333" s="257" t="s">
        <v>765</v>
      </c>
      <c r="L333" s="153" t="s">
        <v>745</v>
      </c>
      <c r="M333" s="294">
        <v>18</v>
      </c>
      <c r="N333" s="187" t="s">
        <v>54</v>
      </c>
      <c r="O333" s="271">
        <v>1</v>
      </c>
      <c r="P333" s="271">
        <v>1</v>
      </c>
      <c r="Q333" s="187">
        <v>1</v>
      </c>
      <c r="R333" s="187">
        <v>1</v>
      </c>
      <c r="S333" s="187">
        <v>1</v>
      </c>
      <c r="T333" s="187">
        <v>0</v>
      </c>
      <c r="U333" s="333">
        <f>AG333/$AG$330</f>
        <v>2.9126213592233011E-3</v>
      </c>
      <c r="V333" s="65">
        <v>16</v>
      </c>
      <c r="W333" s="65" t="s">
        <v>373</v>
      </c>
      <c r="X333" s="500"/>
      <c r="Y333" s="500"/>
      <c r="Z333" s="496">
        <v>3000000</v>
      </c>
      <c r="AA333" s="496"/>
      <c r="AB333" s="500"/>
      <c r="AC333" s="500"/>
      <c r="AD333" s="500"/>
      <c r="AE333" s="500"/>
      <c r="AF333" s="500"/>
      <c r="AG333" s="69">
        <f>+X333+Y333+Z333+AA333+AB333+AC333+AD333+AE333+AF333</f>
        <v>3000000</v>
      </c>
      <c r="AH333" s="78"/>
      <c r="AI333" s="511">
        <f>26800000-12000000</f>
        <v>14800000</v>
      </c>
      <c r="AJ333" s="78">
        <v>12000000</v>
      </c>
      <c r="AK333" s="78"/>
      <c r="AL333" s="78"/>
      <c r="AM333" s="78"/>
      <c r="AN333" s="78"/>
      <c r="AO333" s="78"/>
      <c r="AP333" s="78"/>
      <c r="AQ333" s="71">
        <f>AH333+AI333+AJ333+AK333+AL333+AM333+AN333+AO333+AP333</f>
        <v>26800000</v>
      </c>
      <c r="AR333" s="511"/>
      <c r="AS333" s="511">
        <f>26800000-12000000</f>
        <v>14800000</v>
      </c>
      <c r="AT333" s="78"/>
      <c r="AU333" s="78"/>
      <c r="AV333" s="511"/>
      <c r="AW333" s="511"/>
      <c r="AX333" s="511"/>
      <c r="AY333" s="511"/>
      <c r="AZ333" s="511"/>
      <c r="BA333" s="138">
        <f>SUM(AR333:AZ333)</f>
        <v>14800000</v>
      </c>
      <c r="BB333" s="78"/>
      <c r="BC333" s="511">
        <f>26800000-12000000</f>
        <v>14800000</v>
      </c>
      <c r="BD333" s="78"/>
      <c r="BE333" s="78"/>
      <c r="BF333" s="78"/>
      <c r="BG333" s="78"/>
      <c r="BH333" s="78"/>
      <c r="BI333" s="78"/>
      <c r="BJ333" s="78"/>
      <c r="BK333" s="78">
        <f>SUM(BB333:BJ333)</f>
        <v>14800000</v>
      </c>
      <c r="BL333" s="603">
        <f>AG333+AQ333+BA333+BK333</f>
        <v>59400000</v>
      </c>
    </row>
    <row r="334" spans="1:64" ht="71.25" customHeight="1" x14ac:dyDescent="0.2">
      <c r="A334" s="74">
        <v>220</v>
      </c>
      <c r="B334" s="56">
        <v>4</v>
      </c>
      <c r="C334" s="124"/>
      <c r="D334" s="124"/>
      <c r="E334" s="506">
        <v>13</v>
      </c>
      <c r="F334" s="263" t="s">
        <v>759</v>
      </c>
      <c r="G334" s="58" t="s">
        <v>539</v>
      </c>
      <c r="H334" s="284" t="s">
        <v>540</v>
      </c>
      <c r="I334" s="64">
        <v>222</v>
      </c>
      <c r="J334" s="60" t="s">
        <v>766</v>
      </c>
      <c r="K334" s="257" t="s">
        <v>767</v>
      </c>
      <c r="L334" s="153" t="s">
        <v>745</v>
      </c>
      <c r="M334" s="294">
        <v>18</v>
      </c>
      <c r="N334" s="81" t="s">
        <v>54</v>
      </c>
      <c r="O334" s="328">
        <v>1</v>
      </c>
      <c r="P334" s="334">
        <v>1</v>
      </c>
      <c r="Q334" s="187">
        <v>1</v>
      </c>
      <c r="R334" s="81">
        <v>1</v>
      </c>
      <c r="S334" s="81">
        <v>1</v>
      </c>
      <c r="T334" s="81">
        <v>1</v>
      </c>
      <c r="U334" s="333">
        <f>AG334/$AG$330</f>
        <v>1.9417475728155339E-3</v>
      </c>
      <c r="V334" s="65">
        <v>16</v>
      </c>
      <c r="W334" s="67" t="s">
        <v>373</v>
      </c>
      <c r="X334" s="335"/>
      <c r="Y334" s="496"/>
      <c r="Z334" s="496">
        <v>2000000</v>
      </c>
      <c r="AA334" s="496"/>
      <c r="AB334" s="496"/>
      <c r="AC334" s="496"/>
      <c r="AD334" s="496"/>
      <c r="AE334" s="496"/>
      <c r="AF334" s="496"/>
      <c r="AG334" s="69">
        <f>+X334+Y334+Z334+AA334+AB334+AC334+AD334+AE334+AF334</f>
        <v>2000000</v>
      </c>
      <c r="AH334" s="78"/>
      <c r="AI334" s="78"/>
      <c r="AJ334" s="511">
        <v>18000000</v>
      </c>
      <c r="AK334" s="78"/>
      <c r="AL334" s="78"/>
      <c r="AM334" s="78"/>
      <c r="AN334" s="78"/>
      <c r="AO334" s="78"/>
      <c r="AP334" s="78"/>
      <c r="AQ334" s="71">
        <f>AH334+AI334+AJ334+AK334+AL334+AM334+AN334+AO334+AP334</f>
        <v>18000000</v>
      </c>
      <c r="AR334" s="511"/>
      <c r="AS334" s="78">
        <v>12000000</v>
      </c>
      <c r="AT334" s="511">
        <v>18000000</v>
      </c>
      <c r="AU334" s="511"/>
      <c r="AV334" s="511"/>
      <c r="AW334" s="511"/>
      <c r="AX334" s="511"/>
      <c r="AY334" s="511"/>
      <c r="AZ334" s="511"/>
      <c r="BA334" s="138">
        <f>SUM(AR334:AZ334)</f>
        <v>30000000</v>
      </c>
      <c r="BB334" s="78"/>
      <c r="BC334" s="78">
        <v>12000000</v>
      </c>
      <c r="BD334" s="511">
        <v>18000000</v>
      </c>
      <c r="BE334" s="78"/>
      <c r="BF334" s="78"/>
      <c r="BG334" s="78"/>
      <c r="BH334" s="78"/>
      <c r="BI334" s="78"/>
      <c r="BJ334" s="78"/>
      <c r="BK334" s="78">
        <f>SUM(BB334:BJ334)</f>
        <v>30000000</v>
      </c>
      <c r="BL334" s="603">
        <f>AG334+AQ334+BA334+BK334</f>
        <v>80000000</v>
      </c>
    </row>
    <row r="335" spans="1:64" ht="24.75" customHeight="1" x14ac:dyDescent="0.2">
      <c r="A335" s="74"/>
      <c r="B335" s="56"/>
      <c r="C335" s="124"/>
      <c r="D335" s="124"/>
      <c r="E335" s="44">
        <v>77</v>
      </c>
      <c r="F335" s="45" t="s">
        <v>768</v>
      </c>
      <c r="G335" s="48"/>
      <c r="H335" s="48"/>
      <c r="I335" s="47"/>
      <c r="J335" s="48"/>
      <c r="K335" s="48"/>
      <c r="L335" s="47"/>
      <c r="M335" s="49"/>
      <c r="N335" s="50"/>
      <c r="O335" s="48"/>
      <c r="P335" s="48"/>
      <c r="Q335" s="329"/>
      <c r="R335" s="330"/>
      <c r="S335" s="330"/>
      <c r="T335" s="221"/>
      <c r="U335" s="52"/>
      <c r="V335" s="49"/>
      <c r="W335" s="49"/>
      <c r="X335" s="53">
        <f t="shared" ref="X335:AF335" si="499">SUM(X336:X338)</f>
        <v>0</v>
      </c>
      <c r="Y335" s="53">
        <f t="shared" si="499"/>
        <v>52000000</v>
      </c>
      <c r="Z335" s="53">
        <f t="shared" si="499"/>
        <v>0</v>
      </c>
      <c r="AA335" s="53">
        <f t="shared" si="499"/>
        <v>0</v>
      </c>
      <c r="AB335" s="53">
        <f t="shared" si="499"/>
        <v>0</v>
      </c>
      <c r="AC335" s="53">
        <f t="shared" si="499"/>
        <v>0</v>
      </c>
      <c r="AD335" s="53">
        <f t="shared" si="499"/>
        <v>0</v>
      </c>
      <c r="AE335" s="53">
        <f t="shared" si="499"/>
        <v>0</v>
      </c>
      <c r="AF335" s="53">
        <f t="shared" si="499"/>
        <v>0</v>
      </c>
      <c r="AG335" s="54">
        <f>SUM(AG336:AG338)</f>
        <v>52000000</v>
      </c>
      <c r="AH335" s="53">
        <f t="shared" ref="AH335:AQ335" si="500">SUM(AH336:AH338)</f>
        <v>0</v>
      </c>
      <c r="AI335" s="53">
        <f t="shared" si="500"/>
        <v>53560000</v>
      </c>
      <c r="AJ335" s="53">
        <f t="shared" si="500"/>
        <v>0</v>
      </c>
      <c r="AK335" s="53">
        <f t="shared" si="500"/>
        <v>0</v>
      </c>
      <c r="AL335" s="53">
        <f t="shared" si="500"/>
        <v>0</v>
      </c>
      <c r="AM335" s="53">
        <f t="shared" si="500"/>
        <v>0</v>
      </c>
      <c r="AN335" s="53">
        <f t="shared" si="500"/>
        <v>0</v>
      </c>
      <c r="AO335" s="53">
        <f t="shared" si="500"/>
        <v>0</v>
      </c>
      <c r="AP335" s="53">
        <f t="shared" si="500"/>
        <v>0</v>
      </c>
      <c r="AQ335" s="53">
        <f t="shared" si="500"/>
        <v>53560000</v>
      </c>
      <c r="AR335" s="55"/>
      <c r="AS335" s="55"/>
      <c r="AT335" s="55"/>
      <c r="AU335" s="55"/>
      <c r="AV335" s="55"/>
      <c r="AW335" s="55"/>
      <c r="AX335" s="55"/>
      <c r="AY335" s="55"/>
      <c r="AZ335" s="55"/>
      <c r="BA335" s="53">
        <f t="shared" ref="BA335" si="501">SUM(BA336:BA338)</f>
        <v>55166800</v>
      </c>
      <c r="BB335" s="55"/>
      <c r="BC335" s="55"/>
      <c r="BD335" s="55"/>
      <c r="BE335" s="55"/>
      <c r="BF335" s="55"/>
      <c r="BG335" s="55"/>
      <c r="BH335" s="55"/>
      <c r="BI335" s="55"/>
      <c r="BJ335" s="55"/>
      <c r="BK335" s="53">
        <f t="shared" ref="BK335:BL335" si="502">SUM(BK336:BK338)</f>
        <v>56821804</v>
      </c>
      <c r="BL335" s="53">
        <f t="shared" si="502"/>
        <v>217548604</v>
      </c>
    </row>
    <row r="336" spans="1:64" ht="60.75" customHeight="1" x14ac:dyDescent="0.2">
      <c r="A336" s="56">
        <v>221</v>
      </c>
      <c r="B336" s="56">
        <v>4</v>
      </c>
      <c r="C336" s="124"/>
      <c r="D336" s="124"/>
      <c r="E336" s="510">
        <v>11</v>
      </c>
      <c r="F336" s="516" t="s">
        <v>769</v>
      </c>
      <c r="G336" s="408" t="s">
        <v>475</v>
      </c>
      <c r="H336" s="408" t="s">
        <v>476</v>
      </c>
      <c r="I336" s="64">
        <v>223</v>
      </c>
      <c r="J336" s="60" t="s">
        <v>770</v>
      </c>
      <c r="K336" s="257" t="s">
        <v>771</v>
      </c>
      <c r="L336" s="61" t="s">
        <v>215</v>
      </c>
      <c r="M336" s="240">
        <v>9</v>
      </c>
      <c r="N336" s="334" t="s">
        <v>54</v>
      </c>
      <c r="O336" s="328" t="s">
        <v>49</v>
      </c>
      <c r="P336" s="328">
        <v>1</v>
      </c>
      <c r="Q336" s="271">
        <v>1</v>
      </c>
      <c r="R336" s="328">
        <v>1</v>
      </c>
      <c r="S336" s="328">
        <v>1</v>
      </c>
      <c r="T336" s="328">
        <v>1</v>
      </c>
      <c r="U336" s="211">
        <f>AG336/$AG$335</f>
        <v>0.57692307692307687</v>
      </c>
      <c r="V336" s="65">
        <v>3</v>
      </c>
      <c r="W336" s="62" t="s">
        <v>453</v>
      </c>
      <c r="X336" s="176"/>
      <c r="Y336" s="96">
        <v>30000000</v>
      </c>
      <c r="Z336" s="176"/>
      <c r="AA336" s="176"/>
      <c r="AB336" s="176"/>
      <c r="AC336" s="176"/>
      <c r="AD336" s="176"/>
      <c r="AE336" s="176"/>
      <c r="AF336" s="176"/>
      <c r="AG336" s="69">
        <f>+X336+Y336+Z336+AA336+AB336+AC336+AD336+AE336+AF336</f>
        <v>30000000</v>
      </c>
      <c r="AH336" s="78"/>
      <c r="AI336" s="511">
        <v>30899999.999999996</v>
      </c>
      <c r="AJ336" s="78"/>
      <c r="AK336" s="78"/>
      <c r="AL336" s="78"/>
      <c r="AM336" s="78"/>
      <c r="AN336" s="78"/>
      <c r="AO336" s="78"/>
      <c r="AP336" s="78"/>
      <c r="AQ336" s="71">
        <f>AH336+AI336+AJ336+AK336+AL336+AM336+AN336+AO336+AP336</f>
        <v>30899999.999999996</v>
      </c>
      <c r="AR336" s="511"/>
      <c r="AS336" s="511">
        <v>31826999.999999996</v>
      </c>
      <c r="AT336" s="511"/>
      <c r="AU336" s="511"/>
      <c r="AV336" s="511"/>
      <c r="AW336" s="511"/>
      <c r="AX336" s="511"/>
      <c r="AY336" s="511"/>
      <c r="AZ336" s="511"/>
      <c r="BA336" s="511">
        <f>SUM(AR336:AZ336)</f>
        <v>31826999.999999996</v>
      </c>
      <c r="BB336" s="78"/>
      <c r="BC336" s="78">
        <v>32700000</v>
      </c>
      <c r="BD336" s="78"/>
      <c r="BE336" s="78"/>
      <c r="BF336" s="78"/>
      <c r="BG336" s="78"/>
      <c r="BH336" s="78"/>
      <c r="BI336" s="78"/>
      <c r="BJ336" s="78"/>
      <c r="BK336" s="78">
        <f>SUM(BB336:BJ336)</f>
        <v>32700000</v>
      </c>
      <c r="BL336" s="603">
        <f>AG336+AQ336+BA336+BK336</f>
        <v>125427000</v>
      </c>
    </row>
    <row r="337" spans="1:64" ht="50.25" customHeight="1" x14ac:dyDescent="0.2">
      <c r="A337" s="74">
        <v>222</v>
      </c>
      <c r="B337" s="56">
        <v>4</v>
      </c>
      <c r="C337" s="124"/>
      <c r="D337" s="124"/>
      <c r="E337" s="79"/>
      <c r="F337" s="107"/>
      <c r="G337" s="102"/>
      <c r="H337" s="102"/>
      <c r="I337" s="64">
        <v>224</v>
      </c>
      <c r="J337" s="60" t="s">
        <v>772</v>
      </c>
      <c r="K337" s="257" t="s">
        <v>773</v>
      </c>
      <c r="L337" s="61" t="s">
        <v>215</v>
      </c>
      <c r="M337" s="240">
        <v>9</v>
      </c>
      <c r="N337" s="334" t="s">
        <v>54</v>
      </c>
      <c r="O337" s="328">
        <v>0</v>
      </c>
      <c r="P337" s="328">
        <v>1</v>
      </c>
      <c r="Q337" s="271">
        <v>1</v>
      </c>
      <c r="R337" s="328">
        <v>1</v>
      </c>
      <c r="S337" s="328">
        <v>1</v>
      </c>
      <c r="T337" s="328">
        <v>1</v>
      </c>
      <c r="U337" s="211">
        <f>AG337/$AG$335</f>
        <v>0.38461538461538464</v>
      </c>
      <c r="V337" s="65">
        <v>11</v>
      </c>
      <c r="W337" s="62" t="s">
        <v>226</v>
      </c>
      <c r="X337" s="176"/>
      <c r="Y337" s="96">
        <v>20000000</v>
      </c>
      <c r="Z337" s="176"/>
      <c r="AA337" s="176"/>
      <c r="AB337" s="176"/>
      <c r="AC337" s="176"/>
      <c r="AD337" s="176"/>
      <c r="AE337" s="176"/>
      <c r="AF337" s="176"/>
      <c r="AG337" s="69">
        <f>+X337+Y337+Z337+AA337+AB337+AC337+AD337+AE337+AF337</f>
        <v>20000000</v>
      </c>
      <c r="AH337" s="78"/>
      <c r="AI337" s="511">
        <v>20600000</v>
      </c>
      <c r="AJ337" s="78"/>
      <c r="AK337" s="78"/>
      <c r="AL337" s="78"/>
      <c r="AM337" s="78"/>
      <c r="AN337" s="78"/>
      <c r="AO337" s="78"/>
      <c r="AP337" s="78"/>
      <c r="AQ337" s="71">
        <f>AH337+AI337+AJ337+AK337+AL337+AM337+AN337+AO337+AP337</f>
        <v>20600000</v>
      </c>
      <c r="AR337" s="511"/>
      <c r="AS337" s="511">
        <v>21218000</v>
      </c>
      <c r="AT337" s="511"/>
      <c r="AU337" s="511"/>
      <c r="AV337" s="511"/>
      <c r="AW337" s="511"/>
      <c r="AX337" s="511"/>
      <c r="AY337" s="511"/>
      <c r="AZ337" s="511"/>
      <c r="BA337" s="511">
        <f>SUM(AR337:AZ337)</f>
        <v>21218000</v>
      </c>
      <c r="BB337" s="78"/>
      <c r="BC337" s="78">
        <v>21850000</v>
      </c>
      <c r="BD337" s="78"/>
      <c r="BE337" s="78"/>
      <c r="BF337" s="78"/>
      <c r="BG337" s="78"/>
      <c r="BH337" s="78"/>
      <c r="BI337" s="78"/>
      <c r="BJ337" s="78"/>
      <c r="BK337" s="78">
        <f>SUM(BB337:BJ337)</f>
        <v>21850000</v>
      </c>
      <c r="BL337" s="603">
        <f>AG337+AQ337+BA337+BK337</f>
        <v>83668000</v>
      </c>
    </row>
    <row r="338" spans="1:64" ht="50.25" customHeight="1" x14ac:dyDescent="0.2">
      <c r="A338" s="56">
        <v>223</v>
      </c>
      <c r="B338" s="56">
        <v>4</v>
      </c>
      <c r="C338" s="124"/>
      <c r="D338" s="183"/>
      <c r="E338" s="506"/>
      <c r="F338" s="517"/>
      <c r="G338" s="80"/>
      <c r="H338" s="80"/>
      <c r="I338" s="64">
        <v>225</v>
      </c>
      <c r="J338" s="60" t="s">
        <v>774</v>
      </c>
      <c r="K338" s="257" t="s">
        <v>775</v>
      </c>
      <c r="L338" s="61" t="s">
        <v>215</v>
      </c>
      <c r="M338" s="240">
        <v>9</v>
      </c>
      <c r="N338" s="334" t="s">
        <v>54</v>
      </c>
      <c r="O338" s="328">
        <v>0</v>
      </c>
      <c r="P338" s="328">
        <v>1</v>
      </c>
      <c r="Q338" s="271">
        <v>1</v>
      </c>
      <c r="R338" s="328">
        <v>1</v>
      </c>
      <c r="S338" s="328">
        <v>1</v>
      </c>
      <c r="T338" s="328">
        <v>1</v>
      </c>
      <c r="U338" s="211">
        <f>AG338/$AG$335</f>
        <v>3.8461538461538464E-2</v>
      </c>
      <c r="V338" s="65">
        <v>11</v>
      </c>
      <c r="W338" s="62" t="s">
        <v>226</v>
      </c>
      <c r="X338" s="176"/>
      <c r="Y338" s="96">
        <v>2000000</v>
      </c>
      <c r="Z338" s="176"/>
      <c r="AA338" s="176"/>
      <c r="AB338" s="176"/>
      <c r="AC338" s="176"/>
      <c r="AD338" s="176"/>
      <c r="AE338" s="176"/>
      <c r="AF338" s="176"/>
      <c r="AG338" s="69">
        <f>+X338+Y338+Z338+AA338+AB338+AC338+AD338+AE338+AF338</f>
        <v>2000000</v>
      </c>
      <c r="AH338" s="78"/>
      <c r="AI338" s="511">
        <v>2060000</v>
      </c>
      <c r="AJ338" s="78"/>
      <c r="AK338" s="78"/>
      <c r="AL338" s="78"/>
      <c r="AM338" s="78"/>
      <c r="AN338" s="78"/>
      <c r="AO338" s="78"/>
      <c r="AP338" s="78"/>
      <c r="AQ338" s="71">
        <f>AH338+AI338+AJ338+AK338+AL338+AM338+AN338+AO338+AP338</f>
        <v>2060000</v>
      </c>
      <c r="AR338" s="511"/>
      <c r="AS338" s="511">
        <v>2121800</v>
      </c>
      <c r="AT338" s="511"/>
      <c r="AU338" s="511"/>
      <c r="AV338" s="511"/>
      <c r="AW338" s="511"/>
      <c r="AX338" s="511"/>
      <c r="AY338" s="511"/>
      <c r="AZ338" s="511"/>
      <c r="BA338" s="511">
        <f>SUM(AR338:AZ338)</f>
        <v>2121800</v>
      </c>
      <c r="BB338" s="78"/>
      <c r="BC338" s="78">
        <v>2271804</v>
      </c>
      <c r="BD338" s="78"/>
      <c r="BE338" s="78"/>
      <c r="BF338" s="78"/>
      <c r="BG338" s="78"/>
      <c r="BH338" s="78"/>
      <c r="BI338" s="78"/>
      <c r="BJ338" s="78"/>
      <c r="BK338" s="78">
        <f>SUM(BB338:BJ338)</f>
        <v>2271804</v>
      </c>
      <c r="BL338" s="603">
        <f>AG338+AQ338+BA338+BK338</f>
        <v>8453604</v>
      </c>
    </row>
    <row r="339" spans="1:64" ht="24.75" customHeight="1" x14ac:dyDescent="0.2">
      <c r="A339" s="56"/>
      <c r="B339" s="56"/>
      <c r="C339" s="124"/>
      <c r="D339" s="30">
        <v>24</v>
      </c>
      <c r="E339" s="122" t="s">
        <v>776</v>
      </c>
      <c r="F339" s="35"/>
      <c r="G339" s="32"/>
      <c r="H339" s="33"/>
      <c r="I339" s="34"/>
      <c r="J339" s="35"/>
      <c r="K339" s="35"/>
      <c r="L339" s="36"/>
      <c r="M339" s="34"/>
      <c r="N339" s="37"/>
      <c r="O339" s="35"/>
      <c r="P339" s="35"/>
      <c r="Q339" s="38"/>
      <c r="R339" s="35"/>
      <c r="S339" s="38"/>
      <c r="T339" s="38"/>
      <c r="U339" s="38"/>
      <c r="V339" s="38"/>
      <c r="W339" s="38"/>
      <c r="X339" s="461">
        <f>X340+X346+X350</f>
        <v>0</v>
      </c>
      <c r="Y339" s="461">
        <f t="shared" ref="Y339:AG339" si="503">Y340+Y346+Y350</f>
        <v>0</v>
      </c>
      <c r="Z339" s="461">
        <f t="shared" si="503"/>
        <v>537000000</v>
      </c>
      <c r="AA339" s="461">
        <f t="shared" si="503"/>
        <v>0</v>
      </c>
      <c r="AB339" s="461">
        <f t="shared" si="503"/>
        <v>0</v>
      </c>
      <c r="AC339" s="461">
        <f t="shared" si="503"/>
        <v>0</v>
      </c>
      <c r="AD339" s="461">
        <f t="shared" si="503"/>
        <v>0</v>
      </c>
      <c r="AE339" s="461">
        <f t="shared" si="503"/>
        <v>0</v>
      </c>
      <c r="AF339" s="461">
        <f t="shared" si="503"/>
        <v>0</v>
      </c>
      <c r="AG339" s="461">
        <f t="shared" si="503"/>
        <v>537000000</v>
      </c>
      <c r="AH339" s="461">
        <f t="shared" ref="AH339:AQ339" si="504">AH340+AH346+AH350</f>
        <v>0</v>
      </c>
      <c r="AI339" s="461">
        <f t="shared" si="504"/>
        <v>0</v>
      </c>
      <c r="AJ339" s="461">
        <f t="shared" si="504"/>
        <v>464349775.75</v>
      </c>
      <c r="AK339" s="461">
        <f t="shared" si="504"/>
        <v>0</v>
      </c>
      <c r="AL339" s="461">
        <f t="shared" si="504"/>
        <v>0</v>
      </c>
      <c r="AM339" s="461">
        <f t="shared" si="504"/>
        <v>0</v>
      </c>
      <c r="AN339" s="461">
        <f t="shared" si="504"/>
        <v>0</v>
      </c>
      <c r="AO339" s="461">
        <f t="shared" si="504"/>
        <v>0</v>
      </c>
      <c r="AP339" s="461">
        <f t="shared" si="504"/>
        <v>0</v>
      </c>
      <c r="AQ339" s="461">
        <f t="shared" si="504"/>
        <v>464349775.75</v>
      </c>
      <c r="AR339" s="38"/>
      <c r="AS339" s="38"/>
      <c r="AT339" s="38"/>
      <c r="AU339" s="38"/>
      <c r="AV339" s="38"/>
      <c r="AW339" s="38"/>
      <c r="AX339" s="38"/>
      <c r="AY339" s="38"/>
      <c r="AZ339" s="38"/>
      <c r="BA339" s="461">
        <f t="shared" ref="BA339" si="505">BA340+BA346+BA350</f>
        <v>478280269.023</v>
      </c>
      <c r="BB339" s="38"/>
      <c r="BC339" s="38"/>
      <c r="BD339" s="38"/>
      <c r="BE339" s="38"/>
      <c r="BF339" s="38"/>
      <c r="BG339" s="38"/>
      <c r="BH339" s="38"/>
      <c r="BI339" s="38"/>
      <c r="BJ339" s="38"/>
      <c r="BK339" s="461">
        <f t="shared" ref="BK339" si="506">BK340+BK346+BK350</f>
        <v>492628677.08999997</v>
      </c>
      <c r="BL339" s="614">
        <f t="shared" ref="BL339" si="507">BL340+BL346+BL350</f>
        <v>1972258721.8629999</v>
      </c>
    </row>
    <row r="340" spans="1:64" ht="24.75" customHeight="1" x14ac:dyDescent="0.2">
      <c r="A340" s="56"/>
      <c r="B340" s="56"/>
      <c r="C340" s="124"/>
      <c r="D340" s="417"/>
      <c r="E340" s="44">
        <v>78</v>
      </c>
      <c r="F340" s="45" t="s">
        <v>777</v>
      </c>
      <c r="G340" s="48"/>
      <c r="H340" s="48"/>
      <c r="I340" s="47"/>
      <c r="J340" s="48"/>
      <c r="K340" s="48"/>
      <c r="L340" s="429"/>
      <c r="M340" s="430"/>
      <c r="N340" s="431"/>
      <c r="O340" s="48"/>
      <c r="P340" s="48"/>
      <c r="Q340" s="155"/>
      <c r="R340" s="156"/>
      <c r="S340" s="156"/>
      <c r="T340" s="430"/>
      <c r="U340" s="125"/>
      <c r="V340" s="49"/>
      <c r="W340" s="49"/>
      <c r="X340" s="53">
        <f t="shared" ref="X340:AF340" si="508">SUM(X341:X345)</f>
        <v>0</v>
      </c>
      <c r="Y340" s="53">
        <f t="shared" si="508"/>
        <v>0</v>
      </c>
      <c r="Z340" s="53">
        <f t="shared" si="508"/>
        <v>465000000</v>
      </c>
      <c r="AA340" s="53">
        <f t="shared" si="508"/>
        <v>0</v>
      </c>
      <c r="AB340" s="53">
        <f t="shared" si="508"/>
        <v>0</v>
      </c>
      <c r="AC340" s="53">
        <f t="shared" si="508"/>
        <v>0</v>
      </c>
      <c r="AD340" s="53">
        <f t="shared" si="508"/>
        <v>0</v>
      </c>
      <c r="AE340" s="53">
        <f t="shared" si="508"/>
        <v>0</v>
      </c>
      <c r="AF340" s="53">
        <f t="shared" si="508"/>
        <v>0</v>
      </c>
      <c r="AG340" s="54">
        <f>SUM(AG341:AG345)</f>
        <v>465000000</v>
      </c>
      <c r="AH340" s="53">
        <f t="shared" ref="AH340:AQ340" si="509">SUM(AH341:AH345)</f>
        <v>0</v>
      </c>
      <c r="AI340" s="53">
        <f t="shared" si="509"/>
        <v>0</v>
      </c>
      <c r="AJ340" s="53">
        <f t="shared" si="509"/>
        <v>390189775.75</v>
      </c>
      <c r="AK340" s="53">
        <f t="shared" si="509"/>
        <v>0</v>
      </c>
      <c r="AL340" s="53">
        <f t="shared" si="509"/>
        <v>0</v>
      </c>
      <c r="AM340" s="53">
        <f t="shared" si="509"/>
        <v>0</v>
      </c>
      <c r="AN340" s="53">
        <f t="shared" si="509"/>
        <v>0</v>
      </c>
      <c r="AO340" s="53">
        <f t="shared" si="509"/>
        <v>0</v>
      </c>
      <c r="AP340" s="53">
        <f t="shared" si="509"/>
        <v>0</v>
      </c>
      <c r="AQ340" s="53">
        <f t="shared" si="509"/>
        <v>390189775.75</v>
      </c>
      <c r="AR340" s="55"/>
      <c r="AS340" s="55"/>
      <c r="AT340" s="55"/>
      <c r="AU340" s="55"/>
      <c r="AV340" s="55"/>
      <c r="AW340" s="55"/>
      <c r="AX340" s="55"/>
      <c r="AY340" s="55"/>
      <c r="AZ340" s="55"/>
      <c r="BA340" s="53">
        <f t="shared" ref="BA340" si="510">SUM(BA341:BA345)</f>
        <v>401895469.023</v>
      </c>
      <c r="BB340" s="55"/>
      <c r="BC340" s="55"/>
      <c r="BD340" s="55"/>
      <c r="BE340" s="55"/>
      <c r="BF340" s="55"/>
      <c r="BG340" s="55"/>
      <c r="BH340" s="55"/>
      <c r="BI340" s="55"/>
      <c r="BJ340" s="55"/>
      <c r="BK340" s="53">
        <f t="shared" ref="BK340:BL340" si="511">SUM(BK341:BK345)</f>
        <v>413952333.08999997</v>
      </c>
      <c r="BL340" s="53">
        <f t="shared" si="511"/>
        <v>1671037577.8629999</v>
      </c>
    </row>
    <row r="341" spans="1:64" ht="158.25" customHeight="1" x14ac:dyDescent="0.2">
      <c r="A341" s="74">
        <v>224</v>
      </c>
      <c r="B341" s="56">
        <v>4</v>
      </c>
      <c r="C341" s="124"/>
      <c r="D341" s="124"/>
      <c r="E341" s="510">
        <v>13</v>
      </c>
      <c r="F341" s="532" t="s">
        <v>538</v>
      </c>
      <c r="G341" s="520">
        <v>0.71040000000000003</v>
      </c>
      <c r="H341" s="520">
        <v>0.88170000000000004</v>
      </c>
      <c r="I341" s="64">
        <v>226</v>
      </c>
      <c r="J341" s="60" t="s">
        <v>778</v>
      </c>
      <c r="K341" s="257" t="s">
        <v>779</v>
      </c>
      <c r="L341" s="60" t="s">
        <v>697</v>
      </c>
      <c r="M341" s="187">
        <v>14</v>
      </c>
      <c r="N341" s="81" t="s">
        <v>54</v>
      </c>
      <c r="O341" s="328">
        <v>12</v>
      </c>
      <c r="P341" s="328">
        <v>12</v>
      </c>
      <c r="Q341" s="187">
        <v>12</v>
      </c>
      <c r="R341" s="81">
        <v>12</v>
      </c>
      <c r="S341" s="81">
        <v>12</v>
      </c>
      <c r="T341" s="81">
        <v>12</v>
      </c>
      <c r="U341" s="295">
        <f>AG341/$AG$340</f>
        <v>0.36256344086021508</v>
      </c>
      <c r="V341" s="65">
        <v>16</v>
      </c>
      <c r="W341" s="157" t="s">
        <v>373</v>
      </c>
      <c r="X341" s="161"/>
      <c r="Y341" s="161"/>
      <c r="Z341" s="498">
        <v>168592000</v>
      </c>
      <c r="AA341" s="160"/>
      <c r="AB341" s="161"/>
      <c r="AC341" s="161"/>
      <c r="AD341" s="161"/>
      <c r="AE341" s="161"/>
      <c r="AF341" s="161"/>
      <c r="AG341" s="69">
        <f>+X341+Y341+Z341+AA341+AB341+AC341+AD341+AE341+AF341</f>
        <v>168592000</v>
      </c>
      <c r="AH341" s="223"/>
      <c r="AI341" s="223"/>
      <c r="AJ341" s="511">
        <v>140400000</v>
      </c>
      <c r="AK341" s="511"/>
      <c r="AL341" s="223"/>
      <c r="AM341" s="223"/>
      <c r="AN341" s="223"/>
      <c r="AO341" s="223"/>
      <c r="AP341" s="223"/>
      <c r="AQ341" s="71">
        <f>AH341+AI341+AJ341+AK341+AL341+AM341+AN341+AO341+AP341</f>
        <v>140400000</v>
      </c>
      <c r="AR341" s="511"/>
      <c r="AS341" s="511"/>
      <c r="AT341" s="511">
        <v>145700000</v>
      </c>
      <c r="AU341" s="511"/>
      <c r="AV341" s="511"/>
      <c r="AW341" s="511"/>
      <c r="AX341" s="511"/>
      <c r="AY341" s="511"/>
      <c r="AZ341" s="511"/>
      <c r="BA341" s="511">
        <f>SUM(AR341:AZ341)</f>
        <v>145700000</v>
      </c>
      <c r="BB341" s="78"/>
      <c r="BC341" s="78"/>
      <c r="BD341" s="78">
        <v>150083000</v>
      </c>
      <c r="BE341" s="78"/>
      <c r="BF341" s="78"/>
      <c r="BG341" s="78"/>
      <c r="BH341" s="78"/>
      <c r="BI341" s="78"/>
      <c r="BJ341" s="78"/>
      <c r="BK341" s="78">
        <f>SUM(BB341:BJ341)</f>
        <v>150083000</v>
      </c>
      <c r="BL341" s="603">
        <f>AG341+AQ341+BA341+BK341</f>
        <v>604775000</v>
      </c>
    </row>
    <row r="342" spans="1:64" ht="158.25" customHeight="1" x14ac:dyDescent="0.2">
      <c r="A342" s="56">
        <v>225</v>
      </c>
      <c r="B342" s="56">
        <v>4</v>
      </c>
      <c r="C342" s="124"/>
      <c r="D342" s="124"/>
      <c r="E342" s="79"/>
      <c r="F342" s="336"/>
      <c r="G342" s="337"/>
      <c r="H342" s="337"/>
      <c r="I342" s="64">
        <v>227</v>
      </c>
      <c r="J342" s="60" t="s">
        <v>780</v>
      </c>
      <c r="K342" s="257" t="s">
        <v>781</v>
      </c>
      <c r="L342" s="60" t="s">
        <v>697</v>
      </c>
      <c r="M342" s="187">
        <v>14</v>
      </c>
      <c r="N342" s="327" t="s">
        <v>54</v>
      </c>
      <c r="O342" s="328">
        <v>12</v>
      </c>
      <c r="P342" s="328">
        <v>12</v>
      </c>
      <c r="Q342" s="187">
        <v>12</v>
      </c>
      <c r="R342" s="81">
        <v>12</v>
      </c>
      <c r="S342" s="81">
        <v>12</v>
      </c>
      <c r="T342" s="81">
        <v>12</v>
      </c>
      <c r="U342" s="295">
        <f>AG342/$AG$340</f>
        <v>0.40056344086021506</v>
      </c>
      <c r="V342" s="65">
        <v>16</v>
      </c>
      <c r="W342" s="157" t="s">
        <v>373</v>
      </c>
      <c r="X342" s="161"/>
      <c r="Y342" s="161"/>
      <c r="Z342" s="498">
        <v>186262000</v>
      </c>
      <c r="AA342" s="160"/>
      <c r="AB342" s="161"/>
      <c r="AC342" s="161"/>
      <c r="AD342" s="161"/>
      <c r="AE342" s="161"/>
      <c r="AF342" s="161"/>
      <c r="AG342" s="69">
        <f>+X342+Y342+Z342+AA342+AB342+AC342+AD342+AE342+AF342</f>
        <v>186262000</v>
      </c>
      <c r="AH342" s="223"/>
      <c r="AI342" s="223"/>
      <c r="AJ342" s="511">
        <v>154300000</v>
      </c>
      <c r="AK342" s="511"/>
      <c r="AL342" s="223"/>
      <c r="AM342" s="223"/>
      <c r="AN342" s="223"/>
      <c r="AO342" s="223"/>
      <c r="AP342" s="223"/>
      <c r="AQ342" s="71">
        <f>AH342+AI342+AJ342+AK342+AL342+AM342+AN342+AO342+AP342</f>
        <v>154300000</v>
      </c>
      <c r="AR342" s="511"/>
      <c r="AS342" s="511"/>
      <c r="AT342" s="511">
        <v>160950000</v>
      </c>
      <c r="AU342" s="511"/>
      <c r="AV342" s="511"/>
      <c r="AW342" s="511"/>
      <c r="AX342" s="511"/>
      <c r="AY342" s="511"/>
      <c r="AZ342" s="511"/>
      <c r="BA342" s="511">
        <f>SUM(AR342:AZ342)</f>
        <v>160950000</v>
      </c>
      <c r="BB342" s="78"/>
      <c r="BC342" s="78"/>
      <c r="BD342" s="78">
        <v>165814000</v>
      </c>
      <c r="BE342" s="78"/>
      <c r="BF342" s="78"/>
      <c r="BG342" s="78"/>
      <c r="BH342" s="78"/>
      <c r="BI342" s="78"/>
      <c r="BJ342" s="78"/>
      <c r="BK342" s="78">
        <f>SUM(BB342:BJ342)</f>
        <v>165814000</v>
      </c>
      <c r="BL342" s="603">
        <f>AG342+AQ342+BA342+BK342</f>
        <v>667326000</v>
      </c>
    </row>
    <row r="343" spans="1:64" ht="158.25" customHeight="1" x14ac:dyDescent="0.2">
      <c r="A343" s="74">
        <v>226</v>
      </c>
      <c r="B343" s="56">
        <v>4</v>
      </c>
      <c r="C343" s="124"/>
      <c r="D343" s="124"/>
      <c r="E343" s="79"/>
      <c r="F343" s="336"/>
      <c r="G343" s="337"/>
      <c r="H343" s="337"/>
      <c r="I343" s="64">
        <v>228</v>
      </c>
      <c r="J343" s="60" t="s">
        <v>782</v>
      </c>
      <c r="K343" s="257" t="s">
        <v>783</v>
      </c>
      <c r="L343" s="60" t="s">
        <v>697</v>
      </c>
      <c r="M343" s="187">
        <v>14</v>
      </c>
      <c r="N343" s="327" t="s">
        <v>54</v>
      </c>
      <c r="O343" s="328">
        <v>2</v>
      </c>
      <c r="P343" s="328">
        <v>2</v>
      </c>
      <c r="Q343" s="187">
        <v>2</v>
      </c>
      <c r="R343" s="81">
        <v>2</v>
      </c>
      <c r="S343" s="81">
        <v>2</v>
      </c>
      <c r="T343" s="81">
        <v>2</v>
      </c>
      <c r="U343" s="295">
        <f>AG343/$AG$340</f>
        <v>6.4399999999999999E-2</v>
      </c>
      <c r="V343" s="65">
        <v>16</v>
      </c>
      <c r="W343" s="157" t="s">
        <v>373</v>
      </c>
      <c r="X343" s="161"/>
      <c r="Y343" s="161"/>
      <c r="Z343" s="498">
        <v>29946000</v>
      </c>
      <c r="AA343" s="160"/>
      <c r="AB343" s="161"/>
      <c r="AC343" s="161"/>
      <c r="AD343" s="161"/>
      <c r="AE343" s="161"/>
      <c r="AF343" s="161"/>
      <c r="AG343" s="69">
        <f>+X343+Y343+Z343+AA343+AB343+AC343+AD343+AE343+AF343</f>
        <v>29946000</v>
      </c>
      <c r="AH343" s="223"/>
      <c r="AI343" s="223"/>
      <c r="AJ343" s="511">
        <v>25100000</v>
      </c>
      <c r="AK343" s="511"/>
      <c r="AL343" s="223"/>
      <c r="AM343" s="223"/>
      <c r="AN343" s="223"/>
      <c r="AO343" s="223"/>
      <c r="AP343" s="223"/>
      <c r="AQ343" s="71">
        <f>AH343+AI343+AJ343+AK343+AL343+AM343+AN343+AO343+AP343</f>
        <v>25100000</v>
      </c>
      <c r="AR343" s="511"/>
      <c r="AS343" s="511"/>
      <c r="AT343" s="511">
        <v>25800000</v>
      </c>
      <c r="AU343" s="511"/>
      <c r="AV343" s="511"/>
      <c r="AW343" s="511"/>
      <c r="AX343" s="511"/>
      <c r="AY343" s="511"/>
      <c r="AZ343" s="511"/>
      <c r="BA343" s="511">
        <f>SUM(AR343:AZ343)</f>
        <v>25800000</v>
      </c>
      <c r="BB343" s="78"/>
      <c r="BC343" s="78"/>
      <c r="BD343" s="78">
        <v>26650000</v>
      </c>
      <c r="BE343" s="78"/>
      <c r="BF343" s="78"/>
      <c r="BG343" s="78"/>
      <c r="BH343" s="78"/>
      <c r="BI343" s="78"/>
      <c r="BJ343" s="78"/>
      <c r="BK343" s="78">
        <f>SUM(BB343:BJ343)</f>
        <v>26650000</v>
      </c>
      <c r="BL343" s="603">
        <f>AG343+AQ343+BA343+BK343</f>
        <v>107496000</v>
      </c>
    </row>
    <row r="344" spans="1:64" ht="158.25" customHeight="1" x14ac:dyDescent="0.2">
      <c r="A344" s="56">
        <v>227</v>
      </c>
      <c r="B344" s="56">
        <v>4</v>
      </c>
      <c r="C344" s="124"/>
      <c r="D344" s="124"/>
      <c r="E344" s="79"/>
      <c r="F344" s="336"/>
      <c r="G344" s="337"/>
      <c r="H344" s="337"/>
      <c r="I344" s="64">
        <v>229</v>
      </c>
      <c r="J344" s="60" t="s">
        <v>784</v>
      </c>
      <c r="K344" s="257" t="s">
        <v>785</v>
      </c>
      <c r="L344" s="60" t="s">
        <v>697</v>
      </c>
      <c r="M344" s="187">
        <v>14</v>
      </c>
      <c r="N344" s="327" t="s">
        <v>54</v>
      </c>
      <c r="O344" s="338">
        <v>13</v>
      </c>
      <c r="P344" s="338">
        <v>13</v>
      </c>
      <c r="Q344" s="187">
        <v>13</v>
      </c>
      <c r="R344" s="81">
        <v>13</v>
      </c>
      <c r="S344" s="81">
        <v>13</v>
      </c>
      <c r="T344" s="81">
        <v>13</v>
      </c>
      <c r="U344" s="295">
        <f>AG344/$AG$340</f>
        <v>0.11118279569892472</v>
      </c>
      <c r="V344" s="65">
        <v>16</v>
      </c>
      <c r="W344" s="157" t="s">
        <v>373</v>
      </c>
      <c r="X344" s="161"/>
      <c r="Y344" s="161"/>
      <c r="Z344" s="498">
        <v>51700000</v>
      </c>
      <c r="AA344" s="160"/>
      <c r="AB344" s="161"/>
      <c r="AC344" s="161"/>
      <c r="AD344" s="161"/>
      <c r="AE344" s="161"/>
      <c r="AF344" s="161"/>
      <c r="AG344" s="69">
        <f>+X344+Y344+Z344+AA344+AB344+AC344+AD344+AE344+AF344</f>
        <v>51700000</v>
      </c>
      <c r="AH344" s="223"/>
      <c r="AI344" s="223"/>
      <c r="AJ344" s="511">
        <v>47350000</v>
      </c>
      <c r="AK344" s="511"/>
      <c r="AL344" s="223"/>
      <c r="AM344" s="223"/>
      <c r="AN344" s="223"/>
      <c r="AO344" s="223"/>
      <c r="AP344" s="223"/>
      <c r="AQ344" s="71">
        <f>AH344+AI344+AJ344+AK344+AL344+AM344+AN344+AO344+AP344</f>
        <v>47350000</v>
      </c>
      <c r="AR344" s="511"/>
      <c r="AS344" s="511"/>
      <c r="AT344" s="511">
        <v>44600000</v>
      </c>
      <c r="AU344" s="511"/>
      <c r="AV344" s="511"/>
      <c r="AW344" s="511"/>
      <c r="AX344" s="511"/>
      <c r="AY344" s="511"/>
      <c r="AZ344" s="511"/>
      <c r="BA344" s="511">
        <f>SUM(AR344:AZ344)</f>
        <v>44600000</v>
      </c>
      <c r="BB344" s="78"/>
      <c r="BC344" s="78"/>
      <c r="BD344" s="78">
        <v>46024000</v>
      </c>
      <c r="BE344" s="78"/>
      <c r="BF344" s="78"/>
      <c r="BG344" s="78"/>
      <c r="BH344" s="78"/>
      <c r="BI344" s="78"/>
      <c r="BJ344" s="78"/>
      <c r="BK344" s="78">
        <f>SUM(BB344:BJ344)</f>
        <v>46024000</v>
      </c>
      <c r="BL344" s="603">
        <f>AG344+AQ344+BA344+BK344</f>
        <v>189674000</v>
      </c>
    </row>
    <row r="345" spans="1:64" ht="158.25" customHeight="1" x14ac:dyDescent="0.2">
      <c r="A345" s="74">
        <v>228</v>
      </c>
      <c r="B345" s="56">
        <v>4</v>
      </c>
      <c r="C345" s="124"/>
      <c r="D345" s="124"/>
      <c r="E345" s="506"/>
      <c r="F345" s="533"/>
      <c r="G345" s="521"/>
      <c r="H345" s="521"/>
      <c r="I345" s="64">
        <v>230</v>
      </c>
      <c r="J345" s="60" t="s">
        <v>786</v>
      </c>
      <c r="K345" s="257" t="s">
        <v>787</v>
      </c>
      <c r="L345" s="60" t="s">
        <v>697</v>
      </c>
      <c r="M345" s="187">
        <v>14</v>
      </c>
      <c r="N345" s="327" t="s">
        <v>54</v>
      </c>
      <c r="O345" s="328">
        <v>0</v>
      </c>
      <c r="P345" s="338">
        <v>1</v>
      </c>
      <c r="Q345" s="265">
        <v>1</v>
      </c>
      <c r="R345" s="266">
        <v>1</v>
      </c>
      <c r="S345" s="266">
        <v>1</v>
      </c>
      <c r="T345" s="266">
        <v>1</v>
      </c>
      <c r="U345" s="295">
        <f>AG345/$AG$340</f>
        <v>6.1290322580645158E-2</v>
      </c>
      <c r="V345" s="65">
        <v>16</v>
      </c>
      <c r="W345" s="157" t="s">
        <v>373</v>
      </c>
      <c r="X345" s="161"/>
      <c r="Y345" s="161"/>
      <c r="Z345" s="498">
        <v>28500000</v>
      </c>
      <c r="AA345" s="160"/>
      <c r="AB345" s="161"/>
      <c r="AC345" s="161"/>
      <c r="AD345" s="161"/>
      <c r="AE345" s="161"/>
      <c r="AF345" s="161"/>
      <c r="AG345" s="69">
        <f>+X345+Y345+Z345+AA345+AB345+AC345+AD345+AE345+AF345</f>
        <v>28500000</v>
      </c>
      <c r="AH345" s="223"/>
      <c r="AI345" s="223"/>
      <c r="AJ345" s="511">
        <v>23039775.75</v>
      </c>
      <c r="AK345" s="511"/>
      <c r="AL345" s="223"/>
      <c r="AM345" s="223"/>
      <c r="AN345" s="223"/>
      <c r="AO345" s="223"/>
      <c r="AP345" s="223"/>
      <c r="AQ345" s="71">
        <f>AH345+AI345+AJ345+AK345+AL345+AM345+AN345+AO345+AP345</f>
        <v>23039775.75</v>
      </c>
      <c r="AR345" s="511"/>
      <c r="AS345" s="511"/>
      <c r="AT345" s="511">
        <v>24845469.022999998</v>
      </c>
      <c r="AU345" s="511"/>
      <c r="AV345" s="511"/>
      <c r="AW345" s="511"/>
      <c r="AX345" s="511"/>
      <c r="AY345" s="511"/>
      <c r="AZ345" s="511"/>
      <c r="BA345" s="511">
        <f>SUM(AR345:AZ345)</f>
        <v>24845469.022999998</v>
      </c>
      <c r="BB345" s="78"/>
      <c r="BC345" s="78"/>
      <c r="BD345" s="78">
        <v>25381333.09</v>
      </c>
      <c r="BE345" s="78"/>
      <c r="BF345" s="78"/>
      <c r="BG345" s="78"/>
      <c r="BH345" s="78"/>
      <c r="BI345" s="78"/>
      <c r="BJ345" s="78"/>
      <c r="BK345" s="78">
        <f>SUM(BB345:BJ345)</f>
        <v>25381333.09</v>
      </c>
      <c r="BL345" s="603">
        <f>AG345+AQ345+BA345+BK345</f>
        <v>101766577.86300001</v>
      </c>
    </row>
    <row r="346" spans="1:64" ht="24.75" customHeight="1" x14ac:dyDescent="0.2">
      <c r="A346" s="74"/>
      <c r="B346" s="56"/>
      <c r="C346" s="124"/>
      <c r="D346" s="124"/>
      <c r="E346" s="44">
        <v>79</v>
      </c>
      <c r="F346" s="45" t="s">
        <v>788</v>
      </c>
      <c r="G346" s="48"/>
      <c r="H346" s="48"/>
      <c r="I346" s="49"/>
      <c r="J346" s="48"/>
      <c r="K346" s="48"/>
      <c r="L346" s="47"/>
      <c r="M346" s="49"/>
      <c r="N346" s="50"/>
      <c r="O346" s="48"/>
      <c r="P346" s="48"/>
      <c r="Q346" s="339"/>
      <c r="R346" s="340"/>
      <c r="S346" s="340"/>
      <c r="T346" s="341"/>
      <c r="U346" s="125"/>
      <c r="V346" s="49"/>
      <c r="W346" s="49"/>
      <c r="X346" s="53">
        <f t="shared" ref="X346:AF346" si="512">SUM(X347:X349)</f>
        <v>0</v>
      </c>
      <c r="Y346" s="53">
        <f t="shared" si="512"/>
        <v>0</v>
      </c>
      <c r="Z346" s="53">
        <f t="shared" si="512"/>
        <v>36000000</v>
      </c>
      <c r="AA346" s="53">
        <f t="shared" si="512"/>
        <v>0</v>
      </c>
      <c r="AB346" s="53">
        <f t="shared" si="512"/>
        <v>0</v>
      </c>
      <c r="AC346" s="53">
        <f t="shared" si="512"/>
        <v>0</v>
      </c>
      <c r="AD346" s="53">
        <f t="shared" si="512"/>
        <v>0</v>
      </c>
      <c r="AE346" s="53">
        <f t="shared" si="512"/>
        <v>0</v>
      </c>
      <c r="AF346" s="53">
        <f t="shared" si="512"/>
        <v>0</v>
      </c>
      <c r="AG346" s="54">
        <f>SUM(AG347:AG349)</f>
        <v>36000000</v>
      </c>
      <c r="AH346" s="53">
        <f t="shared" ref="AH346:AQ346" si="513">SUM(AH347:AH349)</f>
        <v>0</v>
      </c>
      <c r="AI346" s="53">
        <f t="shared" si="513"/>
        <v>0</v>
      </c>
      <c r="AJ346" s="53">
        <f t="shared" si="513"/>
        <v>37080000</v>
      </c>
      <c r="AK346" s="53">
        <f t="shared" si="513"/>
        <v>0</v>
      </c>
      <c r="AL346" s="53">
        <f t="shared" si="513"/>
        <v>0</v>
      </c>
      <c r="AM346" s="53">
        <f t="shared" si="513"/>
        <v>0</v>
      </c>
      <c r="AN346" s="53">
        <f t="shared" si="513"/>
        <v>0</v>
      </c>
      <c r="AO346" s="53">
        <f t="shared" si="513"/>
        <v>0</v>
      </c>
      <c r="AP346" s="53">
        <f t="shared" si="513"/>
        <v>0</v>
      </c>
      <c r="AQ346" s="53">
        <f t="shared" si="513"/>
        <v>37080000</v>
      </c>
      <c r="AR346" s="55"/>
      <c r="AS346" s="55"/>
      <c r="AT346" s="55"/>
      <c r="AU346" s="55"/>
      <c r="AV346" s="55"/>
      <c r="AW346" s="55"/>
      <c r="AX346" s="55"/>
      <c r="AY346" s="55"/>
      <c r="AZ346" s="55"/>
      <c r="BA346" s="53">
        <f t="shared" ref="BA346" si="514">SUM(BA347:BA349)</f>
        <v>38192400</v>
      </c>
      <c r="BB346" s="55"/>
      <c r="BC346" s="55"/>
      <c r="BD346" s="55"/>
      <c r="BE346" s="55"/>
      <c r="BF346" s="55"/>
      <c r="BG346" s="55"/>
      <c r="BH346" s="55"/>
      <c r="BI346" s="55"/>
      <c r="BJ346" s="55"/>
      <c r="BK346" s="53">
        <f t="shared" ref="BK346:BL346" si="515">SUM(BK347:BK349)</f>
        <v>39338172</v>
      </c>
      <c r="BL346" s="53">
        <f t="shared" si="515"/>
        <v>150610572</v>
      </c>
    </row>
    <row r="347" spans="1:64" ht="99.75" customHeight="1" x14ac:dyDescent="0.2">
      <c r="A347" s="56">
        <v>229</v>
      </c>
      <c r="B347" s="56">
        <v>4</v>
      </c>
      <c r="C347" s="124"/>
      <c r="D347" s="124"/>
      <c r="E347" s="510">
        <v>13</v>
      </c>
      <c r="F347" s="532" t="s">
        <v>538</v>
      </c>
      <c r="G347" s="455">
        <v>0.71040000000000003</v>
      </c>
      <c r="H347" s="455">
        <v>0.88170000000000004</v>
      </c>
      <c r="I347" s="64">
        <v>231</v>
      </c>
      <c r="J347" s="60" t="s">
        <v>789</v>
      </c>
      <c r="K347" s="257" t="s">
        <v>790</v>
      </c>
      <c r="L347" s="60" t="s">
        <v>697</v>
      </c>
      <c r="M347" s="187">
        <v>14</v>
      </c>
      <c r="N347" s="327" t="s">
        <v>54</v>
      </c>
      <c r="O347" s="328">
        <v>1</v>
      </c>
      <c r="P347" s="328">
        <v>1</v>
      </c>
      <c r="Q347" s="187">
        <v>1</v>
      </c>
      <c r="R347" s="81">
        <v>1</v>
      </c>
      <c r="S347" s="81">
        <v>1</v>
      </c>
      <c r="T347" s="81">
        <v>1</v>
      </c>
      <c r="U347" s="282">
        <f>AG347/$AG$346</f>
        <v>8.3333333333333329E-2</v>
      </c>
      <c r="V347" s="65">
        <v>16</v>
      </c>
      <c r="W347" s="157" t="s">
        <v>373</v>
      </c>
      <c r="X347" s="283"/>
      <c r="Y347" s="283"/>
      <c r="Z347" s="96">
        <v>3000000</v>
      </c>
      <c r="AA347" s="161"/>
      <c r="AB347" s="283"/>
      <c r="AC347" s="283"/>
      <c r="AD347" s="283"/>
      <c r="AE347" s="283"/>
      <c r="AF347" s="283"/>
      <c r="AG347" s="69">
        <f>+X347+Y347+Z347+AA347+AB347+AC347+AD347+AE347+AF347</f>
        <v>3000000</v>
      </c>
      <c r="AH347" s="78"/>
      <c r="AI347" s="78"/>
      <c r="AJ347" s="511">
        <v>3090000</v>
      </c>
      <c r="AK347" s="78"/>
      <c r="AL347" s="78"/>
      <c r="AM347" s="78"/>
      <c r="AN347" s="78"/>
      <c r="AO347" s="78"/>
      <c r="AP347" s="78"/>
      <c r="AQ347" s="71">
        <f>AH347+AI347+AJ347+AK347+AL347+AM347+AN347+AO347+AP347</f>
        <v>3090000</v>
      </c>
      <c r="AR347" s="511"/>
      <c r="AS347" s="511"/>
      <c r="AT347" s="511">
        <v>3180000</v>
      </c>
      <c r="AU347" s="511"/>
      <c r="AV347" s="511"/>
      <c r="AW347" s="511"/>
      <c r="AX347" s="511"/>
      <c r="AY347" s="511"/>
      <c r="AZ347" s="511"/>
      <c r="BA347" s="511">
        <f>SUM(AR347:AZ347)</f>
        <v>3180000</v>
      </c>
      <c r="BB347" s="78"/>
      <c r="BC347" s="78"/>
      <c r="BD347" s="78">
        <v>3300000</v>
      </c>
      <c r="BE347" s="78"/>
      <c r="BF347" s="78"/>
      <c r="BG347" s="78"/>
      <c r="BH347" s="78"/>
      <c r="BI347" s="78"/>
      <c r="BJ347" s="78"/>
      <c r="BK347" s="78">
        <f>SUM(BB347:BJ347)</f>
        <v>3300000</v>
      </c>
      <c r="BL347" s="603">
        <f>AG347+AQ347+BA347+BK347</f>
        <v>12570000</v>
      </c>
    </row>
    <row r="348" spans="1:64" ht="92.25" customHeight="1" x14ac:dyDescent="0.2">
      <c r="A348" s="74">
        <v>230</v>
      </c>
      <c r="B348" s="56">
        <v>4</v>
      </c>
      <c r="C348" s="124"/>
      <c r="D348" s="124"/>
      <c r="E348" s="79"/>
      <c r="F348" s="336"/>
      <c r="G348" s="342"/>
      <c r="H348" s="342"/>
      <c r="I348" s="64">
        <v>232</v>
      </c>
      <c r="J348" s="60" t="s">
        <v>791</v>
      </c>
      <c r="K348" s="257" t="s">
        <v>792</v>
      </c>
      <c r="L348" s="60" t="s">
        <v>697</v>
      </c>
      <c r="M348" s="187">
        <v>14</v>
      </c>
      <c r="N348" s="327" t="s">
        <v>54</v>
      </c>
      <c r="O348" s="328">
        <v>12</v>
      </c>
      <c r="P348" s="328">
        <v>12</v>
      </c>
      <c r="Q348" s="187">
        <v>12</v>
      </c>
      <c r="R348" s="81">
        <v>12</v>
      </c>
      <c r="S348" s="81">
        <v>12</v>
      </c>
      <c r="T348" s="81">
        <v>12</v>
      </c>
      <c r="U348" s="282">
        <f>AG348/$AG$346</f>
        <v>0.51111111111111107</v>
      </c>
      <c r="V348" s="65">
        <v>16</v>
      </c>
      <c r="W348" s="157" t="s">
        <v>373</v>
      </c>
      <c r="X348" s="283"/>
      <c r="Y348" s="283"/>
      <c r="Z348" s="96">
        <v>18400000</v>
      </c>
      <c r="AA348" s="161"/>
      <c r="AB348" s="283"/>
      <c r="AC348" s="283"/>
      <c r="AD348" s="283"/>
      <c r="AE348" s="283"/>
      <c r="AF348" s="283"/>
      <c r="AG348" s="69">
        <f>+X348+Y348+Z348+AA348+AB348+AC348+AD348+AE348+AF348</f>
        <v>18400000</v>
      </c>
      <c r="AH348" s="78"/>
      <c r="AI348" s="78"/>
      <c r="AJ348" s="511">
        <v>18952000</v>
      </c>
      <c r="AK348" s="78"/>
      <c r="AL348" s="78"/>
      <c r="AM348" s="78"/>
      <c r="AN348" s="78"/>
      <c r="AO348" s="78"/>
      <c r="AP348" s="78"/>
      <c r="AQ348" s="71">
        <f>AH348+AI348+AJ348+AK348+AL348+AM348+AN348+AO348+AP348</f>
        <v>18952000</v>
      </c>
      <c r="AR348" s="511"/>
      <c r="AS348" s="511"/>
      <c r="AT348" s="511">
        <v>19520000</v>
      </c>
      <c r="AU348" s="511"/>
      <c r="AV348" s="511"/>
      <c r="AW348" s="511"/>
      <c r="AX348" s="511"/>
      <c r="AY348" s="511"/>
      <c r="AZ348" s="511"/>
      <c r="BA348" s="511">
        <f>SUM(AR348:AZ348)</f>
        <v>19520000</v>
      </c>
      <c r="BB348" s="78"/>
      <c r="BC348" s="78"/>
      <c r="BD348" s="78">
        <v>20100000</v>
      </c>
      <c r="BE348" s="78"/>
      <c r="BF348" s="78"/>
      <c r="BG348" s="78"/>
      <c r="BH348" s="78"/>
      <c r="BI348" s="78"/>
      <c r="BJ348" s="78"/>
      <c r="BK348" s="78">
        <f>SUM(BB348:BJ348)</f>
        <v>20100000</v>
      </c>
      <c r="BL348" s="603">
        <f>AG348+AQ348+BA348+BK348</f>
        <v>76972000</v>
      </c>
    </row>
    <row r="349" spans="1:64" ht="89.25" customHeight="1" x14ac:dyDescent="0.2">
      <c r="A349" s="56">
        <v>231</v>
      </c>
      <c r="B349" s="56">
        <v>4</v>
      </c>
      <c r="C349" s="124"/>
      <c r="D349" s="124"/>
      <c r="E349" s="506"/>
      <c r="F349" s="533"/>
      <c r="G349" s="343"/>
      <c r="H349" s="343"/>
      <c r="I349" s="64">
        <v>233</v>
      </c>
      <c r="J349" s="60" t="s">
        <v>793</v>
      </c>
      <c r="K349" s="257" t="s">
        <v>794</v>
      </c>
      <c r="L349" s="60" t="s">
        <v>697</v>
      </c>
      <c r="M349" s="187">
        <v>14</v>
      </c>
      <c r="N349" s="531" t="s">
        <v>54</v>
      </c>
      <c r="O349" s="328">
        <v>1</v>
      </c>
      <c r="P349" s="328">
        <v>1</v>
      </c>
      <c r="Q349" s="187">
        <v>1</v>
      </c>
      <c r="R349" s="81">
        <v>1</v>
      </c>
      <c r="S349" s="81">
        <v>1</v>
      </c>
      <c r="T349" s="81">
        <v>1</v>
      </c>
      <c r="U349" s="282">
        <f>AG349/$AG$346</f>
        <v>0.40555555555555556</v>
      </c>
      <c r="V349" s="65">
        <v>16</v>
      </c>
      <c r="W349" s="157" t="s">
        <v>373</v>
      </c>
      <c r="X349" s="283"/>
      <c r="Y349" s="283"/>
      <c r="Z349" s="96">
        <f>9600000+5000000</f>
        <v>14600000</v>
      </c>
      <c r="AA349" s="161"/>
      <c r="AB349" s="283"/>
      <c r="AC349" s="283"/>
      <c r="AD349" s="283"/>
      <c r="AE349" s="283"/>
      <c r="AF349" s="283"/>
      <c r="AG349" s="69">
        <f>+X349+Y349+Z349+AA349+AB349+AC349+AD349+AE349+AF349</f>
        <v>14600000</v>
      </c>
      <c r="AH349" s="78"/>
      <c r="AI349" s="78"/>
      <c r="AJ349" s="511">
        <v>15038000</v>
      </c>
      <c r="AK349" s="78"/>
      <c r="AL349" s="78"/>
      <c r="AM349" s="78"/>
      <c r="AN349" s="78"/>
      <c r="AO349" s="78"/>
      <c r="AP349" s="78"/>
      <c r="AQ349" s="71">
        <f>AH349+AI349+AJ349+AK349+AL349+AM349+AN349+AO349+AP349</f>
        <v>15038000</v>
      </c>
      <c r="AR349" s="511"/>
      <c r="AS349" s="511"/>
      <c r="AT349" s="511">
        <v>15492400</v>
      </c>
      <c r="AU349" s="511"/>
      <c r="AV349" s="511"/>
      <c r="AW349" s="511"/>
      <c r="AX349" s="511"/>
      <c r="AY349" s="511"/>
      <c r="AZ349" s="511"/>
      <c r="BA349" s="511">
        <f>SUM(AR349:AZ349)</f>
        <v>15492400</v>
      </c>
      <c r="BB349" s="78"/>
      <c r="BC349" s="78"/>
      <c r="BD349" s="78">
        <v>15938172</v>
      </c>
      <c r="BE349" s="78"/>
      <c r="BF349" s="78"/>
      <c r="BG349" s="78"/>
      <c r="BH349" s="78"/>
      <c r="BI349" s="78"/>
      <c r="BJ349" s="78"/>
      <c r="BK349" s="78">
        <f>SUM(BB349:BJ349)</f>
        <v>15938172</v>
      </c>
      <c r="BL349" s="603">
        <f>AG349+AQ349+BA349+BK349</f>
        <v>61068572</v>
      </c>
    </row>
    <row r="350" spans="1:64" ht="24.75" customHeight="1" x14ac:dyDescent="0.2">
      <c r="A350" s="56"/>
      <c r="B350" s="56"/>
      <c r="C350" s="124"/>
      <c r="D350" s="124"/>
      <c r="E350" s="44">
        <v>80</v>
      </c>
      <c r="F350" s="45" t="s">
        <v>795</v>
      </c>
      <c r="G350" s="48"/>
      <c r="H350" s="48"/>
      <c r="I350" s="47"/>
      <c r="J350" s="48"/>
      <c r="K350" s="48"/>
      <c r="L350" s="47"/>
      <c r="M350" s="49"/>
      <c r="N350" s="50"/>
      <c r="O350" s="48"/>
      <c r="P350" s="48"/>
      <c r="Q350" s="344"/>
      <c r="R350" s="48"/>
      <c r="S350" s="133"/>
      <c r="T350" s="345"/>
      <c r="U350" s="125"/>
      <c r="V350" s="49"/>
      <c r="W350" s="49"/>
      <c r="X350" s="53">
        <f t="shared" ref="X350:AF350" si="516">SUM(X351:X352)</f>
        <v>0</v>
      </c>
      <c r="Y350" s="53">
        <f t="shared" si="516"/>
        <v>0</v>
      </c>
      <c r="Z350" s="53">
        <f t="shared" si="516"/>
        <v>36000000</v>
      </c>
      <c r="AA350" s="53">
        <f t="shared" si="516"/>
        <v>0</v>
      </c>
      <c r="AB350" s="53">
        <f t="shared" si="516"/>
        <v>0</v>
      </c>
      <c r="AC350" s="53">
        <f t="shared" si="516"/>
        <v>0</v>
      </c>
      <c r="AD350" s="53">
        <f t="shared" si="516"/>
        <v>0</v>
      </c>
      <c r="AE350" s="53">
        <f t="shared" si="516"/>
        <v>0</v>
      </c>
      <c r="AF350" s="53">
        <f t="shared" si="516"/>
        <v>0</v>
      </c>
      <c r="AG350" s="54">
        <f>SUM(AG351:AG352)</f>
        <v>36000000</v>
      </c>
      <c r="AH350" s="53">
        <f t="shared" ref="AH350:AQ350" si="517">SUM(AH351:AH352)</f>
        <v>0</v>
      </c>
      <c r="AI350" s="53">
        <f t="shared" si="517"/>
        <v>0</v>
      </c>
      <c r="AJ350" s="53">
        <f t="shared" si="517"/>
        <v>37080000</v>
      </c>
      <c r="AK350" s="53">
        <f t="shared" si="517"/>
        <v>0</v>
      </c>
      <c r="AL350" s="53">
        <f t="shared" si="517"/>
        <v>0</v>
      </c>
      <c r="AM350" s="53">
        <f t="shared" si="517"/>
        <v>0</v>
      </c>
      <c r="AN350" s="53">
        <f t="shared" si="517"/>
        <v>0</v>
      </c>
      <c r="AO350" s="53">
        <f t="shared" si="517"/>
        <v>0</v>
      </c>
      <c r="AP350" s="53">
        <f t="shared" si="517"/>
        <v>0</v>
      </c>
      <c r="AQ350" s="53">
        <f t="shared" si="517"/>
        <v>37080000</v>
      </c>
      <c r="AR350" s="55"/>
      <c r="AS350" s="55"/>
      <c r="AT350" s="55"/>
      <c r="AU350" s="55"/>
      <c r="AV350" s="55"/>
      <c r="AW350" s="55"/>
      <c r="AX350" s="55"/>
      <c r="AY350" s="55"/>
      <c r="AZ350" s="55"/>
      <c r="BA350" s="53">
        <f t="shared" ref="BA350" si="518">SUM(BA351:BA352)</f>
        <v>38192400</v>
      </c>
      <c r="BB350" s="55"/>
      <c r="BC350" s="55"/>
      <c r="BD350" s="55"/>
      <c r="BE350" s="55"/>
      <c r="BF350" s="55"/>
      <c r="BG350" s="55"/>
      <c r="BH350" s="55"/>
      <c r="BI350" s="55"/>
      <c r="BJ350" s="55"/>
      <c r="BK350" s="53">
        <f t="shared" ref="BK350:BL350" si="519">SUM(BK351:BK352)</f>
        <v>39338172</v>
      </c>
      <c r="BL350" s="53">
        <f t="shared" si="519"/>
        <v>150610572</v>
      </c>
    </row>
    <row r="351" spans="1:64" ht="91.5" customHeight="1" x14ac:dyDescent="0.2">
      <c r="A351" s="74">
        <v>232</v>
      </c>
      <c r="B351" s="56">
        <v>4</v>
      </c>
      <c r="C351" s="124"/>
      <c r="D351" s="124"/>
      <c r="E351" s="510">
        <v>13</v>
      </c>
      <c r="F351" s="516" t="s">
        <v>538</v>
      </c>
      <c r="G351" s="455">
        <v>0.71040000000000003</v>
      </c>
      <c r="H351" s="455">
        <v>0.88170000000000004</v>
      </c>
      <c r="I351" s="64">
        <v>234</v>
      </c>
      <c r="J351" s="60" t="s">
        <v>796</v>
      </c>
      <c r="K351" s="257" t="s">
        <v>797</v>
      </c>
      <c r="L351" s="60" t="s">
        <v>697</v>
      </c>
      <c r="M351" s="187">
        <v>14</v>
      </c>
      <c r="N351" s="327" t="s">
        <v>69</v>
      </c>
      <c r="O351" s="328" t="s">
        <v>49</v>
      </c>
      <c r="P351" s="328">
        <v>12</v>
      </c>
      <c r="Q351" s="519">
        <v>1</v>
      </c>
      <c r="R351" s="506">
        <v>7</v>
      </c>
      <c r="S351" s="506">
        <v>2</v>
      </c>
      <c r="T351" s="506">
        <v>2</v>
      </c>
      <c r="U351" s="282">
        <f>AG351/$AG$350</f>
        <v>0.3611111111111111</v>
      </c>
      <c r="V351" s="65">
        <v>16</v>
      </c>
      <c r="W351" s="157" t="s">
        <v>373</v>
      </c>
      <c r="X351" s="283"/>
      <c r="Y351" s="283"/>
      <c r="Z351" s="96">
        <f>3000000+10000000</f>
        <v>13000000</v>
      </c>
      <c r="AA351" s="161"/>
      <c r="AB351" s="283"/>
      <c r="AC351" s="283"/>
      <c r="AD351" s="283"/>
      <c r="AE351" s="283"/>
      <c r="AF351" s="283"/>
      <c r="AG351" s="69">
        <f>+X351+Y351+Z351+AA351+AB351+AC351+AD351+AE351+AF351</f>
        <v>13000000</v>
      </c>
      <c r="AH351" s="78"/>
      <c r="AI351" s="78"/>
      <c r="AJ351" s="511">
        <v>13390000</v>
      </c>
      <c r="AK351" s="78"/>
      <c r="AL351" s="78"/>
      <c r="AM351" s="78"/>
      <c r="AN351" s="78"/>
      <c r="AO351" s="78"/>
      <c r="AP351" s="78"/>
      <c r="AQ351" s="71">
        <f>AH351+AI351+AJ351+AK351+AL351+AM351+AN351+AO351+AP351</f>
        <v>13390000</v>
      </c>
      <c r="AR351" s="511"/>
      <c r="AS351" s="511"/>
      <c r="AT351" s="511">
        <v>13700000</v>
      </c>
      <c r="AU351" s="511"/>
      <c r="AV351" s="511"/>
      <c r="AW351" s="511"/>
      <c r="AX351" s="511"/>
      <c r="AY351" s="511"/>
      <c r="AZ351" s="511"/>
      <c r="BA351" s="511">
        <f>SUM(AR351:AZ351)</f>
        <v>13700000</v>
      </c>
      <c r="BB351" s="78"/>
      <c r="BC351" s="78"/>
      <c r="BD351" s="78">
        <v>14205000</v>
      </c>
      <c r="BE351" s="78"/>
      <c r="BF351" s="78"/>
      <c r="BG351" s="78"/>
      <c r="BH351" s="78"/>
      <c r="BI351" s="78"/>
      <c r="BJ351" s="78"/>
      <c r="BK351" s="78">
        <f>SUM(BB351:BJ351)</f>
        <v>14205000</v>
      </c>
      <c r="BL351" s="603">
        <f>AG351+AQ351+BA351+BK351</f>
        <v>54295000</v>
      </c>
    </row>
    <row r="352" spans="1:64" ht="66.75" customHeight="1" x14ac:dyDescent="0.2">
      <c r="A352" s="56">
        <v>233</v>
      </c>
      <c r="B352" s="56">
        <v>4</v>
      </c>
      <c r="C352" s="124"/>
      <c r="D352" s="183"/>
      <c r="E352" s="506"/>
      <c r="F352" s="517"/>
      <c r="G352" s="343"/>
      <c r="H352" s="343"/>
      <c r="I352" s="64">
        <v>235</v>
      </c>
      <c r="J352" s="60" t="s">
        <v>798</v>
      </c>
      <c r="K352" s="257" t="s">
        <v>799</v>
      </c>
      <c r="L352" s="60" t="s">
        <v>697</v>
      </c>
      <c r="M352" s="187">
        <v>14</v>
      </c>
      <c r="N352" s="531" t="s">
        <v>69</v>
      </c>
      <c r="O352" s="328" t="s">
        <v>49</v>
      </c>
      <c r="P352" s="328">
        <v>12</v>
      </c>
      <c r="Q352" s="346">
        <v>1</v>
      </c>
      <c r="R352" s="79">
        <v>7</v>
      </c>
      <c r="S352" s="79">
        <v>2</v>
      </c>
      <c r="T352" s="79">
        <v>2</v>
      </c>
      <c r="U352" s="282">
        <f>AG352/$AG$350</f>
        <v>0.63888888888888884</v>
      </c>
      <c r="V352" s="65">
        <v>16</v>
      </c>
      <c r="W352" s="157" t="s">
        <v>373</v>
      </c>
      <c r="X352" s="283"/>
      <c r="Y352" s="283"/>
      <c r="Z352" s="96">
        <f>13000000+10000000</f>
        <v>23000000</v>
      </c>
      <c r="AA352" s="161"/>
      <c r="AB352" s="283"/>
      <c r="AC352" s="283"/>
      <c r="AD352" s="283"/>
      <c r="AE352" s="283"/>
      <c r="AF352" s="283"/>
      <c r="AG352" s="69">
        <f>+X352+Y352+Z352+AA352+AB352+AC352+AD352+AE352+AF352</f>
        <v>23000000</v>
      </c>
      <c r="AH352" s="78"/>
      <c r="AI352" s="78"/>
      <c r="AJ352" s="511">
        <v>23690000</v>
      </c>
      <c r="AK352" s="78"/>
      <c r="AL352" s="78"/>
      <c r="AM352" s="78"/>
      <c r="AN352" s="78"/>
      <c r="AO352" s="78"/>
      <c r="AP352" s="78"/>
      <c r="AQ352" s="71">
        <f>AH352+AI352+AJ352+AK352+AL352+AM352+AN352+AO352+AP352</f>
        <v>23690000</v>
      </c>
      <c r="AR352" s="511"/>
      <c r="AS352" s="511"/>
      <c r="AT352" s="511">
        <f>24400700+91700</f>
        <v>24492400</v>
      </c>
      <c r="AU352" s="511"/>
      <c r="AV352" s="511"/>
      <c r="AW352" s="511"/>
      <c r="AX352" s="511"/>
      <c r="AY352" s="511"/>
      <c r="AZ352" s="511"/>
      <c r="BA352" s="511">
        <f>SUM(AR352:AZ352)</f>
        <v>24492400</v>
      </c>
      <c r="BB352" s="78"/>
      <c r="BC352" s="78"/>
      <c r="BD352" s="78">
        <v>25133171.999999996</v>
      </c>
      <c r="BE352" s="78"/>
      <c r="BF352" s="78"/>
      <c r="BG352" s="78"/>
      <c r="BH352" s="78"/>
      <c r="BI352" s="78"/>
      <c r="BJ352" s="78"/>
      <c r="BK352" s="78">
        <f>SUM(BB352:BJ352)</f>
        <v>25133171.999999996</v>
      </c>
      <c r="BL352" s="603">
        <f>AG352+AQ352+BA352+BK352</f>
        <v>96315572</v>
      </c>
    </row>
    <row r="353" spans="1:64" ht="24.75" customHeight="1" x14ac:dyDescent="0.2">
      <c r="A353" s="56"/>
      <c r="B353" s="56"/>
      <c r="C353" s="124"/>
      <c r="D353" s="30">
        <v>25</v>
      </c>
      <c r="E353" s="122" t="s">
        <v>800</v>
      </c>
      <c r="F353" s="35"/>
      <c r="G353" s="32"/>
      <c r="H353" s="33"/>
      <c r="I353" s="34"/>
      <c r="J353" s="35"/>
      <c r="K353" s="35"/>
      <c r="L353" s="36"/>
      <c r="M353" s="34"/>
      <c r="N353" s="37"/>
      <c r="O353" s="35"/>
      <c r="P353" s="35"/>
      <c r="Q353" s="38"/>
      <c r="R353" s="35"/>
      <c r="S353" s="38"/>
      <c r="T353" s="38"/>
      <c r="U353" s="38"/>
      <c r="V353" s="38"/>
      <c r="W353" s="38"/>
      <c r="X353" s="461">
        <f>X354+X360</f>
        <v>0</v>
      </c>
      <c r="Y353" s="461">
        <f t="shared" ref="Y353:AG353" si="520">Y354+Y360</f>
        <v>0</v>
      </c>
      <c r="Z353" s="461">
        <f t="shared" si="520"/>
        <v>480000000</v>
      </c>
      <c r="AA353" s="461">
        <f t="shared" si="520"/>
        <v>0</v>
      </c>
      <c r="AB353" s="461">
        <f t="shared" si="520"/>
        <v>0</v>
      </c>
      <c r="AC353" s="461">
        <f t="shared" si="520"/>
        <v>0</v>
      </c>
      <c r="AD353" s="461">
        <f t="shared" si="520"/>
        <v>0</v>
      </c>
      <c r="AE353" s="461">
        <f t="shared" si="520"/>
        <v>0</v>
      </c>
      <c r="AF353" s="461">
        <f t="shared" si="520"/>
        <v>0</v>
      </c>
      <c r="AG353" s="461">
        <f t="shared" si="520"/>
        <v>480000000</v>
      </c>
      <c r="AH353" s="461">
        <f t="shared" ref="AH353:AQ353" si="521">AH354+AH360</f>
        <v>0</v>
      </c>
      <c r="AI353" s="461">
        <f t="shared" si="521"/>
        <v>0</v>
      </c>
      <c r="AJ353" s="461">
        <f t="shared" si="521"/>
        <v>490000000</v>
      </c>
      <c r="AK353" s="461">
        <f t="shared" si="521"/>
        <v>0</v>
      </c>
      <c r="AL353" s="461">
        <f t="shared" si="521"/>
        <v>0</v>
      </c>
      <c r="AM353" s="461">
        <f t="shared" si="521"/>
        <v>0</v>
      </c>
      <c r="AN353" s="461">
        <f t="shared" si="521"/>
        <v>0</v>
      </c>
      <c r="AO353" s="461">
        <f t="shared" si="521"/>
        <v>0</v>
      </c>
      <c r="AP353" s="461">
        <f t="shared" si="521"/>
        <v>0</v>
      </c>
      <c r="AQ353" s="461">
        <f t="shared" si="521"/>
        <v>490000000</v>
      </c>
      <c r="AR353" s="38"/>
      <c r="AS353" s="38"/>
      <c r="AT353" s="38"/>
      <c r="AU353" s="38"/>
      <c r="AV353" s="38"/>
      <c r="AW353" s="38"/>
      <c r="AX353" s="38"/>
      <c r="AY353" s="38"/>
      <c r="AZ353" s="38"/>
      <c r="BA353" s="461">
        <f t="shared" ref="BA353" si="522">BA354+BA360</f>
        <v>280000000</v>
      </c>
      <c r="BB353" s="38"/>
      <c r="BC353" s="38"/>
      <c r="BD353" s="38"/>
      <c r="BE353" s="38"/>
      <c r="BF353" s="38"/>
      <c r="BG353" s="38"/>
      <c r="BH353" s="38"/>
      <c r="BI353" s="38"/>
      <c r="BJ353" s="38"/>
      <c r="BK353" s="461">
        <f t="shared" ref="BK353" si="523">BK354+BK360</f>
        <v>230000000</v>
      </c>
      <c r="BL353" s="614">
        <f t="shared" ref="BL353" si="524">BL354+BL360</f>
        <v>1480000000</v>
      </c>
    </row>
    <row r="354" spans="1:64" ht="24.75" customHeight="1" x14ac:dyDescent="0.2">
      <c r="A354" s="56"/>
      <c r="B354" s="56"/>
      <c r="C354" s="124"/>
      <c r="D354" s="417"/>
      <c r="E354" s="44">
        <v>81</v>
      </c>
      <c r="F354" s="45" t="s">
        <v>801</v>
      </c>
      <c r="G354" s="48"/>
      <c r="H354" s="48"/>
      <c r="I354" s="49"/>
      <c r="J354" s="48"/>
      <c r="K354" s="48"/>
      <c r="L354" s="429"/>
      <c r="M354" s="430"/>
      <c r="N354" s="431"/>
      <c r="O354" s="48"/>
      <c r="P354" s="48"/>
      <c r="Q354" s="155"/>
      <c r="R354" s="156"/>
      <c r="S354" s="156"/>
      <c r="T354" s="430"/>
      <c r="U354" s="125"/>
      <c r="V354" s="49"/>
      <c r="W354" s="49"/>
      <c r="X354" s="53">
        <f t="shared" ref="X354:AF354" si="525">SUM(X355:X359)</f>
        <v>0</v>
      </c>
      <c r="Y354" s="53">
        <f t="shared" si="525"/>
        <v>0</v>
      </c>
      <c r="Z354" s="53">
        <f t="shared" si="525"/>
        <v>400000000</v>
      </c>
      <c r="AA354" s="53">
        <f t="shared" si="525"/>
        <v>0</v>
      </c>
      <c r="AB354" s="53">
        <f t="shared" si="525"/>
        <v>0</v>
      </c>
      <c r="AC354" s="53">
        <f t="shared" si="525"/>
        <v>0</v>
      </c>
      <c r="AD354" s="53">
        <f t="shared" si="525"/>
        <v>0</v>
      </c>
      <c r="AE354" s="53">
        <f t="shared" si="525"/>
        <v>0</v>
      </c>
      <c r="AF354" s="53">
        <f t="shared" si="525"/>
        <v>0</v>
      </c>
      <c r="AG354" s="54">
        <f>SUM(AG355:AG359)</f>
        <v>400000000</v>
      </c>
      <c r="AH354" s="53">
        <f t="shared" ref="AH354:AQ354" si="526">SUM(AH355:AH359)</f>
        <v>0</v>
      </c>
      <c r="AI354" s="53">
        <f t="shared" si="526"/>
        <v>0</v>
      </c>
      <c r="AJ354" s="53">
        <f t="shared" si="526"/>
        <v>400000000</v>
      </c>
      <c r="AK354" s="53">
        <f t="shared" si="526"/>
        <v>0</v>
      </c>
      <c r="AL354" s="53">
        <f t="shared" si="526"/>
        <v>0</v>
      </c>
      <c r="AM354" s="53">
        <f t="shared" si="526"/>
        <v>0</v>
      </c>
      <c r="AN354" s="53">
        <f t="shared" si="526"/>
        <v>0</v>
      </c>
      <c r="AO354" s="53">
        <f t="shared" si="526"/>
        <v>0</v>
      </c>
      <c r="AP354" s="53">
        <f t="shared" si="526"/>
        <v>0</v>
      </c>
      <c r="AQ354" s="53">
        <f t="shared" si="526"/>
        <v>400000000</v>
      </c>
      <c r="AR354" s="55"/>
      <c r="AS354" s="55"/>
      <c r="AT354" s="55"/>
      <c r="AU354" s="55"/>
      <c r="AV354" s="55"/>
      <c r="AW354" s="55"/>
      <c r="AX354" s="55"/>
      <c r="AY354" s="55"/>
      <c r="AZ354" s="55"/>
      <c r="BA354" s="53">
        <f t="shared" ref="BA354" si="527">SUM(BA355:BA359)</f>
        <v>200000000</v>
      </c>
      <c r="BB354" s="55"/>
      <c r="BC354" s="55"/>
      <c r="BD354" s="55"/>
      <c r="BE354" s="55"/>
      <c r="BF354" s="55"/>
      <c r="BG354" s="55"/>
      <c r="BH354" s="55"/>
      <c r="BI354" s="55"/>
      <c r="BJ354" s="55"/>
      <c r="BK354" s="53">
        <f t="shared" ref="BK354:BL354" si="528">SUM(BK355:BK359)</f>
        <v>150000000</v>
      </c>
      <c r="BL354" s="53">
        <f t="shared" si="528"/>
        <v>1150000000</v>
      </c>
    </row>
    <row r="355" spans="1:64" ht="60.75" customHeight="1" x14ac:dyDescent="0.2">
      <c r="A355" s="74">
        <v>234</v>
      </c>
      <c r="B355" s="56">
        <v>4</v>
      </c>
      <c r="C355" s="124"/>
      <c r="D355" s="124"/>
      <c r="E355" s="438">
        <v>38</v>
      </c>
      <c r="F355" s="456" t="s">
        <v>802</v>
      </c>
      <c r="G355" s="510">
        <v>0</v>
      </c>
      <c r="H355" s="510">
        <v>2</v>
      </c>
      <c r="I355" s="64">
        <v>236</v>
      </c>
      <c r="J355" s="60" t="s">
        <v>803</v>
      </c>
      <c r="K355" s="257" t="s">
        <v>804</v>
      </c>
      <c r="L355" s="64" t="s">
        <v>805</v>
      </c>
      <c r="M355" s="187">
        <v>12</v>
      </c>
      <c r="N355" s="81" t="s">
        <v>69</v>
      </c>
      <c r="O355" s="328">
        <v>1</v>
      </c>
      <c r="P355" s="328">
        <v>14</v>
      </c>
      <c r="Q355" s="187">
        <v>4</v>
      </c>
      <c r="R355" s="81">
        <v>7</v>
      </c>
      <c r="S355" s="81">
        <v>2</v>
      </c>
      <c r="T355" s="81">
        <v>1</v>
      </c>
      <c r="U355" s="295">
        <f>AG355/$AG$354</f>
        <v>0.14374999999999999</v>
      </c>
      <c r="V355" s="65">
        <v>11</v>
      </c>
      <c r="W355" s="157" t="s">
        <v>226</v>
      </c>
      <c r="X355" s="161"/>
      <c r="Y355" s="161"/>
      <c r="Z355" s="96">
        <v>57500000</v>
      </c>
      <c r="AA355" s="161"/>
      <c r="AB355" s="161"/>
      <c r="AC355" s="161"/>
      <c r="AD355" s="161"/>
      <c r="AE355" s="161"/>
      <c r="AF355" s="161"/>
      <c r="AG355" s="69">
        <f>+X355+Y355+Z355+AA355+AB355+AC355+AD355+AE355+AF355</f>
        <v>57500000</v>
      </c>
      <c r="AH355" s="78"/>
      <c r="AI355" s="78"/>
      <c r="AJ355" s="78">
        <v>57499999.999999993</v>
      </c>
      <c r="AK355" s="78"/>
      <c r="AL355" s="78"/>
      <c r="AM355" s="78"/>
      <c r="AN355" s="78"/>
      <c r="AO355" s="78"/>
      <c r="AP355" s="78"/>
      <c r="AQ355" s="71">
        <f>AH355+AI355+AJ355+AK355+AL355+AM355+AN355+AO355+AP355</f>
        <v>57499999.999999993</v>
      </c>
      <c r="AR355" s="78"/>
      <c r="AS355" s="78"/>
      <c r="AT355" s="511">
        <v>28749999.999999996</v>
      </c>
      <c r="AU355" s="78"/>
      <c r="AV355" s="78"/>
      <c r="AW355" s="78"/>
      <c r="AX355" s="78"/>
      <c r="AY355" s="78"/>
      <c r="AZ355" s="78"/>
      <c r="BA355" s="78">
        <f>SUM(AR355:AZ355)</f>
        <v>28749999.999999996</v>
      </c>
      <c r="BB355" s="78"/>
      <c r="BC355" s="78"/>
      <c r="BD355" s="78">
        <v>21500000</v>
      </c>
      <c r="BE355" s="78"/>
      <c r="BF355" s="78"/>
      <c r="BG355" s="78"/>
      <c r="BH355" s="78"/>
      <c r="BI355" s="78"/>
      <c r="BJ355" s="78"/>
      <c r="BK355" s="78">
        <f>SUM(BB355:BJ355)</f>
        <v>21500000</v>
      </c>
      <c r="BL355" s="603">
        <f>AG355+AQ355+BA355+BK355</f>
        <v>165250000</v>
      </c>
    </row>
    <row r="356" spans="1:64" ht="218.25" customHeight="1" x14ac:dyDescent="0.2">
      <c r="A356" s="56">
        <v>235</v>
      </c>
      <c r="B356" s="56">
        <v>4</v>
      </c>
      <c r="C356" s="124"/>
      <c r="D356" s="124"/>
      <c r="E356" s="531"/>
      <c r="F356" s="128"/>
      <c r="G356" s="124"/>
      <c r="H356" s="124"/>
      <c r="I356" s="64">
        <v>237</v>
      </c>
      <c r="J356" s="60" t="s">
        <v>806</v>
      </c>
      <c r="K356" s="257" t="s">
        <v>807</v>
      </c>
      <c r="L356" s="64" t="s">
        <v>805</v>
      </c>
      <c r="M356" s="187">
        <v>12</v>
      </c>
      <c r="N356" s="81" t="s">
        <v>69</v>
      </c>
      <c r="O356" s="328" t="s">
        <v>49</v>
      </c>
      <c r="P356" s="338">
        <v>150</v>
      </c>
      <c r="Q356" s="187">
        <v>50</v>
      </c>
      <c r="R356" s="81">
        <v>70</v>
      </c>
      <c r="S356" s="81">
        <v>20</v>
      </c>
      <c r="T356" s="81">
        <v>10</v>
      </c>
      <c r="U356" s="295">
        <f>AG356/$AG$354</f>
        <v>0.1605</v>
      </c>
      <c r="V356" s="65">
        <v>4</v>
      </c>
      <c r="W356" s="157" t="s">
        <v>110</v>
      </c>
      <c r="X356" s="161"/>
      <c r="Y356" s="161"/>
      <c r="Z356" s="96">
        <f>49000000+15200000</f>
        <v>64200000</v>
      </c>
      <c r="AA356" s="161"/>
      <c r="AB356" s="161"/>
      <c r="AC356" s="161"/>
      <c r="AD356" s="161"/>
      <c r="AE356" s="161"/>
      <c r="AF356" s="161"/>
      <c r="AG356" s="69">
        <f>+X356+Y356+Z356+AA356+AB356+AC356+AD356+AE356+AF356</f>
        <v>64200000</v>
      </c>
      <c r="AH356" s="78"/>
      <c r="AI356" s="78"/>
      <c r="AJ356" s="78">
        <v>64200000</v>
      </c>
      <c r="AK356" s="78"/>
      <c r="AL356" s="78"/>
      <c r="AM356" s="78"/>
      <c r="AN356" s="78"/>
      <c r="AO356" s="78"/>
      <c r="AP356" s="78"/>
      <c r="AQ356" s="71">
        <f>AH356+AI356+AJ356+AK356+AL356+AM356+AN356+AO356+AP356</f>
        <v>64200000</v>
      </c>
      <c r="AR356" s="78"/>
      <c r="AS356" s="78"/>
      <c r="AT356" s="511">
        <v>32100000</v>
      </c>
      <c r="AU356" s="78"/>
      <c r="AV356" s="78"/>
      <c r="AW356" s="78"/>
      <c r="AX356" s="78"/>
      <c r="AY356" s="78"/>
      <c r="AZ356" s="78"/>
      <c r="BA356" s="78">
        <f>SUM(AR356:AZ356)</f>
        <v>32100000</v>
      </c>
      <c r="BB356" s="78"/>
      <c r="BC356" s="78"/>
      <c r="BD356" s="78">
        <v>24000000</v>
      </c>
      <c r="BE356" s="78"/>
      <c r="BF356" s="78"/>
      <c r="BG356" s="78"/>
      <c r="BH356" s="78"/>
      <c r="BI356" s="78"/>
      <c r="BJ356" s="78"/>
      <c r="BK356" s="78">
        <f>SUM(BB356:BJ356)</f>
        <v>24000000</v>
      </c>
      <c r="BL356" s="603">
        <f>AG356+AQ356+BA356+BK356</f>
        <v>184500000</v>
      </c>
    </row>
    <row r="357" spans="1:64" ht="203.25" customHeight="1" x14ac:dyDescent="0.2">
      <c r="A357" s="74">
        <v>236</v>
      </c>
      <c r="B357" s="56">
        <v>4</v>
      </c>
      <c r="C357" s="124"/>
      <c r="D357" s="124"/>
      <c r="E357" s="531"/>
      <c r="F357" s="128"/>
      <c r="G357" s="124"/>
      <c r="H357" s="124"/>
      <c r="I357" s="64">
        <v>238</v>
      </c>
      <c r="J357" s="60" t="s">
        <v>808</v>
      </c>
      <c r="K357" s="257" t="s">
        <v>809</v>
      </c>
      <c r="L357" s="64" t="s">
        <v>805</v>
      </c>
      <c r="M357" s="187">
        <v>12</v>
      </c>
      <c r="N357" s="81" t="s">
        <v>54</v>
      </c>
      <c r="O357" s="328" t="s">
        <v>49</v>
      </c>
      <c r="P357" s="328">
        <v>12</v>
      </c>
      <c r="Q357" s="187">
        <v>12</v>
      </c>
      <c r="R357" s="81">
        <v>12</v>
      </c>
      <c r="S357" s="81">
        <v>12</v>
      </c>
      <c r="T357" s="81">
        <v>12</v>
      </c>
      <c r="U357" s="295">
        <f>AG357/$AG$354</f>
        <v>0.24399999999999999</v>
      </c>
      <c r="V357" s="65">
        <v>11</v>
      </c>
      <c r="W357" s="157" t="s">
        <v>226</v>
      </c>
      <c r="X357" s="161"/>
      <c r="Y357" s="161"/>
      <c r="Z357" s="96">
        <f>67600000+30000000</f>
        <v>97600000</v>
      </c>
      <c r="AA357" s="161"/>
      <c r="AB357" s="161"/>
      <c r="AC357" s="161"/>
      <c r="AD357" s="161"/>
      <c r="AE357" s="161"/>
      <c r="AF357" s="161"/>
      <c r="AG357" s="69">
        <f>+X357+Y357+Z357+AA357+AB357+AC357+AD357+AE357+AF357</f>
        <v>97600000</v>
      </c>
      <c r="AH357" s="78"/>
      <c r="AI357" s="78"/>
      <c r="AJ357" s="78">
        <v>97600000</v>
      </c>
      <c r="AK357" s="78"/>
      <c r="AL357" s="78"/>
      <c r="AM357" s="78"/>
      <c r="AN357" s="78"/>
      <c r="AO357" s="78"/>
      <c r="AP357" s="78"/>
      <c r="AQ357" s="71">
        <f>AH357+AI357+AJ357+AK357+AL357+AM357+AN357+AO357+AP357</f>
        <v>97600000</v>
      </c>
      <c r="AR357" s="78"/>
      <c r="AS357" s="78"/>
      <c r="AT357" s="511">
        <v>48800000</v>
      </c>
      <c r="AU357" s="78"/>
      <c r="AV357" s="78"/>
      <c r="AW357" s="78"/>
      <c r="AX357" s="78"/>
      <c r="AY357" s="78"/>
      <c r="AZ357" s="78"/>
      <c r="BA357" s="78">
        <f>SUM(AR357:AZ357)</f>
        <v>48800000</v>
      </c>
      <c r="BB357" s="78"/>
      <c r="BC357" s="78"/>
      <c r="BD357" s="78">
        <v>36600000</v>
      </c>
      <c r="BE357" s="78"/>
      <c r="BF357" s="78"/>
      <c r="BG357" s="78"/>
      <c r="BH357" s="78"/>
      <c r="BI357" s="78"/>
      <c r="BJ357" s="78"/>
      <c r="BK357" s="78">
        <f>SUM(BB357:BJ357)</f>
        <v>36600000</v>
      </c>
      <c r="BL357" s="603">
        <f>AG357+AQ357+BA357+BK357</f>
        <v>280600000</v>
      </c>
    </row>
    <row r="358" spans="1:64" ht="60.75" customHeight="1" x14ac:dyDescent="0.2">
      <c r="A358" s="56">
        <v>237</v>
      </c>
      <c r="B358" s="56">
        <v>4</v>
      </c>
      <c r="C358" s="124"/>
      <c r="D358" s="124"/>
      <c r="E358" s="531"/>
      <c r="F358" s="128"/>
      <c r="G358" s="124"/>
      <c r="H358" s="124"/>
      <c r="I358" s="64">
        <v>239</v>
      </c>
      <c r="J358" s="60" t="s">
        <v>810</v>
      </c>
      <c r="K358" s="257" t="s">
        <v>811</v>
      </c>
      <c r="L358" s="64" t="s">
        <v>805</v>
      </c>
      <c r="M358" s="187">
        <v>12</v>
      </c>
      <c r="N358" s="81" t="s">
        <v>69</v>
      </c>
      <c r="O358" s="328" t="s">
        <v>49</v>
      </c>
      <c r="P358" s="328">
        <v>10</v>
      </c>
      <c r="Q358" s="187">
        <v>1</v>
      </c>
      <c r="R358" s="81">
        <v>6</v>
      </c>
      <c r="S358" s="81">
        <v>2</v>
      </c>
      <c r="T358" s="81">
        <v>1</v>
      </c>
      <c r="U358" s="295">
        <f>AG358/$AG$354</f>
        <v>0.15007000000000001</v>
      </c>
      <c r="V358" s="65">
        <v>11</v>
      </c>
      <c r="W358" s="157" t="s">
        <v>226</v>
      </c>
      <c r="X358" s="161"/>
      <c r="Y358" s="161"/>
      <c r="Z358" s="96">
        <v>60028000</v>
      </c>
      <c r="AA358" s="161"/>
      <c r="AB358" s="161"/>
      <c r="AC358" s="161"/>
      <c r="AD358" s="161"/>
      <c r="AE358" s="161"/>
      <c r="AF358" s="161"/>
      <c r="AG358" s="69">
        <f>+X358+Y358+Z358+AA358+AB358+AC358+AD358+AE358+AF358</f>
        <v>60028000</v>
      </c>
      <c r="AH358" s="78"/>
      <c r="AI358" s="78"/>
      <c r="AJ358" s="78">
        <v>60028000</v>
      </c>
      <c r="AK358" s="78"/>
      <c r="AL358" s="78"/>
      <c r="AM358" s="78"/>
      <c r="AN358" s="78"/>
      <c r="AO358" s="78"/>
      <c r="AP358" s="78"/>
      <c r="AQ358" s="71">
        <f>AH358+AI358+AJ358+AK358+AL358+AM358+AN358+AO358+AP358</f>
        <v>60028000</v>
      </c>
      <c r="AR358" s="78"/>
      <c r="AS358" s="78"/>
      <c r="AT358" s="511">
        <v>30014000</v>
      </c>
      <c r="AU358" s="78"/>
      <c r="AV358" s="78"/>
      <c r="AW358" s="78"/>
      <c r="AX358" s="78"/>
      <c r="AY358" s="78"/>
      <c r="AZ358" s="78"/>
      <c r="BA358" s="78">
        <f>SUM(AR358:AZ358)</f>
        <v>30014000</v>
      </c>
      <c r="BB358" s="78"/>
      <c r="BC358" s="78"/>
      <c r="BD358" s="78">
        <v>22600000</v>
      </c>
      <c r="BE358" s="78"/>
      <c r="BF358" s="78"/>
      <c r="BG358" s="78"/>
      <c r="BH358" s="78"/>
      <c r="BI358" s="78"/>
      <c r="BJ358" s="78"/>
      <c r="BK358" s="78">
        <f>SUM(BB358:BJ358)</f>
        <v>22600000</v>
      </c>
      <c r="BL358" s="603">
        <f>AG358+AQ358+BA358+BK358</f>
        <v>172670000</v>
      </c>
    </row>
    <row r="359" spans="1:64" ht="60.75" customHeight="1" x14ac:dyDescent="0.2">
      <c r="A359" s="74">
        <v>238</v>
      </c>
      <c r="B359" s="56">
        <v>4</v>
      </c>
      <c r="C359" s="124"/>
      <c r="D359" s="124"/>
      <c r="E359" s="327"/>
      <c r="F359" s="253"/>
      <c r="G359" s="124"/>
      <c r="H359" s="124"/>
      <c r="I359" s="64">
        <v>240</v>
      </c>
      <c r="J359" s="60" t="s">
        <v>812</v>
      </c>
      <c r="K359" s="347" t="s">
        <v>813</v>
      </c>
      <c r="L359" s="64" t="s">
        <v>805</v>
      </c>
      <c r="M359" s="187">
        <v>12</v>
      </c>
      <c r="N359" s="81" t="s">
        <v>54</v>
      </c>
      <c r="O359" s="328">
        <v>1</v>
      </c>
      <c r="P359" s="328">
        <v>1</v>
      </c>
      <c r="Q359" s="187">
        <v>1</v>
      </c>
      <c r="R359" s="81">
        <v>1</v>
      </c>
      <c r="S359" s="81">
        <v>1</v>
      </c>
      <c r="T359" s="81">
        <v>1</v>
      </c>
      <c r="U359" s="295">
        <f>AG359/$AG$354</f>
        <v>0.30168</v>
      </c>
      <c r="V359" s="65">
        <v>11</v>
      </c>
      <c r="W359" s="157" t="s">
        <v>226</v>
      </c>
      <c r="X359" s="161"/>
      <c r="Y359" s="161"/>
      <c r="Z359" s="96">
        <f>80800000+39872000</f>
        <v>120672000</v>
      </c>
      <c r="AA359" s="161"/>
      <c r="AB359" s="161"/>
      <c r="AC359" s="161"/>
      <c r="AD359" s="161"/>
      <c r="AE359" s="161"/>
      <c r="AF359" s="161"/>
      <c r="AG359" s="69">
        <f>+X359+Y359+Z359+AA359+AB359+AC359+AD359+AE359+AF359</f>
        <v>120672000</v>
      </c>
      <c r="AH359" s="78"/>
      <c r="AI359" s="78"/>
      <c r="AJ359" s="78">
        <v>120672000</v>
      </c>
      <c r="AK359" s="78"/>
      <c r="AL359" s="78"/>
      <c r="AM359" s="78"/>
      <c r="AN359" s="78"/>
      <c r="AO359" s="78"/>
      <c r="AP359" s="78"/>
      <c r="AQ359" s="71">
        <f>AH359+AI359+AJ359+AK359+AL359+AM359+AN359+AO359+AP359</f>
        <v>120672000</v>
      </c>
      <c r="AR359" s="78"/>
      <c r="AS359" s="78"/>
      <c r="AT359" s="511">
        <v>60336000</v>
      </c>
      <c r="AU359" s="78"/>
      <c r="AV359" s="78"/>
      <c r="AW359" s="78"/>
      <c r="AX359" s="78"/>
      <c r="AY359" s="78"/>
      <c r="AZ359" s="78"/>
      <c r="BA359" s="78">
        <f>SUM(AR359:AZ359)</f>
        <v>60336000</v>
      </c>
      <c r="BB359" s="78"/>
      <c r="BC359" s="78"/>
      <c r="BD359" s="78">
        <v>45300000</v>
      </c>
      <c r="BE359" s="78"/>
      <c r="BF359" s="78"/>
      <c r="BG359" s="78"/>
      <c r="BH359" s="78"/>
      <c r="BI359" s="78"/>
      <c r="BJ359" s="78"/>
      <c r="BK359" s="78">
        <f>SUM(BB359:BJ359)</f>
        <v>45300000</v>
      </c>
      <c r="BL359" s="603">
        <f>AG359+AQ359+BA359+BK359</f>
        <v>346980000</v>
      </c>
    </row>
    <row r="360" spans="1:64" ht="24.75" customHeight="1" x14ac:dyDescent="0.2">
      <c r="A360" s="74"/>
      <c r="B360" s="56"/>
      <c r="C360" s="124"/>
      <c r="D360" s="124"/>
      <c r="E360" s="44">
        <v>82</v>
      </c>
      <c r="F360" s="330" t="s">
        <v>814</v>
      </c>
      <c r="G360" s="133"/>
      <c r="H360" s="133"/>
      <c r="I360" s="49"/>
      <c r="J360" s="45"/>
      <c r="K360" s="48"/>
      <c r="L360" s="166"/>
      <c r="M360" s="345"/>
      <c r="N360" s="348"/>
      <c r="O360" s="48"/>
      <c r="P360" s="48"/>
      <c r="Q360" s="344"/>
      <c r="R360" s="133"/>
      <c r="S360" s="133"/>
      <c r="T360" s="345"/>
      <c r="U360" s="125"/>
      <c r="V360" s="49"/>
      <c r="W360" s="49"/>
      <c r="X360" s="53">
        <f t="shared" ref="X360:AF360" si="529">SUM(X361:X362)</f>
        <v>0</v>
      </c>
      <c r="Y360" s="53">
        <f t="shared" si="529"/>
        <v>0</v>
      </c>
      <c r="Z360" s="53">
        <f t="shared" si="529"/>
        <v>80000000</v>
      </c>
      <c r="AA360" s="53">
        <f t="shared" si="529"/>
        <v>0</v>
      </c>
      <c r="AB360" s="53">
        <f t="shared" si="529"/>
        <v>0</v>
      </c>
      <c r="AC360" s="53">
        <f t="shared" si="529"/>
        <v>0</v>
      </c>
      <c r="AD360" s="53">
        <f t="shared" si="529"/>
        <v>0</v>
      </c>
      <c r="AE360" s="53">
        <f t="shared" si="529"/>
        <v>0</v>
      </c>
      <c r="AF360" s="53">
        <f t="shared" si="529"/>
        <v>0</v>
      </c>
      <c r="AG360" s="54">
        <f>SUM(AG361:AG362)</f>
        <v>80000000</v>
      </c>
      <c r="AH360" s="53">
        <f t="shared" ref="AH360:AQ360" si="530">SUM(AH361:AH362)</f>
        <v>0</v>
      </c>
      <c r="AI360" s="53">
        <f t="shared" si="530"/>
        <v>0</v>
      </c>
      <c r="AJ360" s="53">
        <f t="shared" si="530"/>
        <v>90000000</v>
      </c>
      <c r="AK360" s="53">
        <f t="shared" si="530"/>
        <v>0</v>
      </c>
      <c r="AL360" s="53">
        <f t="shared" si="530"/>
        <v>0</v>
      </c>
      <c r="AM360" s="53">
        <f t="shared" si="530"/>
        <v>0</v>
      </c>
      <c r="AN360" s="53">
        <f t="shared" si="530"/>
        <v>0</v>
      </c>
      <c r="AO360" s="53">
        <f t="shared" si="530"/>
        <v>0</v>
      </c>
      <c r="AP360" s="53">
        <f t="shared" si="530"/>
        <v>0</v>
      </c>
      <c r="AQ360" s="53">
        <f t="shared" si="530"/>
        <v>90000000</v>
      </c>
      <c r="AR360" s="55"/>
      <c r="AS360" s="55"/>
      <c r="AT360" s="55"/>
      <c r="AU360" s="55"/>
      <c r="AV360" s="55"/>
      <c r="AW360" s="55"/>
      <c r="AX360" s="55"/>
      <c r="AY360" s="55"/>
      <c r="AZ360" s="55"/>
      <c r="BA360" s="53">
        <f t="shared" ref="BA360" si="531">SUM(BA361:BA362)</f>
        <v>80000000</v>
      </c>
      <c r="BB360" s="55"/>
      <c r="BC360" s="55"/>
      <c r="BD360" s="55"/>
      <c r="BE360" s="55"/>
      <c r="BF360" s="55"/>
      <c r="BG360" s="55"/>
      <c r="BH360" s="55"/>
      <c r="BI360" s="55"/>
      <c r="BJ360" s="55"/>
      <c r="BK360" s="53">
        <f t="shared" ref="BK360:BL360" si="532">SUM(BK361:BK362)</f>
        <v>80000000</v>
      </c>
      <c r="BL360" s="53">
        <f t="shared" si="532"/>
        <v>330000000</v>
      </c>
    </row>
    <row r="361" spans="1:64" ht="120.75" customHeight="1" x14ac:dyDescent="0.2">
      <c r="A361" s="56">
        <v>239</v>
      </c>
      <c r="B361" s="56">
        <v>4</v>
      </c>
      <c r="C361" s="124"/>
      <c r="D361" s="124"/>
      <c r="E361" s="491">
        <v>38</v>
      </c>
      <c r="F361" s="456" t="s">
        <v>802</v>
      </c>
      <c r="G361" s="510">
        <v>0</v>
      </c>
      <c r="H361" s="510">
        <v>2</v>
      </c>
      <c r="I361" s="64">
        <v>241</v>
      </c>
      <c r="J361" s="60" t="s">
        <v>815</v>
      </c>
      <c r="K361" s="257" t="s">
        <v>816</v>
      </c>
      <c r="L361" s="64" t="s">
        <v>805</v>
      </c>
      <c r="M361" s="187">
        <v>12</v>
      </c>
      <c r="N361" s="81" t="s">
        <v>54</v>
      </c>
      <c r="O361" s="328">
        <v>1</v>
      </c>
      <c r="P361" s="328">
        <v>1</v>
      </c>
      <c r="Q361" s="346">
        <v>1</v>
      </c>
      <c r="R361" s="79">
        <v>1</v>
      </c>
      <c r="S361" s="79">
        <v>1</v>
      </c>
      <c r="T361" s="79">
        <v>1</v>
      </c>
      <c r="U361" s="300">
        <f>AG361/AG360</f>
        <v>0.5625</v>
      </c>
      <c r="V361" s="65">
        <v>11</v>
      </c>
      <c r="W361" s="62" t="s">
        <v>226</v>
      </c>
      <c r="X361" s="96"/>
      <c r="Y361" s="96"/>
      <c r="Z361" s="96">
        <v>45000000</v>
      </c>
      <c r="AA361" s="96"/>
      <c r="AB361" s="96"/>
      <c r="AC361" s="96"/>
      <c r="AD361" s="96"/>
      <c r="AE361" s="96"/>
      <c r="AF361" s="96"/>
      <c r="AG361" s="69">
        <f>+X361+Y361+Z361+AA361+AB361+AC361+AD361+AE361+AF361</f>
        <v>45000000</v>
      </c>
      <c r="AH361" s="78"/>
      <c r="AI361" s="78"/>
      <c r="AJ361" s="511">
        <v>50625000</v>
      </c>
      <c r="AK361" s="78"/>
      <c r="AL361" s="78"/>
      <c r="AM361" s="78"/>
      <c r="AN361" s="78"/>
      <c r="AO361" s="78"/>
      <c r="AP361" s="78"/>
      <c r="AQ361" s="71">
        <f>AH361+AI361+AJ361+AK361+AL361+AM361+AN361+AO361+AP361</f>
        <v>50625000</v>
      </c>
      <c r="AR361" s="78"/>
      <c r="AS361" s="78"/>
      <c r="AT361" s="78">
        <v>45000000</v>
      </c>
      <c r="AU361" s="78"/>
      <c r="AV361" s="78"/>
      <c r="AW361" s="78"/>
      <c r="AX361" s="78"/>
      <c r="AY361" s="78"/>
      <c r="AZ361" s="78"/>
      <c r="BA361" s="78">
        <f>SUM(AR361:AZ361)</f>
        <v>45000000</v>
      </c>
      <c r="BB361" s="78"/>
      <c r="BC361" s="78"/>
      <c r="BD361" s="78">
        <v>45000000</v>
      </c>
      <c r="BE361" s="78"/>
      <c r="BF361" s="78"/>
      <c r="BG361" s="78"/>
      <c r="BH361" s="78"/>
      <c r="BI361" s="78"/>
      <c r="BJ361" s="78"/>
      <c r="BK361" s="78">
        <f>SUM(BB361:BJ361)</f>
        <v>45000000</v>
      </c>
      <c r="BL361" s="603">
        <f>AG361+AQ361+BA361+BK361</f>
        <v>185625000</v>
      </c>
    </row>
    <row r="362" spans="1:64" ht="80.25" customHeight="1" x14ac:dyDescent="0.2">
      <c r="A362" s="56">
        <v>240</v>
      </c>
      <c r="B362" s="56">
        <v>4</v>
      </c>
      <c r="C362" s="183"/>
      <c r="D362" s="183"/>
      <c r="E362" s="157"/>
      <c r="F362" s="128"/>
      <c r="G362" s="128"/>
      <c r="H362" s="128"/>
      <c r="I362" s="64">
        <v>242</v>
      </c>
      <c r="J362" s="60" t="s">
        <v>817</v>
      </c>
      <c r="K362" s="57" t="s">
        <v>818</v>
      </c>
      <c r="L362" s="64" t="s">
        <v>805</v>
      </c>
      <c r="M362" s="187">
        <v>12</v>
      </c>
      <c r="N362" s="81" t="s">
        <v>54</v>
      </c>
      <c r="O362" s="328">
        <v>1</v>
      </c>
      <c r="P362" s="328">
        <v>1</v>
      </c>
      <c r="Q362" s="518">
        <v>1</v>
      </c>
      <c r="R362" s="510">
        <v>1</v>
      </c>
      <c r="S362" s="510">
        <v>1</v>
      </c>
      <c r="T362" s="510">
        <v>1</v>
      </c>
      <c r="U362" s="300">
        <f>AG362/AG360</f>
        <v>0.4375</v>
      </c>
      <c r="V362" s="65">
        <v>11</v>
      </c>
      <c r="W362" s="62" t="s">
        <v>226</v>
      </c>
      <c r="X362" s="96"/>
      <c r="Y362" s="96"/>
      <c r="Z362" s="96">
        <v>35000000</v>
      </c>
      <c r="AA362" s="96"/>
      <c r="AB362" s="96"/>
      <c r="AC362" s="96"/>
      <c r="AD362" s="96"/>
      <c r="AE362" s="96"/>
      <c r="AF362" s="96"/>
      <c r="AG362" s="69">
        <f>+X362+Y362+Z362+AA362+AB362+AC362+AD362+AE362+AF362</f>
        <v>35000000</v>
      </c>
      <c r="AH362" s="78"/>
      <c r="AI362" s="78"/>
      <c r="AJ362" s="511">
        <v>39375000</v>
      </c>
      <c r="AK362" s="78"/>
      <c r="AL362" s="78"/>
      <c r="AM362" s="78"/>
      <c r="AN362" s="78"/>
      <c r="AO362" s="78"/>
      <c r="AP362" s="78"/>
      <c r="AQ362" s="71">
        <f>AH362+AI362+AJ362+AK362+AL362+AM362+AN362+AO362+AP362</f>
        <v>39375000</v>
      </c>
      <c r="AR362" s="78"/>
      <c r="AS362" s="78"/>
      <c r="AT362" s="78">
        <v>35000000</v>
      </c>
      <c r="AU362" s="78"/>
      <c r="AV362" s="78"/>
      <c r="AW362" s="78"/>
      <c r="AX362" s="78"/>
      <c r="AY362" s="78"/>
      <c r="AZ362" s="78"/>
      <c r="BA362" s="78">
        <f>SUM(AR362:AZ362)</f>
        <v>35000000</v>
      </c>
      <c r="BB362" s="78"/>
      <c r="BC362" s="78"/>
      <c r="BD362" s="78">
        <v>35000000</v>
      </c>
      <c r="BE362" s="78"/>
      <c r="BF362" s="78"/>
      <c r="BG362" s="78"/>
      <c r="BH362" s="78"/>
      <c r="BI362" s="78"/>
      <c r="BJ362" s="78"/>
      <c r="BK362" s="78">
        <f>SUM(BB362:BJ362)</f>
        <v>35000000</v>
      </c>
      <c r="BL362" s="603">
        <f>AG362+AQ362+BA362+BK362</f>
        <v>144375000</v>
      </c>
    </row>
    <row r="363" spans="1:64" ht="24.75" customHeight="1" x14ac:dyDescent="0.2">
      <c r="A363" s="56"/>
      <c r="B363" s="56"/>
      <c r="C363" s="113">
        <v>5</v>
      </c>
      <c r="D363" s="114" t="s">
        <v>819</v>
      </c>
      <c r="E363" s="115"/>
      <c r="F363" s="22"/>
      <c r="G363" s="22"/>
      <c r="H363" s="22"/>
      <c r="I363" s="115"/>
      <c r="J363" s="116"/>
      <c r="K363" s="116"/>
      <c r="L363" s="117"/>
      <c r="M363" s="115"/>
      <c r="N363" s="118"/>
      <c r="O363" s="116"/>
      <c r="P363" s="116"/>
      <c r="Q363" s="119"/>
      <c r="R363" s="116"/>
      <c r="S363" s="116"/>
      <c r="T363" s="115"/>
      <c r="U363" s="120"/>
      <c r="V363" s="115"/>
      <c r="W363" s="115"/>
      <c r="X363" s="27">
        <f t="shared" ref="X363:AF363" si="533">X364+X373+X383</f>
        <v>0</v>
      </c>
      <c r="Y363" s="27">
        <f t="shared" si="533"/>
        <v>64260244</v>
      </c>
      <c r="Z363" s="27">
        <f t="shared" si="533"/>
        <v>3467251891</v>
      </c>
      <c r="AA363" s="27">
        <f t="shared" si="533"/>
        <v>435000000</v>
      </c>
      <c r="AB363" s="27">
        <f t="shared" si="533"/>
        <v>0</v>
      </c>
      <c r="AC363" s="27">
        <f t="shared" si="533"/>
        <v>0</v>
      </c>
      <c r="AD363" s="27">
        <f t="shared" si="533"/>
        <v>0</v>
      </c>
      <c r="AE363" s="27">
        <f t="shared" si="533"/>
        <v>0</v>
      </c>
      <c r="AF363" s="27">
        <f t="shared" si="533"/>
        <v>5097000000</v>
      </c>
      <c r="AG363" s="121">
        <f>AG364+AG373+AG383</f>
        <v>9063512135</v>
      </c>
      <c r="AH363" s="27">
        <f t="shared" ref="AH363:AQ363" si="534">AH364+AH373+AH383</f>
        <v>4000000000</v>
      </c>
      <c r="AI363" s="27">
        <f t="shared" si="534"/>
        <v>41200000</v>
      </c>
      <c r="AJ363" s="27">
        <f t="shared" si="534"/>
        <v>2784152274</v>
      </c>
      <c r="AK363" s="27">
        <f t="shared" si="534"/>
        <v>200000000</v>
      </c>
      <c r="AL363" s="27">
        <f t="shared" si="534"/>
        <v>0</v>
      </c>
      <c r="AM363" s="27">
        <f t="shared" si="534"/>
        <v>0</v>
      </c>
      <c r="AN363" s="27">
        <f t="shared" si="534"/>
        <v>0</v>
      </c>
      <c r="AO363" s="27">
        <f t="shared" si="534"/>
        <v>0</v>
      </c>
      <c r="AP363" s="27">
        <f t="shared" si="534"/>
        <v>3000000000</v>
      </c>
      <c r="AQ363" s="27">
        <f t="shared" si="534"/>
        <v>10025352274</v>
      </c>
      <c r="AR363" s="29"/>
      <c r="AS363" s="29"/>
      <c r="AT363" s="29"/>
      <c r="AU363" s="29"/>
      <c r="AV363" s="29"/>
      <c r="AW363" s="29"/>
      <c r="AX363" s="29"/>
      <c r="AY363" s="29"/>
      <c r="AZ363" s="29"/>
      <c r="BA363" s="27">
        <f t="shared" ref="BA363" si="535">BA364+BA373+BA383</f>
        <v>5407740749</v>
      </c>
      <c r="BB363" s="29"/>
      <c r="BC363" s="29"/>
      <c r="BD363" s="29"/>
      <c r="BE363" s="29"/>
      <c r="BF363" s="29"/>
      <c r="BG363" s="29"/>
      <c r="BH363" s="29"/>
      <c r="BI363" s="29"/>
      <c r="BJ363" s="29"/>
      <c r="BK363" s="27">
        <f t="shared" ref="BK363:BL363" si="536">BK364+BK373+BK383</f>
        <v>5303709080</v>
      </c>
      <c r="BL363" s="27">
        <f t="shared" si="536"/>
        <v>29800314238</v>
      </c>
    </row>
    <row r="364" spans="1:64" ht="24.75" customHeight="1" x14ac:dyDescent="0.2">
      <c r="A364" s="56"/>
      <c r="B364" s="56"/>
      <c r="C364" s="417"/>
      <c r="D364" s="30">
        <v>26</v>
      </c>
      <c r="E364" s="122" t="s">
        <v>820</v>
      </c>
      <c r="F364" s="35"/>
      <c r="G364" s="35"/>
      <c r="H364" s="33"/>
      <c r="I364" s="34"/>
      <c r="J364" s="35"/>
      <c r="K364" s="35"/>
      <c r="L364" s="36"/>
      <c r="M364" s="34"/>
      <c r="N364" s="37"/>
      <c r="O364" s="35"/>
      <c r="P364" s="35"/>
      <c r="Q364" s="38"/>
      <c r="R364" s="35"/>
      <c r="S364" s="35"/>
      <c r="T364" s="34"/>
      <c r="U364" s="123"/>
      <c r="V364" s="34"/>
      <c r="W364" s="34"/>
      <c r="X364" s="40">
        <f t="shared" ref="X364:AF364" si="537">X365+X370</f>
        <v>0</v>
      </c>
      <c r="Y364" s="40">
        <f t="shared" si="537"/>
        <v>0</v>
      </c>
      <c r="Z364" s="40">
        <f t="shared" si="537"/>
        <v>400000000</v>
      </c>
      <c r="AA364" s="40">
        <f t="shared" si="537"/>
        <v>0</v>
      </c>
      <c r="AB364" s="40">
        <f t="shared" si="537"/>
        <v>0</v>
      </c>
      <c r="AC364" s="40">
        <f t="shared" si="537"/>
        <v>0</v>
      </c>
      <c r="AD364" s="40">
        <f t="shared" si="537"/>
        <v>0</v>
      </c>
      <c r="AE364" s="40">
        <f t="shared" si="537"/>
        <v>0</v>
      </c>
      <c r="AF364" s="40">
        <f t="shared" si="537"/>
        <v>0</v>
      </c>
      <c r="AG364" s="41">
        <f>AG365+AG370</f>
        <v>400000000</v>
      </c>
      <c r="AH364" s="40">
        <f t="shared" ref="AH364:AQ364" si="538">AH365+AH370</f>
        <v>0</v>
      </c>
      <c r="AI364" s="40">
        <f t="shared" si="538"/>
        <v>0</v>
      </c>
      <c r="AJ364" s="40">
        <f t="shared" si="538"/>
        <v>430000000</v>
      </c>
      <c r="AK364" s="40">
        <f t="shared" si="538"/>
        <v>0</v>
      </c>
      <c r="AL364" s="40">
        <f t="shared" si="538"/>
        <v>0</v>
      </c>
      <c r="AM364" s="40">
        <f t="shared" si="538"/>
        <v>0</v>
      </c>
      <c r="AN364" s="40">
        <f t="shared" si="538"/>
        <v>0</v>
      </c>
      <c r="AO364" s="40">
        <f t="shared" si="538"/>
        <v>0</v>
      </c>
      <c r="AP364" s="40">
        <f t="shared" si="538"/>
        <v>0</v>
      </c>
      <c r="AQ364" s="40">
        <f t="shared" si="538"/>
        <v>430000000</v>
      </c>
      <c r="AR364" s="42"/>
      <c r="AS364" s="42"/>
      <c r="AT364" s="42"/>
      <c r="AU364" s="42"/>
      <c r="AV364" s="42"/>
      <c r="AW364" s="42"/>
      <c r="AX364" s="42"/>
      <c r="AY364" s="42"/>
      <c r="AZ364" s="42"/>
      <c r="BA364" s="40">
        <f t="shared" ref="BA364" si="539">BA365+BA370</f>
        <v>350000000</v>
      </c>
      <c r="BB364" s="42"/>
      <c r="BC364" s="42"/>
      <c r="BD364" s="42"/>
      <c r="BE364" s="42"/>
      <c r="BF364" s="42"/>
      <c r="BG364" s="42"/>
      <c r="BH364" s="42"/>
      <c r="BI364" s="42"/>
      <c r="BJ364" s="42"/>
      <c r="BK364" s="40">
        <f t="shared" ref="BK364:BL364" si="540">BK365+BK370</f>
        <v>330000000</v>
      </c>
      <c r="BL364" s="40">
        <f t="shared" si="540"/>
        <v>1510000000</v>
      </c>
    </row>
    <row r="365" spans="1:64" ht="24.75" customHeight="1" x14ac:dyDescent="0.2">
      <c r="A365" s="56"/>
      <c r="B365" s="56"/>
      <c r="C365" s="124"/>
      <c r="D365" s="417"/>
      <c r="E365" s="44">
        <v>83</v>
      </c>
      <c r="F365" s="45" t="s">
        <v>821</v>
      </c>
      <c r="G365" s="48"/>
      <c r="H365" s="48"/>
      <c r="I365" s="47"/>
      <c r="J365" s="48"/>
      <c r="K365" s="48"/>
      <c r="L365" s="47"/>
      <c r="M365" s="49"/>
      <c r="N365" s="50"/>
      <c r="O365" s="48"/>
      <c r="P365" s="48"/>
      <c r="Q365" s="51"/>
      <c r="R365" s="48"/>
      <c r="S365" s="48"/>
      <c r="T365" s="49"/>
      <c r="U365" s="125"/>
      <c r="V365" s="49"/>
      <c r="W365" s="49"/>
      <c r="X365" s="53">
        <f t="shared" ref="X365:AF365" si="541">SUM(X366:X369)</f>
        <v>0</v>
      </c>
      <c r="Y365" s="53">
        <f t="shared" si="541"/>
        <v>0</v>
      </c>
      <c r="Z365" s="53">
        <f t="shared" si="541"/>
        <v>350000000</v>
      </c>
      <c r="AA365" s="53">
        <f t="shared" si="541"/>
        <v>0</v>
      </c>
      <c r="AB365" s="53">
        <f t="shared" si="541"/>
        <v>0</v>
      </c>
      <c r="AC365" s="53">
        <f t="shared" si="541"/>
        <v>0</v>
      </c>
      <c r="AD365" s="53">
        <f t="shared" si="541"/>
        <v>0</v>
      </c>
      <c r="AE365" s="53">
        <f t="shared" si="541"/>
        <v>0</v>
      </c>
      <c r="AF365" s="53">
        <f t="shared" si="541"/>
        <v>0</v>
      </c>
      <c r="AG365" s="54">
        <f>SUM(AG366:AG369)</f>
        <v>350000000</v>
      </c>
      <c r="AH365" s="53">
        <f t="shared" ref="AH365:AQ365" si="542">SUM(AH366:AH369)</f>
        <v>0</v>
      </c>
      <c r="AI365" s="53">
        <f t="shared" si="542"/>
        <v>0</v>
      </c>
      <c r="AJ365" s="53">
        <f t="shared" si="542"/>
        <v>350000000</v>
      </c>
      <c r="AK365" s="53">
        <f t="shared" si="542"/>
        <v>0</v>
      </c>
      <c r="AL365" s="53">
        <f t="shared" si="542"/>
        <v>0</v>
      </c>
      <c r="AM365" s="53">
        <f t="shared" si="542"/>
        <v>0</v>
      </c>
      <c r="AN365" s="53">
        <f t="shared" si="542"/>
        <v>0</v>
      </c>
      <c r="AO365" s="53">
        <f t="shared" si="542"/>
        <v>0</v>
      </c>
      <c r="AP365" s="53">
        <f t="shared" si="542"/>
        <v>0</v>
      </c>
      <c r="AQ365" s="53">
        <f t="shared" si="542"/>
        <v>350000000</v>
      </c>
      <c r="AR365" s="55"/>
      <c r="AS365" s="55"/>
      <c r="AT365" s="55"/>
      <c r="AU365" s="55"/>
      <c r="AV365" s="55"/>
      <c r="AW365" s="55"/>
      <c r="AX365" s="55"/>
      <c r="AY365" s="55"/>
      <c r="AZ365" s="55"/>
      <c r="BA365" s="53">
        <f t="shared" ref="BA365" si="543">SUM(BA366:BA369)</f>
        <v>300000000</v>
      </c>
      <c r="BB365" s="55"/>
      <c r="BC365" s="55"/>
      <c r="BD365" s="55"/>
      <c r="BE365" s="55"/>
      <c r="BF365" s="55"/>
      <c r="BG365" s="55"/>
      <c r="BH365" s="55"/>
      <c r="BI365" s="55"/>
      <c r="BJ365" s="55"/>
      <c r="BK365" s="53">
        <f t="shared" ref="BK365:BL365" si="544">SUM(BK366:BK369)</f>
        <v>280000000</v>
      </c>
      <c r="BL365" s="53">
        <f t="shared" si="544"/>
        <v>1280000000</v>
      </c>
    </row>
    <row r="366" spans="1:64" ht="93.75" customHeight="1" x14ac:dyDescent="0.2">
      <c r="A366" s="74">
        <v>242</v>
      </c>
      <c r="B366" s="56">
        <v>5</v>
      </c>
      <c r="C366" s="124"/>
      <c r="D366" s="124"/>
      <c r="E366" s="510">
        <v>37</v>
      </c>
      <c r="F366" s="57" t="s">
        <v>534</v>
      </c>
      <c r="G366" s="284" t="s">
        <v>535</v>
      </c>
      <c r="H366" s="250">
        <v>0.6</v>
      </c>
      <c r="I366" s="64">
        <v>243</v>
      </c>
      <c r="J366" s="60" t="s">
        <v>822</v>
      </c>
      <c r="K366" s="257" t="s">
        <v>823</v>
      </c>
      <c r="L366" s="61" t="s">
        <v>824</v>
      </c>
      <c r="M366" s="61">
        <v>17</v>
      </c>
      <c r="N366" s="334" t="s">
        <v>69</v>
      </c>
      <c r="O366" s="328" t="s">
        <v>49</v>
      </c>
      <c r="P366" s="328">
        <v>20</v>
      </c>
      <c r="Q366" s="271">
        <v>2</v>
      </c>
      <c r="R366" s="328">
        <v>6</v>
      </c>
      <c r="S366" s="328">
        <v>6</v>
      </c>
      <c r="T366" s="328">
        <v>6</v>
      </c>
      <c r="U366" s="252">
        <f>AG366/$AG$365</f>
        <v>0.2857142857142857</v>
      </c>
      <c r="V366" s="65">
        <v>16</v>
      </c>
      <c r="W366" s="62" t="s">
        <v>373</v>
      </c>
      <c r="X366" s="96"/>
      <c r="Y366" s="96"/>
      <c r="Z366" s="96">
        <f>48000000+52000000</f>
        <v>100000000</v>
      </c>
      <c r="AA366" s="96"/>
      <c r="AB366" s="96"/>
      <c r="AC366" s="96"/>
      <c r="AD366" s="96"/>
      <c r="AE366" s="96"/>
      <c r="AF366" s="96"/>
      <c r="AG366" s="69">
        <f>+X366+Y366+Z366+AA366+AB366+AC366+AD366+AE366+AF366</f>
        <v>100000000</v>
      </c>
      <c r="AH366" s="78"/>
      <c r="AI366" s="78"/>
      <c r="AJ366" s="78">
        <v>100000000</v>
      </c>
      <c r="AK366" s="78"/>
      <c r="AL366" s="78"/>
      <c r="AM366" s="78"/>
      <c r="AN366" s="78"/>
      <c r="AO366" s="78"/>
      <c r="AP366" s="78"/>
      <c r="AQ366" s="71">
        <f>AH366+AI366+AJ366+AK366+AL366+AM366+AN366+AO366+AP366</f>
        <v>100000000</v>
      </c>
      <c r="AR366" s="78"/>
      <c r="AS366" s="78"/>
      <c r="AT366" s="78">
        <v>85700000</v>
      </c>
      <c r="AU366" s="78"/>
      <c r="AV366" s="78"/>
      <c r="AW366" s="78"/>
      <c r="AX366" s="78"/>
      <c r="AY366" s="78"/>
      <c r="AZ366" s="78"/>
      <c r="BA366" s="78">
        <f>SUM(AR366:AZ366)</f>
        <v>85700000</v>
      </c>
      <c r="BB366" s="78"/>
      <c r="BC366" s="78"/>
      <c r="BD366" s="78">
        <v>80000000</v>
      </c>
      <c r="BE366" s="78"/>
      <c r="BF366" s="78"/>
      <c r="BG366" s="78"/>
      <c r="BH366" s="78"/>
      <c r="BI366" s="78"/>
      <c r="BJ366" s="78"/>
      <c r="BK366" s="78">
        <f>SUM(BB366:BJ366)</f>
        <v>80000000</v>
      </c>
      <c r="BL366" s="603">
        <f>AG366+AQ366+BA366+BK366</f>
        <v>365700000</v>
      </c>
    </row>
    <row r="367" spans="1:64" ht="93.75" customHeight="1" x14ac:dyDescent="0.2">
      <c r="A367" s="56">
        <v>243</v>
      </c>
      <c r="B367" s="56">
        <v>5</v>
      </c>
      <c r="C367" s="124"/>
      <c r="D367" s="124"/>
      <c r="E367" s="79">
        <v>37</v>
      </c>
      <c r="F367" s="516" t="s">
        <v>825</v>
      </c>
      <c r="G367" s="408" t="s">
        <v>535</v>
      </c>
      <c r="H367" s="448">
        <v>0.6</v>
      </c>
      <c r="I367" s="64">
        <v>244</v>
      </c>
      <c r="J367" s="60" t="s">
        <v>826</v>
      </c>
      <c r="K367" s="57" t="s">
        <v>827</v>
      </c>
      <c r="L367" s="61" t="s">
        <v>824</v>
      </c>
      <c r="M367" s="61">
        <v>17</v>
      </c>
      <c r="N367" s="270" t="s">
        <v>69</v>
      </c>
      <c r="O367" s="271" t="s">
        <v>49</v>
      </c>
      <c r="P367" s="271">
        <v>40</v>
      </c>
      <c r="Q367" s="271">
        <v>4</v>
      </c>
      <c r="R367" s="271">
        <v>12</v>
      </c>
      <c r="S367" s="271">
        <v>12</v>
      </c>
      <c r="T367" s="271">
        <v>12</v>
      </c>
      <c r="U367" s="252">
        <f>AG367/$AG$365</f>
        <v>0.11428571428571428</v>
      </c>
      <c r="V367" s="65">
        <v>16</v>
      </c>
      <c r="W367" s="62" t="s">
        <v>373</v>
      </c>
      <c r="X367" s="96"/>
      <c r="Y367" s="96"/>
      <c r="Z367" s="96">
        <v>40000000</v>
      </c>
      <c r="AA367" s="96"/>
      <c r="AB367" s="96"/>
      <c r="AC367" s="96"/>
      <c r="AD367" s="96"/>
      <c r="AE367" s="96"/>
      <c r="AF367" s="96"/>
      <c r="AG367" s="69">
        <f>+X367+Y367+Z367+AA367+AB367+AC367+AD367+AE367+AF367</f>
        <v>40000000</v>
      </c>
      <c r="AH367" s="78"/>
      <c r="AI367" s="78"/>
      <c r="AJ367" s="78">
        <v>40000000</v>
      </c>
      <c r="AK367" s="78"/>
      <c r="AL367" s="78"/>
      <c r="AM367" s="78"/>
      <c r="AN367" s="78"/>
      <c r="AO367" s="78"/>
      <c r="AP367" s="78"/>
      <c r="AQ367" s="71">
        <f>AH367+AI367+AJ367+AK367+AL367+AM367+AN367+AO367+AP367</f>
        <v>40000000</v>
      </c>
      <c r="AR367" s="78"/>
      <c r="AS367" s="78"/>
      <c r="AT367" s="78">
        <v>34250000</v>
      </c>
      <c r="AU367" s="78"/>
      <c r="AV367" s="78"/>
      <c r="AW367" s="78"/>
      <c r="AX367" s="78"/>
      <c r="AY367" s="78"/>
      <c r="AZ367" s="78"/>
      <c r="BA367" s="78">
        <f>SUM(AR367:AZ367)</f>
        <v>34250000</v>
      </c>
      <c r="BB367" s="78"/>
      <c r="BC367" s="78"/>
      <c r="BD367" s="78">
        <v>32000000</v>
      </c>
      <c r="BE367" s="78"/>
      <c r="BF367" s="78"/>
      <c r="BG367" s="78"/>
      <c r="BH367" s="78"/>
      <c r="BI367" s="78"/>
      <c r="BJ367" s="78"/>
      <c r="BK367" s="78">
        <f>SUM(BB367:BJ367)</f>
        <v>32000000</v>
      </c>
      <c r="BL367" s="603">
        <f>AG367+AQ367+BA367+BK367</f>
        <v>146250000</v>
      </c>
    </row>
    <row r="368" spans="1:64" ht="69.75" customHeight="1" x14ac:dyDescent="0.2">
      <c r="A368" s="74">
        <v>244</v>
      </c>
      <c r="B368" s="56">
        <v>5</v>
      </c>
      <c r="C368" s="124"/>
      <c r="D368" s="124"/>
      <c r="E368" s="79"/>
      <c r="F368" s="107"/>
      <c r="G368" s="102"/>
      <c r="H368" s="323"/>
      <c r="I368" s="64">
        <v>245</v>
      </c>
      <c r="J368" s="60" t="s">
        <v>828</v>
      </c>
      <c r="K368" s="257" t="s">
        <v>829</v>
      </c>
      <c r="L368" s="61" t="s">
        <v>824</v>
      </c>
      <c r="M368" s="61">
        <v>17</v>
      </c>
      <c r="N368" s="270" t="s">
        <v>54</v>
      </c>
      <c r="O368" s="271" t="s">
        <v>49</v>
      </c>
      <c r="P368" s="271">
        <v>1</v>
      </c>
      <c r="Q368" s="271">
        <v>1</v>
      </c>
      <c r="R368" s="328">
        <v>1</v>
      </c>
      <c r="S368" s="328">
        <v>1</v>
      </c>
      <c r="T368" s="328">
        <v>1</v>
      </c>
      <c r="U368" s="252">
        <f>AG368/$AG$365</f>
        <v>0.51428571428571423</v>
      </c>
      <c r="V368" s="65">
        <v>16</v>
      </c>
      <c r="W368" s="62" t="s">
        <v>373</v>
      </c>
      <c r="X368" s="96"/>
      <c r="Y368" s="96"/>
      <c r="Z368" s="96">
        <v>180000000</v>
      </c>
      <c r="AA368" s="96"/>
      <c r="AB368" s="96"/>
      <c r="AC368" s="96"/>
      <c r="AD368" s="96"/>
      <c r="AE368" s="96"/>
      <c r="AF368" s="96"/>
      <c r="AG368" s="69">
        <f>+X368+Y368+Z368+AA368+AB368+AC368+AD368+AE368+AF368</f>
        <v>180000000</v>
      </c>
      <c r="AH368" s="78"/>
      <c r="AI368" s="78"/>
      <c r="AJ368" s="78">
        <v>179999999.99999997</v>
      </c>
      <c r="AK368" s="78"/>
      <c r="AL368" s="78"/>
      <c r="AM368" s="78"/>
      <c r="AN368" s="78"/>
      <c r="AO368" s="78"/>
      <c r="AP368" s="78"/>
      <c r="AQ368" s="71">
        <f>AH368+AI368+AJ368+AK368+AL368+AM368+AN368+AO368+AP368</f>
        <v>179999999.99999997</v>
      </c>
      <c r="AR368" s="78"/>
      <c r="AS368" s="78"/>
      <c r="AT368" s="78">
        <v>154250000</v>
      </c>
      <c r="AU368" s="78"/>
      <c r="AV368" s="78"/>
      <c r="AW368" s="78"/>
      <c r="AX368" s="78"/>
      <c r="AY368" s="78"/>
      <c r="AZ368" s="78"/>
      <c r="BA368" s="78">
        <f>SUM(AR368:AZ368)</f>
        <v>154250000</v>
      </c>
      <c r="BB368" s="78"/>
      <c r="BC368" s="78"/>
      <c r="BD368" s="78">
        <v>144000000</v>
      </c>
      <c r="BE368" s="78"/>
      <c r="BF368" s="78"/>
      <c r="BG368" s="78"/>
      <c r="BH368" s="78"/>
      <c r="BI368" s="78"/>
      <c r="BJ368" s="78"/>
      <c r="BK368" s="78">
        <f>SUM(BB368:BJ368)</f>
        <v>144000000</v>
      </c>
      <c r="BL368" s="603">
        <f>AG368+AQ368+BA368+BK368</f>
        <v>658250000</v>
      </c>
    </row>
    <row r="369" spans="1:64" s="147" customFormat="1" ht="93.75" customHeight="1" x14ac:dyDescent="0.2">
      <c r="A369" s="140">
        <v>245</v>
      </c>
      <c r="B369" s="140">
        <v>5</v>
      </c>
      <c r="C369" s="141"/>
      <c r="D369" s="141"/>
      <c r="E369" s="519"/>
      <c r="F369" s="515"/>
      <c r="G369" s="519"/>
      <c r="H369" s="349"/>
      <c r="I369" s="64">
        <v>246</v>
      </c>
      <c r="J369" s="60" t="s">
        <v>830</v>
      </c>
      <c r="K369" s="186" t="s">
        <v>831</v>
      </c>
      <c r="L369" s="61" t="s">
        <v>824</v>
      </c>
      <c r="M369" s="240">
        <v>17</v>
      </c>
      <c r="N369" s="270" t="s">
        <v>54</v>
      </c>
      <c r="O369" s="271" t="s">
        <v>49</v>
      </c>
      <c r="P369" s="271">
        <v>13</v>
      </c>
      <c r="Q369" s="271">
        <v>13</v>
      </c>
      <c r="R369" s="271">
        <v>13</v>
      </c>
      <c r="S369" s="271">
        <v>13</v>
      </c>
      <c r="T369" s="271">
        <v>13</v>
      </c>
      <c r="U369" s="252">
        <f>AG369/$AG$365</f>
        <v>8.5714285714285715E-2</v>
      </c>
      <c r="V369" s="64">
        <v>16</v>
      </c>
      <c r="W369" s="61" t="s">
        <v>373</v>
      </c>
      <c r="X369" s="176"/>
      <c r="Y369" s="176"/>
      <c r="Z369" s="176">
        <v>30000000</v>
      </c>
      <c r="AA369" s="176"/>
      <c r="AB369" s="176"/>
      <c r="AC369" s="176"/>
      <c r="AD369" s="176"/>
      <c r="AE369" s="176"/>
      <c r="AF369" s="176"/>
      <c r="AG369" s="69">
        <f>+X369+Y369+Z369+AA369+AB369+AC369+AD369+AE369+AF369</f>
        <v>30000000</v>
      </c>
      <c r="AH369" s="146"/>
      <c r="AI369" s="146"/>
      <c r="AJ369" s="146">
        <v>30000000</v>
      </c>
      <c r="AK369" s="146"/>
      <c r="AL369" s="146"/>
      <c r="AM369" s="146"/>
      <c r="AN369" s="146"/>
      <c r="AO369" s="146"/>
      <c r="AP369" s="146"/>
      <c r="AQ369" s="71">
        <f>AH369+AI369+AJ369+AK369+AL369+AM369+AN369+AO369+AP369</f>
        <v>30000000</v>
      </c>
      <c r="AR369" s="146"/>
      <c r="AS369" s="146"/>
      <c r="AT369" s="146">
        <f>25700000+100000</f>
        <v>25800000</v>
      </c>
      <c r="AU369" s="146"/>
      <c r="AV369" s="146"/>
      <c r="AW369" s="146"/>
      <c r="AX369" s="146"/>
      <c r="AY369" s="146"/>
      <c r="AZ369" s="146"/>
      <c r="BA369" s="78">
        <f>SUM(AR369:AZ369)</f>
        <v>25800000</v>
      </c>
      <c r="BB369" s="78"/>
      <c r="BC369" s="78"/>
      <c r="BD369" s="146">
        <v>24000000</v>
      </c>
      <c r="BE369" s="146"/>
      <c r="BF369" s="78"/>
      <c r="BG369" s="78"/>
      <c r="BH369" s="78"/>
      <c r="BI369" s="78"/>
      <c r="BJ369" s="78"/>
      <c r="BK369" s="78">
        <f>SUM(BB369:BJ369)</f>
        <v>24000000</v>
      </c>
      <c r="BL369" s="603">
        <f>AG369+AQ369+BA369+BK369</f>
        <v>109800000</v>
      </c>
    </row>
    <row r="370" spans="1:64" ht="24.75" customHeight="1" x14ac:dyDescent="0.2">
      <c r="A370" s="56"/>
      <c r="B370" s="56"/>
      <c r="C370" s="124"/>
      <c r="D370" s="124"/>
      <c r="E370" s="44">
        <v>84</v>
      </c>
      <c r="F370" s="45" t="s">
        <v>832</v>
      </c>
      <c r="G370" s="48"/>
      <c r="H370" s="48"/>
      <c r="I370" s="49"/>
      <c r="J370" s="48"/>
      <c r="K370" s="48"/>
      <c r="L370" s="429"/>
      <c r="M370" s="430"/>
      <c r="N370" s="431"/>
      <c r="O370" s="48"/>
      <c r="P370" s="48"/>
      <c r="Q370" s="155"/>
      <c r="R370" s="429"/>
      <c r="S370" s="155"/>
      <c r="T370" s="457"/>
      <c r="U370" s="125"/>
      <c r="V370" s="49"/>
      <c r="W370" s="49"/>
      <c r="X370" s="53">
        <f t="shared" ref="X370:AF370" si="545">SUM(X371:X372)</f>
        <v>0</v>
      </c>
      <c r="Y370" s="53">
        <f t="shared" si="545"/>
        <v>0</v>
      </c>
      <c r="Z370" s="53">
        <f t="shared" si="545"/>
        <v>50000000</v>
      </c>
      <c r="AA370" s="53">
        <f t="shared" si="545"/>
        <v>0</v>
      </c>
      <c r="AB370" s="53">
        <f t="shared" si="545"/>
        <v>0</v>
      </c>
      <c r="AC370" s="53">
        <f t="shared" si="545"/>
        <v>0</v>
      </c>
      <c r="AD370" s="53">
        <f t="shared" si="545"/>
        <v>0</v>
      </c>
      <c r="AE370" s="53">
        <f t="shared" si="545"/>
        <v>0</v>
      </c>
      <c r="AF370" s="53">
        <f t="shared" si="545"/>
        <v>0</v>
      </c>
      <c r="AG370" s="54">
        <f>SUM(AG371:AG372)</f>
        <v>50000000</v>
      </c>
      <c r="AH370" s="53">
        <f t="shared" ref="AH370:AQ370" si="546">SUM(AH371:AH372)</f>
        <v>0</v>
      </c>
      <c r="AI370" s="53">
        <f t="shared" si="546"/>
        <v>0</v>
      </c>
      <c r="AJ370" s="53">
        <f t="shared" si="546"/>
        <v>80000000</v>
      </c>
      <c r="AK370" s="53">
        <f t="shared" si="546"/>
        <v>0</v>
      </c>
      <c r="AL370" s="53">
        <f t="shared" si="546"/>
        <v>0</v>
      </c>
      <c r="AM370" s="53">
        <f t="shared" si="546"/>
        <v>0</v>
      </c>
      <c r="AN370" s="53">
        <f t="shared" si="546"/>
        <v>0</v>
      </c>
      <c r="AO370" s="53">
        <f t="shared" si="546"/>
        <v>0</v>
      </c>
      <c r="AP370" s="53">
        <f t="shared" si="546"/>
        <v>0</v>
      </c>
      <c r="AQ370" s="53">
        <f t="shared" si="546"/>
        <v>80000000</v>
      </c>
      <c r="AR370" s="55"/>
      <c r="AS370" s="55"/>
      <c r="AT370" s="55"/>
      <c r="AU370" s="55"/>
      <c r="AV370" s="55"/>
      <c r="AW370" s="55"/>
      <c r="AX370" s="55"/>
      <c r="AY370" s="55"/>
      <c r="AZ370" s="55"/>
      <c r="BA370" s="53">
        <f t="shared" ref="BA370" si="547">SUM(BA371:BA372)</f>
        <v>50000000</v>
      </c>
      <c r="BB370" s="55"/>
      <c r="BC370" s="55"/>
      <c r="BD370" s="55"/>
      <c r="BE370" s="55"/>
      <c r="BF370" s="55"/>
      <c r="BG370" s="55"/>
      <c r="BH370" s="55"/>
      <c r="BI370" s="55"/>
      <c r="BJ370" s="55"/>
      <c r="BK370" s="53">
        <f t="shared" ref="BK370:BL370" si="548">SUM(BK371:BK372)</f>
        <v>50000000</v>
      </c>
      <c r="BL370" s="53">
        <f t="shared" si="548"/>
        <v>230000000</v>
      </c>
    </row>
    <row r="371" spans="1:64" ht="65.25" customHeight="1" x14ac:dyDescent="0.2">
      <c r="A371" s="74">
        <v>246</v>
      </c>
      <c r="B371" s="56">
        <v>5</v>
      </c>
      <c r="C371" s="124"/>
      <c r="D371" s="124"/>
      <c r="E371" s="510">
        <v>37</v>
      </c>
      <c r="F371" s="516" t="s">
        <v>833</v>
      </c>
      <c r="G371" s="408" t="s">
        <v>535</v>
      </c>
      <c r="H371" s="448">
        <v>0.6</v>
      </c>
      <c r="I371" s="64">
        <v>247</v>
      </c>
      <c r="J371" s="60" t="s">
        <v>834</v>
      </c>
      <c r="K371" s="257" t="s">
        <v>835</v>
      </c>
      <c r="L371" s="64" t="s">
        <v>836</v>
      </c>
      <c r="M371" s="187">
        <v>16</v>
      </c>
      <c r="N371" s="266" t="s">
        <v>54</v>
      </c>
      <c r="O371" s="328" t="s">
        <v>49</v>
      </c>
      <c r="P371" s="328">
        <v>1</v>
      </c>
      <c r="Q371" s="265">
        <v>1</v>
      </c>
      <c r="R371" s="266">
        <v>1</v>
      </c>
      <c r="S371" s="266">
        <v>1</v>
      </c>
      <c r="T371" s="266">
        <v>1</v>
      </c>
      <c r="U371" s="300">
        <f>AG371/AG370</f>
        <v>0.5</v>
      </c>
      <c r="V371" s="65">
        <v>16</v>
      </c>
      <c r="W371" s="62" t="s">
        <v>373</v>
      </c>
      <c r="X371" s="96"/>
      <c r="Y371" s="96"/>
      <c r="Z371" s="96">
        <v>25000000</v>
      </c>
      <c r="AA371" s="96"/>
      <c r="AB371" s="96"/>
      <c r="AC371" s="96"/>
      <c r="AD371" s="96"/>
      <c r="AE371" s="96"/>
      <c r="AF371" s="96"/>
      <c r="AG371" s="69">
        <f>+X371+Y371+Z371+AA371+AB371+AC371+AD371+AE371+AF371</f>
        <v>25000000</v>
      </c>
      <c r="AH371" s="78"/>
      <c r="AI371" s="78"/>
      <c r="AJ371" s="511">
        <v>40000000</v>
      </c>
      <c r="AK371" s="78"/>
      <c r="AL371" s="78"/>
      <c r="AM371" s="78"/>
      <c r="AN371" s="78"/>
      <c r="AO371" s="78"/>
      <c r="AP371" s="78"/>
      <c r="AQ371" s="71">
        <f>AH371+AI371+AJ371+AK371+AL371+AM371+AN371+AO371+AP371</f>
        <v>40000000</v>
      </c>
      <c r="AR371" s="78"/>
      <c r="AS371" s="78"/>
      <c r="AT371" s="78">
        <v>25000000</v>
      </c>
      <c r="AU371" s="78"/>
      <c r="AV371" s="78"/>
      <c r="AW371" s="78"/>
      <c r="AX371" s="78"/>
      <c r="AY371" s="78"/>
      <c r="AZ371" s="78"/>
      <c r="BA371" s="78">
        <f>SUM(AR371:AZ371)</f>
        <v>25000000</v>
      </c>
      <c r="BB371" s="78"/>
      <c r="BC371" s="78"/>
      <c r="BD371" s="78">
        <v>25000000</v>
      </c>
      <c r="BE371" s="78"/>
      <c r="BF371" s="78"/>
      <c r="BG371" s="78"/>
      <c r="BH371" s="78"/>
      <c r="BI371" s="78"/>
      <c r="BJ371" s="78"/>
      <c r="BK371" s="78">
        <f>SUM(BB371:BJ371)</f>
        <v>25000000</v>
      </c>
      <c r="BL371" s="603">
        <f>AG371+AQ371+BA371+BK371</f>
        <v>115000000</v>
      </c>
    </row>
    <row r="372" spans="1:64" ht="65.25" customHeight="1" x14ac:dyDescent="0.2">
      <c r="A372" s="56">
        <v>247</v>
      </c>
      <c r="B372" s="56">
        <v>5</v>
      </c>
      <c r="C372" s="124"/>
      <c r="D372" s="183"/>
      <c r="E372" s="506"/>
      <c r="F372" s="517"/>
      <c r="G372" s="80"/>
      <c r="H372" s="195"/>
      <c r="I372" s="64">
        <v>248</v>
      </c>
      <c r="J372" s="60" t="s">
        <v>837</v>
      </c>
      <c r="K372" s="257" t="s">
        <v>838</v>
      </c>
      <c r="L372" s="61" t="s">
        <v>824</v>
      </c>
      <c r="M372" s="240">
        <v>17</v>
      </c>
      <c r="N372" s="328" t="s">
        <v>54</v>
      </c>
      <c r="O372" s="328" t="s">
        <v>49</v>
      </c>
      <c r="P372" s="328">
        <v>12</v>
      </c>
      <c r="Q372" s="271">
        <v>12</v>
      </c>
      <c r="R372" s="328">
        <v>12</v>
      </c>
      <c r="S372" s="328">
        <v>12</v>
      </c>
      <c r="T372" s="328">
        <v>12</v>
      </c>
      <c r="U372" s="300">
        <f>AG372/AG370</f>
        <v>0.5</v>
      </c>
      <c r="V372" s="64">
        <v>17</v>
      </c>
      <c r="W372" s="61" t="s">
        <v>839</v>
      </c>
      <c r="X372" s="96"/>
      <c r="Y372" s="96"/>
      <c r="Z372" s="96">
        <v>25000000</v>
      </c>
      <c r="AA372" s="96"/>
      <c r="AB372" s="96"/>
      <c r="AC372" s="96"/>
      <c r="AD372" s="96"/>
      <c r="AE372" s="96"/>
      <c r="AF372" s="96"/>
      <c r="AG372" s="69">
        <f>+X372+Y372+Z372+AA372+AB372+AC372+AD372+AE372+AF372</f>
        <v>25000000</v>
      </c>
      <c r="AH372" s="78"/>
      <c r="AI372" s="78"/>
      <c r="AJ372" s="511">
        <v>40000000</v>
      </c>
      <c r="AK372" s="78"/>
      <c r="AL372" s="78"/>
      <c r="AM372" s="78"/>
      <c r="AN372" s="78"/>
      <c r="AO372" s="78"/>
      <c r="AP372" s="78"/>
      <c r="AQ372" s="71">
        <f>AH372+AI372+AJ372+AK372+AL372+AM372+AN372+AO372+AP372</f>
        <v>40000000</v>
      </c>
      <c r="AR372" s="78"/>
      <c r="AS372" s="78"/>
      <c r="AT372" s="78">
        <v>25000000</v>
      </c>
      <c r="AU372" s="78"/>
      <c r="AV372" s="78"/>
      <c r="AW372" s="78"/>
      <c r="AX372" s="78"/>
      <c r="AY372" s="78"/>
      <c r="AZ372" s="78"/>
      <c r="BA372" s="78">
        <f>SUM(AR372:AZ372)</f>
        <v>25000000</v>
      </c>
      <c r="BB372" s="78"/>
      <c r="BC372" s="78"/>
      <c r="BD372" s="78">
        <v>25000000</v>
      </c>
      <c r="BE372" s="78"/>
      <c r="BF372" s="78"/>
      <c r="BG372" s="78"/>
      <c r="BH372" s="78"/>
      <c r="BI372" s="78"/>
      <c r="BJ372" s="78"/>
      <c r="BK372" s="78">
        <f>SUM(BB372:BJ372)</f>
        <v>25000000</v>
      </c>
      <c r="BL372" s="603">
        <f>AG372+AQ372+BA372+BK372</f>
        <v>115000000</v>
      </c>
    </row>
    <row r="373" spans="1:64" ht="24.75" customHeight="1" x14ac:dyDescent="0.2">
      <c r="A373" s="56"/>
      <c r="B373" s="56"/>
      <c r="C373" s="124"/>
      <c r="D373" s="30">
        <v>27</v>
      </c>
      <c r="E373" s="122" t="s">
        <v>840</v>
      </c>
      <c r="F373" s="33"/>
      <c r="G373" s="33"/>
      <c r="H373" s="33"/>
      <c r="I373" s="34"/>
      <c r="J373" s="35"/>
      <c r="K373" s="35"/>
      <c r="L373" s="36"/>
      <c r="M373" s="34"/>
      <c r="N373" s="37"/>
      <c r="O373" s="35"/>
      <c r="P373" s="35"/>
      <c r="Q373" s="38"/>
      <c r="R373" s="35"/>
      <c r="S373" s="35"/>
      <c r="T373" s="34"/>
      <c r="U373" s="123"/>
      <c r="V373" s="34"/>
      <c r="W373" s="34"/>
      <c r="X373" s="40">
        <f t="shared" ref="X373:AF373" si="549">X374+X381</f>
        <v>0</v>
      </c>
      <c r="Y373" s="40">
        <f t="shared" si="549"/>
        <v>0</v>
      </c>
      <c r="Z373" s="40">
        <f t="shared" si="549"/>
        <v>580000000</v>
      </c>
      <c r="AA373" s="40">
        <f t="shared" si="549"/>
        <v>0</v>
      </c>
      <c r="AB373" s="40">
        <f t="shared" si="549"/>
        <v>0</v>
      </c>
      <c r="AC373" s="40">
        <f t="shared" si="549"/>
        <v>0</v>
      </c>
      <c r="AD373" s="40">
        <f t="shared" si="549"/>
        <v>0</v>
      </c>
      <c r="AE373" s="40">
        <f t="shared" si="549"/>
        <v>0</v>
      </c>
      <c r="AF373" s="40">
        <f t="shared" si="549"/>
        <v>1000000000</v>
      </c>
      <c r="AG373" s="41">
        <f>AG374+AG381</f>
        <v>1580000000</v>
      </c>
      <c r="AH373" s="40">
        <f t="shared" ref="AH373:AQ373" si="550">AH374+AH381</f>
        <v>0</v>
      </c>
      <c r="AI373" s="40">
        <f t="shared" si="550"/>
        <v>0</v>
      </c>
      <c r="AJ373" s="40">
        <f t="shared" si="550"/>
        <v>580000000</v>
      </c>
      <c r="AK373" s="40">
        <f t="shared" si="550"/>
        <v>0</v>
      </c>
      <c r="AL373" s="40">
        <f t="shared" si="550"/>
        <v>0</v>
      </c>
      <c r="AM373" s="40">
        <f t="shared" si="550"/>
        <v>0</v>
      </c>
      <c r="AN373" s="40">
        <f t="shared" si="550"/>
        <v>0</v>
      </c>
      <c r="AO373" s="40">
        <f t="shared" si="550"/>
        <v>0</v>
      </c>
      <c r="AP373" s="40">
        <f t="shared" si="550"/>
        <v>1000000000</v>
      </c>
      <c r="AQ373" s="40">
        <f t="shared" si="550"/>
        <v>1580000000</v>
      </c>
      <c r="AR373" s="42"/>
      <c r="AS373" s="42"/>
      <c r="AT373" s="42"/>
      <c r="AU373" s="42"/>
      <c r="AV373" s="42"/>
      <c r="AW373" s="42"/>
      <c r="AX373" s="42"/>
      <c r="AY373" s="42"/>
      <c r="AZ373" s="42"/>
      <c r="BA373" s="40">
        <f t="shared" ref="BA373" si="551">BA374+BA381</f>
        <v>1580000000</v>
      </c>
      <c r="BB373" s="42"/>
      <c r="BC373" s="42"/>
      <c r="BD373" s="42"/>
      <c r="BE373" s="42"/>
      <c r="BF373" s="42"/>
      <c r="BG373" s="42"/>
      <c r="BH373" s="42"/>
      <c r="BI373" s="42"/>
      <c r="BJ373" s="42"/>
      <c r="BK373" s="40">
        <f t="shared" ref="BK373:BL373" si="552">BK374+BK381</f>
        <v>1580000000</v>
      </c>
      <c r="BL373" s="40">
        <f t="shared" si="552"/>
        <v>6320000000</v>
      </c>
    </row>
    <row r="374" spans="1:64" ht="24.75" customHeight="1" x14ac:dyDescent="0.2">
      <c r="A374" s="56"/>
      <c r="B374" s="56"/>
      <c r="C374" s="124"/>
      <c r="D374" s="417"/>
      <c r="E374" s="44">
        <v>85</v>
      </c>
      <c r="F374" s="45" t="s">
        <v>841</v>
      </c>
      <c r="G374" s="48"/>
      <c r="H374" s="48"/>
      <c r="I374" s="49"/>
      <c r="J374" s="48"/>
      <c r="K374" s="48"/>
      <c r="L374" s="47"/>
      <c r="M374" s="49"/>
      <c r="N374" s="50"/>
      <c r="O374" s="48"/>
      <c r="P374" s="48"/>
      <c r="Q374" s="51"/>
      <c r="R374" s="48"/>
      <c r="S374" s="48"/>
      <c r="T374" s="49"/>
      <c r="U374" s="125"/>
      <c r="V374" s="49"/>
      <c r="W374" s="49"/>
      <c r="X374" s="53">
        <f t="shared" ref="X374:AF374" si="553">SUM(X375:X380)</f>
        <v>0</v>
      </c>
      <c r="Y374" s="53">
        <f t="shared" si="553"/>
        <v>0</v>
      </c>
      <c r="Z374" s="53">
        <f t="shared" si="553"/>
        <v>500000000</v>
      </c>
      <c r="AA374" s="53">
        <f t="shared" si="553"/>
        <v>0</v>
      </c>
      <c r="AB374" s="53">
        <f t="shared" si="553"/>
        <v>0</v>
      </c>
      <c r="AC374" s="53">
        <f t="shared" si="553"/>
        <v>0</v>
      </c>
      <c r="AD374" s="53">
        <f t="shared" si="553"/>
        <v>0</v>
      </c>
      <c r="AE374" s="53">
        <f t="shared" si="553"/>
        <v>0</v>
      </c>
      <c r="AF374" s="53">
        <f t="shared" si="553"/>
        <v>1000000000</v>
      </c>
      <c r="AG374" s="54">
        <f>SUM(AG375:AG380)</f>
        <v>1500000000</v>
      </c>
      <c r="AH374" s="53">
        <f t="shared" ref="AH374:AQ374" si="554">SUM(AH375:AH380)</f>
        <v>0</v>
      </c>
      <c r="AI374" s="53">
        <f t="shared" si="554"/>
        <v>0</v>
      </c>
      <c r="AJ374" s="53">
        <f t="shared" si="554"/>
        <v>500000000</v>
      </c>
      <c r="AK374" s="53">
        <f t="shared" si="554"/>
        <v>0</v>
      </c>
      <c r="AL374" s="53">
        <f t="shared" si="554"/>
        <v>0</v>
      </c>
      <c r="AM374" s="53">
        <f t="shared" si="554"/>
        <v>0</v>
      </c>
      <c r="AN374" s="53">
        <f t="shared" si="554"/>
        <v>0</v>
      </c>
      <c r="AO374" s="53">
        <f t="shared" si="554"/>
        <v>0</v>
      </c>
      <c r="AP374" s="53">
        <f t="shared" si="554"/>
        <v>1000000000</v>
      </c>
      <c r="AQ374" s="53">
        <f t="shared" si="554"/>
        <v>1500000000</v>
      </c>
      <c r="AR374" s="55"/>
      <c r="AS374" s="55"/>
      <c r="AT374" s="55"/>
      <c r="AU374" s="55"/>
      <c r="AV374" s="55"/>
      <c r="AW374" s="55"/>
      <c r="AX374" s="55"/>
      <c r="AY374" s="55"/>
      <c r="AZ374" s="55"/>
      <c r="BA374" s="53">
        <f t="shared" ref="BA374" si="555">SUM(BA375:BA380)</f>
        <v>1500000000</v>
      </c>
      <c r="BB374" s="55"/>
      <c r="BC374" s="55"/>
      <c r="BD374" s="55"/>
      <c r="BE374" s="55"/>
      <c r="BF374" s="55"/>
      <c r="BG374" s="55"/>
      <c r="BH374" s="55"/>
      <c r="BI374" s="55"/>
      <c r="BJ374" s="55"/>
      <c r="BK374" s="53">
        <f t="shared" ref="BK374:BL374" si="556">SUM(BK375:BK380)</f>
        <v>1500000000</v>
      </c>
      <c r="BL374" s="53">
        <f t="shared" si="556"/>
        <v>6000000000</v>
      </c>
    </row>
    <row r="375" spans="1:64" ht="78.75" customHeight="1" x14ac:dyDescent="0.2">
      <c r="A375" s="74">
        <v>248</v>
      </c>
      <c r="B375" s="56">
        <v>5</v>
      </c>
      <c r="C375" s="124"/>
      <c r="D375" s="124"/>
      <c r="E375" s="510">
        <v>37</v>
      </c>
      <c r="F375" s="516" t="s">
        <v>833</v>
      </c>
      <c r="G375" s="408" t="s">
        <v>535</v>
      </c>
      <c r="H375" s="448">
        <v>0.6</v>
      </c>
      <c r="I375" s="64">
        <v>249</v>
      </c>
      <c r="J375" s="60" t="s">
        <v>842</v>
      </c>
      <c r="K375" s="257" t="s">
        <v>843</v>
      </c>
      <c r="L375" s="61" t="s">
        <v>844</v>
      </c>
      <c r="M375" s="240">
        <v>16</v>
      </c>
      <c r="N375" s="328" t="s">
        <v>54</v>
      </c>
      <c r="O375" s="328">
        <v>1</v>
      </c>
      <c r="P375" s="328">
        <v>1</v>
      </c>
      <c r="Q375" s="271">
        <v>1</v>
      </c>
      <c r="R375" s="328">
        <v>1</v>
      </c>
      <c r="S375" s="328">
        <v>1</v>
      </c>
      <c r="T375" s="328">
        <v>1</v>
      </c>
      <c r="U375" s="211">
        <f t="shared" ref="U375:U380" si="557">AG375/$AG$374</f>
        <v>0.13333333333333333</v>
      </c>
      <c r="V375" s="64">
        <v>16</v>
      </c>
      <c r="W375" s="61" t="s">
        <v>373</v>
      </c>
      <c r="X375" s="176"/>
      <c r="Y375" s="176"/>
      <c r="Z375" s="96">
        <v>200000000</v>
      </c>
      <c r="AA375" s="96"/>
      <c r="AB375" s="176"/>
      <c r="AC375" s="176"/>
      <c r="AD375" s="176"/>
      <c r="AE375" s="176"/>
      <c r="AF375" s="176"/>
      <c r="AG375" s="69">
        <f t="shared" ref="AG375:AG380" si="558">+X375+Y375+Z375+AA375+AB375+AC375+AD375+AE375+AF375</f>
        <v>200000000</v>
      </c>
      <c r="AH375" s="78"/>
      <c r="AI375" s="78"/>
      <c r="AJ375" s="78">
        <v>200000000</v>
      </c>
      <c r="AK375" s="78"/>
      <c r="AL375" s="78"/>
      <c r="AM375" s="78"/>
      <c r="AN375" s="78"/>
      <c r="AO375" s="78"/>
      <c r="AP375" s="78"/>
      <c r="AQ375" s="71">
        <f t="shared" ref="AQ375:AQ380" si="559">AH375+AI375+AJ375+AK375+AL375+AM375+AN375+AO375+AP375</f>
        <v>200000000</v>
      </c>
      <c r="AR375" s="78"/>
      <c r="AS375" s="78"/>
      <c r="AT375" s="78">
        <v>200000000</v>
      </c>
      <c r="AU375" s="78"/>
      <c r="AV375" s="78"/>
      <c r="AW375" s="78"/>
      <c r="AX375" s="78"/>
      <c r="AY375" s="78"/>
      <c r="AZ375" s="78"/>
      <c r="BA375" s="78">
        <f t="shared" ref="BA375:BA380" si="560">SUM(AR375:AZ375)</f>
        <v>200000000</v>
      </c>
      <c r="BB375" s="78"/>
      <c r="BC375" s="78"/>
      <c r="BD375" s="78">
        <v>200000000</v>
      </c>
      <c r="BE375" s="78"/>
      <c r="BF375" s="78"/>
      <c r="BG375" s="78"/>
      <c r="BH375" s="78"/>
      <c r="BI375" s="78"/>
      <c r="BJ375" s="78"/>
      <c r="BK375" s="78">
        <f t="shared" ref="BK375:BK380" si="561">SUM(BB375:BJ375)</f>
        <v>200000000</v>
      </c>
      <c r="BL375" s="603">
        <f t="shared" ref="BL375:BL380" si="562">AG375+AQ375+BA375+BK375</f>
        <v>800000000</v>
      </c>
    </row>
    <row r="376" spans="1:64" ht="78.75" customHeight="1" x14ac:dyDescent="0.2">
      <c r="A376" s="56">
        <v>249</v>
      </c>
      <c r="B376" s="56">
        <v>5</v>
      </c>
      <c r="C376" s="124"/>
      <c r="D376" s="124"/>
      <c r="E376" s="79"/>
      <c r="F376" s="107"/>
      <c r="G376" s="102"/>
      <c r="H376" s="323"/>
      <c r="I376" s="64">
        <v>250</v>
      </c>
      <c r="J376" s="60" t="s">
        <v>845</v>
      </c>
      <c r="K376" s="257" t="s">
        <v>846</v>
      </c>
      <c r="L376" s="61" t="s">
        <v>844</v>
      </c>
      <c r="M376" s="240">
        <v>16</v>
      </c>
      <c r="N376" s="81" t="s">
        <v>54</v>
      </c>
      <c r="O376" s="328">
        <v>1</v>
      </c>
      <c r="P376" s="328">
        <v>3</v>
      </c>
      <c r="Q376" s="187">
        <v>3</v>
      </c>
      <c r="R376" s="81">
        <v>3</v>
      </c>
      <c r="S376" s="506">
        <v>3</v>
      </c>
      <c r="T376" s="506">
        <v>3</v>
      </c>
      <c r="U376" s="211">
        <f t="shared" si="557"/>
        <v>4.6166666666666668E-2</v>
      </c>
      <c r="V376" s="64">
        <v>16</v>
      </c>
      <c r="W376" s="61" t="s">
        <v>373</v>
      </c>
      <c r="X376" s="176"/>
      <c r="Y376" s="176"/>
      <c r="Z376" s="96">
        <v>69250000</v>
      </c>
      <c r="AA376" s="96"/>
      <c r="AB376" s="176"/>
      <c r="AC376" s="176"/>
      <c r="AD376" s="176"/>
      <c r="AE376" s="176"/>
      <c r="AF376" s="176"/>
      <c r="AG376" s="69">
        <f t="shared" si="558"/>
        <v>69250000</v>
      </c>
      <c r="AH376" s="78"/>
      <c r="AI376" s="78"/>
      <c r="AJ376" s="78">
        <v>69250000</v>
      </c>
      <c r="AK376" s="78"/>
      <c r="AL376" s="78"/>
      <c r="AM376" s="78"/>
      <c r="AN376" s="78"/>
      <c r="AO376" s="78"/>
      <c r="AP376" s="78"/>
      <c r="AQ376" s="71">
        <f t="shared" si="559"/>
        <v>69250000</v>
      </c>
      <c r="AR376" s="78"/>
      <c r="AS376" s="78"/>
      <c r="AT376" s="78">
        <v>60000000</v>
      </c>
      <c r="AU376" s="78"/>
      <c r="AV376" s="78"/>
      <c r="AW376" s="78"/>
      <c r="AX376" s="78"/>
      <c r="AY376" s="78"/>
      <c r="AZ376" s="78"/>
      <c r="BA376" s="78">
        <f t="shared" si="560"/>
        <v>60000000</v>
      </c>
      <c r="BB376" s="78"/>
      <c r="BC376" s="78"/>
      <c r="BD376" s="78">
        <v>60000000</v>
      </c>
      <c r="BE376" s="78"/>
      <c r="BF376" s="78"/>
      <c r="BG376" s="78"/>
      <c r="BH376" s="78"/>
      <c r="BI376" s="78"/>
      <c r="BJ376" s="78"/>
      <c r="BK376" s="78">
        <f t="shared" si="561"/>
        <v>60000000</v>
      </c>
      <c r="BL376" s="603">
        <f t="shared" si="562"/>
        <v>258500000</v>
      </c>
    </row>
    <row r="377" spans="1:64" ht="68.25" customHeight="1" x14ac:dyDescent="0.2">
      <c r="A377" s="74">
        <v>250</v>
      </c>
      <c r="B377" s="56">
        <v>5</v>
      </c>
      <c r="C377" s="124"/>
      <c r="D377" s="124"/>
      <c r="E377" s="79"/>
      <c r="F377" s="107"/>
      <c r="G377" s="102"/>
      <c r="H377" s="323"/>
      <c r="I377" s="64">
        <v>251</v>
      </c>
      <c r="J377" s="60" t="s">
        <v>847</v>
      </c>
      <c r="K377" s="257" t="s">
        <v>848</v>
      </c>
      <c r="L377" s="61" t="s">
        <v>844</v>
      </c>
      <c r="M377" s="240">
        <v>16</v>
      </c>
      <c r="N377" s="81" t="s">
        <v>54</v>
      </c>
      <c r="O377" s="328">
        <v>0</v>
      </c>
      <c r="P377" s="328">
        <v>1</v>
      </c>
      <c r="Q377" s="187">
        <v>1</v>
      </c>
      <c r="R377" s="510">
        <v>1</v>
      </c>
      <c r="S377" s="81">
        <v>1</v>
      </c>
      <c r="T377" s="81">
        <v>1</v>
      </c>
      <c r="U377" s="211">
        <f t="shared" si="557"/>
        <v>0.13716666666666666</v>
      </c>
      <c r="V377" s="64">
        <v>16</v>
      </c>
      <c r="W377" s="61" t="s">
        <v>373</v>
      </c>
      <c r="X377" s="176"/>
      <c r="Y377" s="176"/>
      <c r="Z377" s="96">
        <v>205750000</v>
      </c>
      <c r="AA377" s="96"/>
      <c r="AB377" s="176"/>
      <c r="AC377" s="176"/>
      <c r="AD377" s="176"/>
      <c r="AE377" s="176"/>
      <c r="AF377" s="176"/>
      <c r="AG377" s="69">
        <f t="shared" si="558"/>
        <v>205750000</v>
      </c>
      <c r="AH377" s="78"/>
      <c r="AI377" s="78"/>
      <c r="AJ377" s="78">
        <v>205750000</v>
      </c>
      <c r="AK377" s="78"/>
      <c r="AL377" s="78"/>
      <c r="AM377" s="78"/>
      <c r="AN377" s="78"/>
      <c r="AO377" s="78"/>
      <c r="AP377" s="78"/>
      <c r="AQ377" s="71">
        <f t="shared" si="559"/>
        <v>205750000</v>
      </c>
      <c r="AR377" s="78"/>
      <c r="AS377" s="78"/>
      <c r="AT377" s="78">
        <v>205000000</v>
      </c>
      <c r="AU377" s="78"/>
      <c r="AV377" s="78"/>
      <c r="AW377" s="78"/>
      <c r="AX377" s="78"/>
      <c r="AY377" s="78"/>
      <c r="AZ377" s="78"/>
      <c r="BA377" s="78">
        <f t="shared" si="560"/>
        <v>205000000</v>
      </c>
      <c r="BB377" s="78"/>
      <c r="BC377" s="78"/>
      <c r="BD377" s="78">
        <v>205000000</v>
      </c>
      <c r="BE377" s="78"/>
      <c r="BF377" s="78"/>
      <c r="BG377" s="78"/>
      <c r="BH377" s="78"/>
      <c r="BI377" s="78"/>
      <c r="BJ377" s="78"/>
      <c r="BK377" s="78">
        <f t="shared" si="561"/>
        <v>205000000</v>
      </c>
      <c r="BL377" s="603">
        <f t="shared" si="562"/>
        <v>821500000</v>
      </c>
    </row>
    <row r="378" spans="1:64" ht="83.25" customHeight="1" x14ac:dyDescent="0.2">
      <c r="A378" s="56">
        <v>251</v>
      </c>
      <c r="B378" s="56">
        <v>5</v>
      </c>
      <c r="C378" s="124"/>
      <c r="D378" s="124"/>
      <c r="E378" s="79"/>
      <c r="F378" s="107"/>
      <c r="G378" s="102"/>
      <c r="H378" s="323"/>
      <c r="I378" s="64">
        <v>252</v>
      </c>
      <c r="J378" s="60" t="s">
        <v>849</v>
      </c>
      <c r="K378" s="257" t="s">
        <v>850</v>
      </c>
      <c r="L378" s="61" t="s">
        <v>844</v>
      </c>
      <c r="M378" s="240">
        <v>16</v>
      </c>
      <c r="N378" s="100" t="s">
        <v>69</v>
      </c>
      <c r="O378" s="328">
        <v>4</v>
      </c>
      <c r="P378" s="328">
        <v>3</v>
      </c>
      <c r="Q378" s="81">
        <v>0</v>
      </c>
      <c r="R378" s="81">
        <v>0</v>
      </c>
      <c r="S378" s="196">
        <v>1</v>
      </c>
      <c r="T378" s="81">
        <v>2</v>
      </c>
      <c r="U378" s="211">
        <f t="shared" si="557"/>
        <v>0</v>
      </c>
      <c r="V378" s="64">
        <v>16</v>
      </c>
      <c r="W378" s="61" t="s">
        <v>373</v>
      </c>
      <c r="X378" s="176"/>
      <c r="Y378" s="176"/>
      <c r="Z378" s="96"/>
      <c r="AA378" s="96"/>
      <c r="AB378" s="176"/>
      <c r="AC378" s="176"/>
      <c r="AD378" s="176"/>
      <c r="AE378" s="176"/>
      <c r="AF378" s="176"/>
      <c r="AG378" s="69">
        <f t="shared" si="558"/>
        <v>0</v>
      </c>
      <c r="AH378" s="78"/>
      <c r="AI378" s="78"/>
      <c r="AJ378" s="78"/>
      <c r="AK378" s="78"/>
      <c r="AL378" s="78"/>
      <c r="AM378" s="78"/>
      <c r="AN378" s="78"/>
      <c r="AO378" s="78"/>
      <c r="AP378" s="78"/>
      <c r="AQ378" s="71">
        <f t="shared" si="559"/>
        <v>0</v>
      </c>
      <c r="AR378" s="78"/>
      <c r="AS378" s="78"/>
      <c r="AT378" s="78">
        <v>10000000</v>
      </c>
      <c r="AU378" s="78"/>
      <c r="AV378" s="78"/>
      <c r="AW378" s="78"/>
      <c r="AX378" s="78"/>
      <c r="AY378" s="78"/>
      <c r="AZ378" s="78"/>
      <c r="BA378" s="78">
        <f t="shared" si="560"/>
        <v>10000000</v>
      </c>
      <c r="BB378" s="78"/>
      <c r="BC378" s="78"/>
      <c r="BD378" s="78">
        <v>10000000</v>
      </c>
      <c r="BE378" s="78"/>
      <c r="BF378" s="78"/>
      <c r="BG378" s="78"/>
      <c r="BH378" s="78"/>
      <c r="BI378" s="78"/>
      <c r="BJ378" s="78"/>
      <c r="BK378" s="78">
        <f t="shared" si="561"/>
        <v>10000000</v>
      </c>
      <c r="BL378" s="603">
        <f t="shared" si="562"/>
        <v>20000000</v>
      </c>
    </row>
    <row r="379" spans="1:64" ht="51.75" customHeight="1" x14ac:dyDescent="0.2">
      <c r="A379" s="56"/>
      <c r="B379" s="56"/>
      <c r="C379" s="124"/>
      <c r="D379" s="124"/>
      <c r="E379" s="79"/>
      <c r="F379" s="107"/>
      <c r="G379" s="102"/>
      <c r="H379" s="323"/>
      <c r="I379" s="64">
        <v>253</v>
      </c>
      <c r="J379" s="186" t="s">
        <v>851</v>
      </c>
      <c r="K379" s="257" t="s">
        <v>852</v>
      </c>
      <c r="L379" s="61" t="s">
        <v>844</v>
      </c>
      <c r="M379" s="240">
        <v>16</v>
      </c>
      <c r="N379" s="350" t="s">
        <v>69</v>
      </c>
      <c r="O379" s="271">
        <v>0</v>
      </c>
      <c r="P379" s="270">
        <v>1</v>
      </c>
      <c r="Q379" s="351">
        <v>0.25</v>
      </c>
      <c r="R379" s="538">
        <v>0.25</v>
      </c>
      <c r="S379" s="351">
        <v>0.25</v>
      </c>
      <c r="T379" s="351">
        <v>0.25</v>
      </c>
      <c r="U379" s="211">
        <f t="shared" si="557"/>
        <v>0.66666666666666663</v>
      </c>
      <c r="V379" s="64">
        <v>16</v>
      </c>
      <c r="W379" s="61" t="s">
        <v>373</v>
      </c>
      <c r="X379" s="176"/>
      <c r="Y379" s="176"/>
      <c r="Z379" s="96"/>
      <c r="AA379" s="96"/>
      <c r="AB379" s="176"/>
      <c r="AC379" s="176"/>
      <c r="AD379" s="176"/>
      <c r="AE379" s="176"/>
      <c r="AF379" s="176">
        <v>1000000000</v>
      </c>
      <c r="AG379" s="69">
        <f t="shared" si="558"/>
        <v>1000000000</v>
      </c>
      <c r="AH379" s="78">
        <v>0</v>
      </c>
      <c r="AI379" s="78">
        <v>0</v>
      </c>
      <c r="AJ379" s="78">
        <v>0</v>
      </c>
      <c r="AK379" s="78">
        <v>0</v>
      </c>
      <c r="AL379" s="78">
        <v>0</v>
      </c>
      <c r="AM379" s="78">
        <v>0</v>
      </c>
      <c r="AN379" s="78">
        <v>0</v>
      </c>
      <c r="AO379" s="78">
        <v>0</v>
      </c>
      <c r="AP379" s="78">
        <v>1000000000</v>
      </c>
      <c r="AQ379" s="71">
        <f t="shared" si="559"/>
        <v>1000000000</v>
      </c>
      <c r="AR379" s="78"/>
      <c r="AS379" s="78"/>
      <c r="AT379" s="78" t="s">
        <v>61</v>
      </c>
      <c r="AU379" s="78"/>
      <c r="AV379" s="78"/>
      <c r="AW379" s="78"/>
      <c r="AX379" s="78"/>
      <c r="AY379" s="78"/>
      <c r="AZ379" s="78">
        <v>1000000000</v>
      </c>
      <c r="BA379" s="78">
        <f t="shared" si="560"/>
        <v>1000000000</v>
      </c>
      <c r="BB379" s="78"/>
      <c r="BC379" s="78"/>
      <c r="BD379" s="78" t="s">
        <v>61</v>
      </c>
      <c r="BE379" s="78"/>
      <c r="BF379" s="78"/>
      <c r="BG379" s="78"/>
      <c r="BH379" s="78"/>
      <c r="BI379" s="78"/>
      <c r="BJ379" s="78">
        <v>1000000000</v>
      </c>
      <c r="BK379" s="78">
        <f t="shared" si="561"/>
        <v>1000000000</v>
      </c>
      <c r="BL379" s="603">
        <f t="shared" si="562"/>
        <v>4000000000</v>
      </c>
    </row>
    <row r="380" spans="1:64" ht="98.25" customHeight="1" x14ac:dyDescent="0.2">
      <c r="A380" s="74">
        <v>252</v>
      </c>
      <c r="B380" s="56">
        <v>5</v>
      </c>
      <c r="C380" s="124"/>
      <c r="D380" s="124"/>
      <c r="E380" s="506"/>
      <c r="F380" s="517"/>
      <c r="G380" s="80"/>
      <c r="H380" s="195"/>
      <c r="I380" s="64">
        <v>254</v>
      </c>
      <c r="J380" s="186" t="s">
        <v>853</v>
      </c>
      <c r="K380" s="257" t="s">
        <v>854</v>
      </c>
      <c r="L380" s="61" t="s">
        <v>844</v>
      </c>
      <c r="M380" s="240">
        <v>16</v>
      </c>
      <c r="N380" s="187" t="s">
        <v>54</v>
      </c>
      <c r="O380" s="271">
        <v>0</v>
      </c>
      <c r="P380" s="270">
        <v>1</v>
      </c>
      <c r="Q380" s="187">
        <v>1</v>
      </c>
      <c r="R380" s="81">
        <v>1</v>
      </c>
      <c r="S380" s="81">
        <v>1</v>
      </c>
      <c r="T380" s="81">
        <v>1</v>
      </c>
      <c r="U380" s="211">
        <f t="shared" si="557"/>
        <v>1.6666666666666666E-2</v>
      </c>
      <c r="V380" s="64">
        <v>16</v>
      </c>
      <c r="W380" s="61" t="s">
        <v>373</v>
      </c>
      <c r="X380" s="176"/>
      <c r="Y380" s="176"/>
      <c r="Z380" s="96">
        <v>25000000</v>
      </c>
      <c r="AA380" s="96"/>
      <c r="AB380" s="176"/>
      <c r="AC380" s="176"/>
      <c r="AD380" s="176"/>
      <c r="AE380" s="176"/>
      <c r="AF380" s="176"/>
      <c r="AG380" s="69">
        <f t="shared" si="558"/>
        <v>25000000</v>
      </c>
      <c r="AH380" s="78"/>
      <c r="AI380" s="78"/>
      <c r="AJ380" s="78">
        <v>25000000</v>
      </c>
      <c r="AK380" s="78"/>
      <c r="AL380" s="78"/>
      <c r="AM380" s="78"/>
      <c r="AN380" s="78"/>
      <c r="AO380" s="78"/>
      <c r="AP380" s="78"/>
      <c r="AQ380" s="71">
        <f t="shared" si="559"/>
        <v>25000000</v>
      </c>
      <c r="AR380" s="78"/>
      <c r="AS380" s="78"/>
      <c r="AT380" s="78">
        <v>25000000</v>
      </c>
      <c r="AU380" s="78"/>
      <c r="AV380" s="78"/>
      <c r="AW380" s="78"/>
      <c r="AX380" s="78"/>
      <c r="AY380" s="78"/>
      <c r="AZ380" s="78"/>
      <c r="BA380" s="78">
        <f t="shared" si="560"/>
        <v>25000000</v>
      </c>
      <c r="BB380" s="78"/>
      <c r="BC380" s="78"/>
      <c r="BD380" s="78">
        <v>25000000</v>
      </c>
      <c r="BE380" s="78"/>
      <c r="BF380" s="78"/>
      <c r="BG380" s="78"/>
      <c r="BH380" s="78"/>
      <c r="BI380" s="78"/>
      <c r="BJ380" s="78"/>
      <c r="BK380" s="78">
        <f t="shared" si="561"/>
        <v>25000000</v>
      </c>
      <c r="BL380" s="603">
        <f t="shared" si="562"/>
        <v>100000000</v>
      </c>
    </row>
    <row r="381" spans="1:64" ht="24.75" customHeight="1" x14ac:dyDescent="0.2">
      <c r="A381" s="74"/>
      <c r="B381" s="56"/>
      <c r="C381" s="124"/>
      <c r="D381" s="124"/>
      <c r="E381" s="44">
        <v>86</v>
      </c>
      <c r="F381" s="45" t="s">
        <v>855</v>
      </c>
      <c r="G381" s="48"/>
      <c r="H381" s="48"/>
      <c r="I381" s="47"/>
      <c r="J381" s="48"/>
      <c r="K381" s="48"/>
      <c r="L381" s="166"/>
      <c r="M381" s="345"/>
      <c r="N381" s="348"/>
      <c r="O381" s="48"/>
      <c r="P381" s="48"/>
      <c r="Q381" s="48"/>
      <c r="R381" s="345"/>
      <c r="S381" s="352"/>
      <c r="T381" s="345"/>
      <c r="U381" s="353"/>
      <c r="V381" s="345"/>
      <c r="W381" s="345"/>
      <c r="X381" s="53">
        <f t="shared" ref="X381:AF381" si="563">SUM(X382)</f>
        <v>0</v>
      </c>
      <c r="Y381" s="53">
        <f t="shared" si="563"/>
        <v>0</v>
      </c>
      <c r="Z381" s="53">
        <f t="shared" si="563"/>
        <v>80000000</v>
      </c>
      <c r="AA381" s="53">
        <f t="shared" si="563"/>
        <v>0</v>
      </c>
      <c r="AB381" s="53">
        <f t="shared" si="563"/>
        <v>0</v>
      </c>
      <c r="AC381" s="53">
        <f t="shared" si="563"/>
        <v>0</v>
      </c>
      <c r="AD381" s="53">
        <f t="shared" si="563"/>
        <v>0</v>
      </c>
      <c r="AE381" s="53">
        <f t="shared" si="563"/>
        <v>0</v>
      </c>
      <c r="AF381" s="53">
        <f t="shared" si="563"/>
        <v>0</v>
      </c>
      <c r="AG381" s="54">
        <f>SUM(AG382)</f>
        <v>80000000</v>
      </c>
      <c r="AH381" s="53">
        <f t="shared" ref="AH381:AQ381" si="564">SUM(AH382)</f>
        <v>0</v>
      </c>
      <c r="AI381" s="53">
        <f t="shared" si="564"/>
        <v>0</v>
      </c>
      <c r="AJ381" s="53">
        <f t="shared" si="564"/>
        <v>80000000</v>
      </c>
      <c r="AK381" s="53">
        <f t="shared" si="564"/>
        <v>0</v>
      </c>
      <c r="AL381" s="53">
        <f t="shared" si="564"/>
        <v>0</v>
      </c>
      <c r="AM381" s="53">
        <f t="shared" si="564"/>
        <v>0</v>
      </c>
      <c r="AN381" s="53">
        <f t="shared" si="564"/>
        <v>0</v>
      </c>
      <c r="AO381" s="53">
        <f t="shared" si="564"/>
        <v>0</v>
      </c>
      <c r="AP381" s="53">
        <f t="shared" si="564"/>
        <v>0</v>
      </c>
      <c r="AQ381" s="53">
        <f t="shared" si="564"/>
        <v>80000000</v>
      </c>
      <c r="AR381" s="55"/>
      <c r="AS381" s="55"/>
      <c r="AT381" s="55"/>
      <c r="AU381" s="55"/>
      <c r="AV381" s="55"/>
      <c r="AW381" s="55"/>
      <c r="AX381" s="55"/>
      <c r="AY381" s="55"/>
      <c r="AZ381" s="55"/>
      <c r="BA381" s="53">
        <f t="shared" ref="BA381" si="565">SUM(BA382)</f>
        <v>80000000</v>
      </c>
      <c r="BB381" s="55"/>
      <c r="BC381" s="55"/>
      <c r="BD381" s="55"/>
      <c r="BE381" s="55"/>
      <c r="BF381" s="55"/>
      <c r="BG381" s="55"/>
      <c r="BH381" s="55"/>
      <c r="BI381" s="55"/>
      <c r="BJ381" s="55"/>
      <c r="BK381" s="53">
        <f t="shared" ref="BK381:BL381" si="566">SUM(BK382)</f>
        <v>80000000</v>
      </c>
      <c r="BL381" s="53">
        <f t="shared" si="566"/>
        <v>320000000</v>
      </c>
    </row>
    <row r="382" spans="1:64" ht="161.25" customHeight="1" x14ac:dyDescent="0.2">
      <c r="A382" s="56">
        <v>253</v>
      </c>
      <c r="B382" s="56">
        <v>5</v>
      </c>
      <c r="C382" s="124"/>
      <c r="D382" s="183"/>
      <c r="E382" s="81">
        <v>37</v>
      </c>
      <c r="F382" s="57" t="s">
        <v>833</v>
      </c>
      <c r="G382" s="284" t="s">
        <v>535</v>
      </c>
      <c r="H382" s="250">
        <v>0.6</v>
      </c>
      <c r="I382" s="64">
        <v>255</v>
      </c>
      <c r="J382" s="60" t="s">
        <v>856</v>
      </c>
      <c r="K382" s="257" t="s">
        <v>857</v>
      </c>
      <c r="L382" s="64" t="s">
        <v>836</v>
      </c>
      <c r="M382" s="187">
        <v>16</v>
      </c>
      <c r="N382" s="81" t="s">
        <v>54</v>
      </c>
      <c r="O382" s="328">
        <v>12</v>
      </c>
      <c r="P382" s="328">
        <v>12</v>
      </c>
      <c r="Q382" s="187">
        <v>12</v>
      </c>
      <c r="R382" s="81">
        <v>12</v>
      </c>
      <c r="S382" s="81">
        <v>12</v>
      </c>
      <c r="T382" s="81">
        <v>12</v>
      </c>
      <c r="U382" s="211">
        <f>AG382/AG381</f>
        <v>1</v>
      </c>
      <c r="V382" s="65">
        <v>16</v>
      </c>
      <c r="W382" s="62" t="s">
        <v>373</v>
      </c>
      <c r="X382" s="176"/>
      <c r="Y382" s="176"/>
      <c r="Z382" s="96">
        <f>76685000+3315000</f>
        <v>80000000</v>
      </c>
      <c r="AA382" s="96"/>
      <c r="AB382" s="176"/>
      <c r="AC382" s="176"/>
      <c r="AD382" s="176"/>
      <c r="AE382" s="176"/>
      <c r="AF382" s="176"/>
      <c r="AG382" s="69">
        <f>+X382+Y382+Z382+AA382+AB382+AC382+AD382+AE382+AF382</f>
        <v>80000000</v>
      </c>
      <c r="AH382" s="78"/>
      <c r="AI382" s="78"/>
      <c r="AJ382" s="78">
        <v>80000000</v>
      </c>
      <c r="AK382" s="78"/>
      <c r="AL382" s="78"/>
      <c r="AM382" s="78"/>
      <c r="AN382" s="78"/>
      <c r="AO382" s="78"/>
      <c r="AP382" s="78"/>
      <c r="AQ382" s="71">
        <f>AH382+AI382+AJ382+AK382+AL382+AM382+AN382+AO382+AP382</f>
        <v>80000000</v>
      </c>
      <c r="AR382" s="78"/>
      <c r="AS382" s="78"/>
      <c r="AT382" s="78">
        <v>80000000</v>
      </c>
      <c r="AU382" s="78"/>
      <c r="AV382" s="78"/>
      <c r="AW382" s="78"/>
      <c r="AX382" s="78"/>
      <c r="AY382" s="78"/>
      <c r="AZ382" s="78"/>
      <c r="BA382" s="78">
        <f>SUM(AR382:AZ382)</f>
        <v>80000000</v>
      </c>
      <c r="BB382" s="78"/>
      <c r="BC382" s="78"/>
      <c r="BD382" s="78">
        <v>80000000</v>
      </c>
      <c r="BE382" s="78"/>
      <c r="BF382" s="78"/>
      <c r="BG382" s="78"/>
      <c r="BH382" s="78"/>
      <c r="BI382" s="78"/>
      <c r="BJ382" s="78"/>
      <c r="BK382" s="78">
        <f>SUM(BB382:BJ382)</f>
        <v>80000000</v>
      </c>
      <c r="BL382" s="603">
        <f>AG382+AQ382+BA382+BK382</f>
        <v>320000000</v>
      </c>
    </row>
    <row r="383" spans="1:64" s="147" customFormat="1" ht="24.75" customHeight="1" x14ac:dyDescent="0.2">
      <c r="A383" s="140"/>
      <c r="B383" s="140"/>
      <c r="C383" s="124"/>
      <c r="D383" s="30">
        <v>28</v>
      </c>
      <c r="E383" s="122" t="s">
        <v>858</v>
      </c>
      <c r="F383" s="32"/>
      <c r="G383" s="33"/>
      <c r="H383" s="33"/>
      <c r="I383" s="34"/>
      <c r="J383" s="35"/>
      <c r="K383" s="35"/>
      <c r="L383" s="354"/>
      <c r="M383" s="355"/>
      <c r="N383" s="356"/>
      <c r="O383" s="35"/>
      <c r="P383" s="35"/>
      <c r="Q383" s="357"/>
      <c r="R383" s="355"/>
      <c r="S383" s="358"/>
      <c r="T383" s="355"/>
      <c r="U383" s="123"/>
      <c r="V383" s="34"/>
      <c r="W383" s="34"/>
      <c r="X383" s="40">
        <f t="shared" ref="X383:AF383" si="567">X384+X404+X410</f>
        <v>0</v>
      </c>
      <c r="Y383" s="40">
        <f t="shared" si="567"/>
        <v>64260244</v>
      </c>
      <c r="Z383" s="40">
        <f t="shared" si="567"/>
        <v>2487251891</v>
      </c>
      <c r="AA383" s="40">
        <f t="shared" si="567"/>
        <v>435000000</v>
      </c>
      <c r="AB383" s="40">
        <f t="shared" si="567"/>
        <v>0</v>
      </c>
      <c r="AC383" s="40">
        <f t="shared" si="567"/>
        <v>0</v>
      </c>
      <c r="AD383" s="40">
        <f t="shared" si="567"/>
        <v>0</v>
      </c>
      <c r="AE383" s="40">
        <f t="shared" si="567"/>
        <v>0</v>
      </c>
      <c r="AF383" s="40">
        <f t="shared" si="567"/>
        <v>4097000000</v>
      </c>
      <c r="AG383" s="41">
        <f>AG384+AG404+AG410</f>
        <v>7083512135</v>
      </c>
      <c r="AH383" s="40">
        <f t="shared" ref="AH383:AQ383" si="568">AH384+AH404+AH410</f>
        <v>4000000000</v>
      </c>
      <c r="AI383" s="40">
        <f t="shared" si="568"/>
        <v>41200000</v>
      </c>
      <c r="AJ383" s="40">
        <f t="shared" si="568"/>
        <v>1774152274</v>
      </c>
      <c r="AK383" s="40">
        <f t="shared" si="568"/>
        <v>200000000</v>
      </c>
      <c r="AL383" s="40">
        <f t="shared" si="568"/>
        <v>0</v>
      </c>
      <c r="AM383" s="40">
        <f t="shared" si="568"/>
        <v>0</v>
      </c>
      <c r="AN383" s="40">
        <f t="shared" si="568"/>
        <v>0</v>
      </c>
      <c r="AO383" s="40">
        <f t="shared" si="568"/>
        <v>0</v>
      </c>
      <c r="AP383" s="40">
        <f t="shared" si="568"/>
        <v>2000000000</v>
      </c>
      <c r="AQ383" s="40">
        <f t="shared" si="568"/>
        <v>8015352274</v>
      </c>
      <c r="AR383" s="42"/>
      <c r="AS383" s="42"/>
      <c r="AT383" s="42"/>
      <c r="AU383" s="42"/>
      <c r="AV383" s="42"/>
      <c r="AW383" s="42"/>
      <c r="AX383" s="42"/>
      <c r="AY383" s="42"/>
      <c r="AZ383" s="42"/>
      <c r="BA383" s="40">
        <f t="shared" ref="BA383" si="569">BA384+BA404+BA410</f>
        <v>3477740749</v>
      </c>
      <c r="BB383" s="42"/>
      <c r="BC383" s="42"/>
      <c r="BD383" s="42"/>
      <c r="BE383" s="42"/>
      <c r="BF383" s="42"/>
      <c r="BG383" s="42"/>
      <c r="BH383" s="42"/>
      <c r="BI383" s="42"/>
      <c r="BJ383" s="42"/>
      <c r="BK383" s="40">
        <f t="shared" ref="BK383:BL383" si="570">BK384+BK404+BK410</f>
        <v>3393709080</v>
      </c>
      <c r="BL383" s="40">
        <f t="shared" si="570"/>
        <v>21970314238</v>
      </c>
    </row>
    <row r="384" spans="1:64" s="147" customFormat="1" ht="24.75" customHeight="1" x14ac:dyDescent="0.2">
      <c r="A384" s="140"/>
      <c r="B384" s="140"/>
      <c r="C384" s="124"/>
      <c r="D384" s="423"/>
      <c r="E384" s="44">
        <v>87</v>
      </c>
      <c r="F384" s="45" t="s">
        <v>859</v>
      </c>
      <c r="G384" s="48"/>
      <c r="H384" s="48"/>
      <c r="I384" s="49"/>
      <c r="J384" s="45"/>
      <c r="K384" s="48"/>
      <c r="L384" s="47"/>
      <c r="M384" s="49"/>
      <c r="N384" s="50"/>
      <c r="O384" s="48"/>
      <c r="P384" s="48"/>
      <c r="Q384" s="51"/>
      <c r="R384" s="49"/>
      <c r="S384" s="359"/>
      <c r="T384" s="49"/>
      <c r="U384" s="125"/>
      <c r="V384" s="49"/>
      <c r="W384" s="49"/>
      <c r="X384" s="53">
        <f t="shared" ref="X384:AF384" si="571">SUM(X385:X403)</f>
        <v>0</v>
      </c>
      <c r="Y384" s="53">
        <f t="shared" si="571"/>
        <v>0</v>
      </c>
      <c r="Z384" s="53">
        <f t="shared" si="571"/>
        <v>700000000</v>
      </c>
      <c r="AA384" s="53">
        <f t="shared" si="571"/>
        <v>0</v>
      </c>
      <c r="AB384" s="53">
        <f t="shared" si="571"/>
        <v>0</v>
      </c>
      <c r="AC384" s="53">
        <f t="shared" si="571"/>
        <v>0</v>
      </c>
      <c r="AD384" s="53">
        <f t="shared" si="571"/>
        <v>0</v>
      </c>
      <c r="AE384" s="53">
        <f t="shared" si="571"/>
        <v>0</v>
      </c>
      <c r="AF384" s="53">
        <f t="shared" si="571"/>
        <v>4097000000</v>
      </c>
      <c r="AG384" s="54">
        <f>SUM(AG385:AG403)</f>
        <v>4797000000</v>
      </c>
      <c r="AH384" s="53">
        <f t="shared" ref="AH384:AQ384" si="572">SUM(AH385:AH403)</f>
        <v>0</v>
      </c>
      <c r="AI384" s="53">
        <f t="shared" si="572"/>
        <v>0</v>
      </c>
      <c r="AJ384" s="53">
        <f t="shared" si="572"/>
        <v>420000000</v>
      </c>
      <c r="AK384" s="53">
        <f t="shared" si="572"/>
        <v>0</v>
      </c>
      <c r="AL384" s="53">
        <f t="shared" si="572"/>
        <v>0</v>
      </c>
      <c r="AM384" s="53">
        <f t="shared" si="572"/>
        <v>0</v>
      </c>
      <c r="AN384" s="53">
        <f t="shared" si="572"/>
        <v>0</v>
      </c>
      <c r="AO384" s="53">
        <f t="shared" si="572"/>
        <v>0</v>
      </c>
      <c r="AP384" s="53">
        <f t="shared" si="572"/>
        <v>2000000000</v>
      </c>
      <c r="AQ384" s="53">
        <f t="shared" si="572"/>
        <v>2420000000</v>
      </c>
      <c r="AR384" s="55"/>
      <c r="AS384" s="55"/>
      <c r="AT384" s="55"/>
      <c r="AU384" s="55"/>
      <c r="AV384" s="55"/>
      <c r="AW384" s="55"/>
      <c r="AX384" s="55"/>
      <c r="AY384" s="55"/>
      <c r="AZ384" s="55"/>
      <c r="BA384" s="53">
        <f t="shared" ref="BA384" si="573">SUM(BA385:BA403)</f>
        <v>2420000000</v>
      </c>
      <c r="BB384" s="55"/>
      <c r="BC384" s="55"/>
      <c r="BD384" s="55"/>
      <c r="BE384" s="55"/>
      <c r="BF384" s="55"/>
      <c r="BG384" s="55"/>
      <c r="BH384" s="55"/>
      <c r="BI384" s="55"/>
      <c r="BJ384" s="55"/>
      <c r="BK384" s="53">
        <f t="shared" ref="BK384:BL384" si="574">SUM(BK385:BK403)</f>
        <v>2400000000</v>
      </c>
      <c r="BL384" s="53">
        <f t="shared" si="574"/>
        <v>12037000000</v>
      </c>
    </row>
    <row r="385" spans="1:64" ht="54.75" customHeight="1" x14ac:dyDescent="0.2">
      <c r="A385" s="74">
        <v>254</v>
      </c>
      <c r="B385" s="56">
        <v>5</v>
      </c>
      <c r="C385" s="124"/>
      <c r="D385" s="141"/>
      <c r="E385" s="510">
        <v>38</v>
      </c>
      <c r="F385" s="516" t="s">
        <v>802</v>
      </c>
      <c r="G385" s="510">
        <v>0</v>
      </c>
      <c r="H385" s="510">
        <v>2</v>
      </c>
      <c r="I385" s="64">
        <v>256</v>
      </c>
      <c r="J385" s="60" t="s">
        <v>860</v>
      </c>
      <c r="K385" s="257" t="s">
        <v>861</v>
      </c>
      <c r="L385" s="61" t="s">
        <v>824</v>
      </c>
      <c r="M385" s="240">
        <v>17</v>
      </c>
      <c r="N385" s="334" t="s">
        <v>69</v>
      </c>
      <c r="O385" s="328">
        <v>1</v>
      </c>
      <c r="P385" s="328">
        <v>1</v>
      </c>
      <c r="Q385" s="271">
        <v>1</v>
      </c>
      <c r="R385" s="328">
        <v>0</v>
      </c>
      <c r="S385" s="328">
        <v>0</v>
      </c>
      <c r="T385" s="328">
        <v>0</v>
      </c>
      <c r="U385" s="211">
        <f t="shared" ref="U385:U403" si="575">AG385/$AG$384</f>
        <v>4.0973525119866586E-2</v>
      </c>
      <c r="V385" s="64">
        <v>16</v>
      </c>
      <c r="W385" s="61" t="s">
        <v>373</v>
      </c>
      <c r="X385" s="176"/>
      <c r="Y385" s="176"/>
      <c r="Z385" s="500">
        <v>196550000</v>
      </c>
      <c r="AA385" s="192"/>
      <c r="AB385" s="176"/>
      <c r="AC385" s="176"/>
      <c r="AD385" s="176"/>
      <c r="AE385" s="176"/>
      <c r="AF385" s="176"/>
      <c r="AG385" s="69">
        <f t="shared" ref="AG385:AG403" si="576">+X385+Y385+Z385+AA385+AB385+AC385+AD385+AE385+AF385</f>
        <v>196550000</v>
      </c>
      <c r="AH385" s="78">
        <v>0</v>
      </c>
      <c r="AI385" s="78">
        <v>0</v>
      </c>
      <c r="AJ385" s="78">
        <v>0</v>
      </c>
      <c r="AK385" s="78">
        <v>0</v>
      </c>
      <c r="AL385" s="78">
        <v>0</v>
      </c>
      <c r="AM385" s="78">
        <v>0</v>
      </c>
      <c r="AN385" s="78">
        <v>0</v>
      </c>
      <c r="AO385" s="78">
        <v>0</v>
      </c>
      <c r="AP385" s="78">
        <v>0</v>
      </c>
      <c r="AQ385" s="71">
        <f t="shared" ref="AQ385:AQ403" si="577">AH385+AI385+AJ385+AK385+AL385+AM385+AN385+AO385+AP385</f>
        <v>0</v>
      </c>
      <c r="AR385" s="511"/>
      <c r="AS385" s="511"/>
      <c r="AT385" s="511" t="s">
        <v>61</v>
      </c>
      <c r="AU385" s="511"/>
      <c r="AV385" s="511"/>
      <c r="AW385" s="511"/>
      <c r="AX385" s="511"/>
      <c r="AY385" s="511"/>
      <c r="AZ385" s="511"/>
      <c r="BA385" s="511">
        <f t="shared" ref="BA385:BA403" si="578">SUM(AR385:AZ385)</f>
        <v>0</v>
      </c>
      <c r="BB385" s="78"/>
      <c r="BC385" s="78"/>
      <c r="BD385" s="511" t="s">
        <v>61</v>
      </c>
      <c r="BE385" s="78"/>
      <c r="BF385" s="78"/>
      <c r="BG385" s="78"/>
      <c r="BH385" s="78"/>
      <c r="BI385" s="78"/>
      <c r="BJ385" s="511"/>
      <c r="BK385" s="78">
        <f t="shared" ref="BK385:BK403" si="579">SUM(BB385:BJ385)</f>
        <v>0</v>
      </c>
      <c r="BL385" s="603">
        <f t="shared" ref="BL385:BL403" si="580">AG385+AQ385+BA385+BK385</f>
        <v>196550000</v>
      </c>
    </row>
    <row r="386" spans="1:64" ht="54.75" customHeight="1" x14ac:dyDescent="0.2">
      <c r="A386" s="74"/>
      <c r="B386" s="56">
        <v>5</v>
      </c>
      <c r="C386" s="124"/>
      <c r="D386" s="141"/>
      <c r="E386" s="79"/>
      <c r="F386" s="107"/>
      <c r="G386" s="79"/>
      <c r="H386" s="79"/>
      <c r="I386" s="64">
        <v>257</v>
      </c>
      <c r="J386" s="60" t="s">
        <v>862</v>
      </c>
      <c r="K386" s="57" t="s">
        <v>282</v>
      </c>
      <c r="L386" s="61" t="s">
        <v>824</v>
      </c>
      <c r="M386" s="240">
        <v>17</v>
      </c>
      <c r="N386" s="76" t="s">
        <v>54</v>
      </c>
      <c r="O386" s="63">
        <v>0</v>
      </c>
      <c r="P386" s="63">
        <v>1</v>
      </c>
      <c r="Q386" s="77">
        <v>1</v>
      </c>
      <c r="R386" s="63">
        <v>1</v>
      </c>
      <c r="S386" s="63">
        <v>1</v>
      </c>
      <c r="T386" s="63">
        <v>1</v>
      </c>
      <c r="U386" s="211">
        <f t="shared" si="575"/>
        <v>0.32013758599124453</v>
      </c>
      <c r="V386" s="64">
        <v>13</v>
      </c>
      <c r="W386" s="61" t="s">
        <v>151</v>
      </c>
      <c r="X386" s="176"/>
      <c r="Y386" s="176"/>
      <c r="Z386" s="498">
        <v>35700000</v>
      </c>
      <c r="AA386" s="360"/>
      <c r="AB386" s="176"/>
      <c r="AC386" s="176"/>
      <c r="AD386" s="176"/>
      <c r="AE386" s="176"/>
      <c r="AF386" s="176">
        <v>1500000000</v>
      </c>
      <c r="AG386" s="69">
        <f t="shared" si="576"/>
        <v>1535700000</v>
      </c>
      <c r="AH386" s="78"/>
      <c r="AI386" s="78"/>
      <c r="AJ386" s="511">
        <v>35700000</v>
      </c>
      <c r="AK386" s="78"/>
      <c r="AL386" s="78"/>
      <c r="AM386" s="78"/>
      <c r="AN386" s="78"/>
      <c r="AO386" s="78"/>
      <c r="AP386" s="78">
        <v>500000000</v>
      </c>
      <c r="AQ386" s="71">
        <f t="shared" si="577"/>
        <v>535700000</v>
      </c>
      <c r="AR386" s="511"/>
      <c r="AS386" s="511"/>
      <c r="AT386" s="511">
        <v>35700000</v>
      </c>
      <c r="AU386" s="511"/>
      <c r="AV386" s="511"/>
      <c r="AW386" s="511"/>
      <c r="AX386" s="511"/>
      <c r="AY386" s="511"/>
      <c r="AZ386" s="78">
        <v>500000000</v>
      </c>
      <c r="BA386" s="511">
        <f t="shared" si="578"/>
        <v>535700000</v>
      </c>
      <c r="BB386" s="78"/>
      <c r="BC386" s="78"/>
      <c r="BD386" s="511">
        <v>35700000</v>
      </c>
      <c r="BE386" s="78"/>
      <c r="BF386" s="78"/>
      <c r="BG386" s="78"/>
      <c r="BH386" s="78"/>
      <c r="BI386" s="78"/>
      <c r="BJ386" s="78">
        <v>500000000</v>
      </c>
      <c r="BK386" s="78">
        <f t="shared" si="579"/>
        <v>535700000</v>
      </c>
      <c r="BL386" s="603">
        <f t="shared" si="580"/>
        <v>3142800000</v>
      </c>
    </row>
    <row r="387" spans="1:64" ht="68.25" customHeight="1" x14ac:dyDescent="0.2">
      <c r="A387" s="74"/>
      <c r="B387" s="56">
        <v>5</v>
      </c>
      <c r="C387" s="124"/>
      <c r="D387" s="141"/>
      <c r="E387" s="79"/>
      <c r="F387" s="107"/>
      <c r="G387" s="79"/>
      <c r="H387" s="79"/>
      <c r="I387" s="64">
        <v>258</v>
      </c>
      <c r="J387" s="60" t="s">
        <v>863</v>
      </c>
      <c r="K387" s="57" t="s">
        <v>864</v>
      </c>
      <c r="L387" s="61" t="s">
        <v>824</v>
      </c>
      <c r="M387" s="240">
        <v>17</v>
      </c>
      <c r="N387" s="76" t="s">
        <v>54</v>
      </c>
      <c r="O387" s="63">
        <v>0</v>
      </c>
      <c r="P387" s="77">
        <v>1</v>
      </c>
      <c r="Q387" s="77">
        <v>1</v>
      </c>
      <c r="R387" s="77">
        <v>1</v>
      </c>
      <c r="S387" s="77">
        <v>1</v>
      </c>
      <c r="T387" s="63">
        <v>1</v>
      </c>
      <c r="U387" s="211">
        <f t="shared" si="575"/>
        <v>0.20846362309776945</v>
      </c>
      <c r="V387" s="65">
        <v>15</v>
      </c>
      <c r="W387" s="62" t="s">
        <v>55</v>
      </c>
      <c r="X387" s="176"/>
      <c r="Y387" s="176"/>
      <c r="Z387" s="500">
        <v>0</v>
      </c>
      <c r="AA387" s="92"/>
      <c r="AB387" s="176"/>
      <c r="AC387" s="176"/>
      <c r="AD387" s="176"/>
      <c r="AE387" s="176"/>
      <c r="AF387" s="176">
        <v>1000000000</v>
      </c>
      <c r="AG387" s="69">
        <f t="shared" si="576"/>
        <v>1000000000</v>
      </c>
      <c r="AH387" s="78"/>
      <c r="AI387" s="78"/>
      <c r="AJ387" s="511">
        <v>20000000</v>
      </c>
      <c r="AK387" s="78"/>
      <c r="AL387" s="78"/>
      <c r="AM387" s="78"/>
      <c r="AN387" s="78"/>
      <c r="AO387" s="78"/>
      <c r="AP387" s="78"/>
      <c r="AQ387" s="71">
        <f t="shared" si="577"/>
        <v>20000000</v>
      </c>
      <c r="AR387" s="511"/>
      <c r="AS387" s="511"/>
      <c r="AT387" s="511">
        <v>20000000</v>
      </c>
      <c r="AU387" s="511"/>
      <c r="AV387" s="511"/>
      <c r="AW387" s="511"/>
      <c r="AX387" s="511"/>
      <c r="AY387" s="511"/>
      <c r="AZ387" s="78"/>
      <c r="BA387" s="511">
        <f t="shared" si="578"/>
        <v>20000000</v>
      </c>
      <c r="BB387" s="78"/>
      <c r="BC387" s="78"/>
      <c r="BD387" s="511">
        <v>20000000</v>
      </c>
      <c r="BE387" s="78"/>
      <c r="BF387" s="78"/>
      <c r="BG387" s="78"/>
      <c r="BH387" s="78"/>
      <c r="BI387" s="78"/>
      <c r="BJ387" s="78"/>
      <c r="BK387" s="78">
        <f t="shared" si="579"/>
        <v>20000000</v>
      </c>
      <c r="BL387" s="603">
        <f t="shared" si="580"/>
        <v>1060000000</v>
      </c>
    </row>
    <row r="388" spans="1:64" ht="68.25" customHeight="1" x14ac:dyDescent="0.2">
      <c r="A388" s="56">
        <v>255</v>
      </c>
      <c r="B388" s="56">
        <v>5</v>
      </c>
      <c r="C388" s="124"/>
      <c r="D388" s="141"/>
      <c r="E388" s="79"/>
      <c r="F388" s="107"/>
      <c r="G388" s="79"/>
      <c r="H388" s="79"/>
      <c r="I388" s="64">
        <v>259</v>
      </c>
      <c r="J388" s="60" t="s">
        <v>865</v>
      </c>
      <c r="K388" s="257" t="s">
        <v>866</v>
      </c>
      <c r="L388" s="61" t="s">
        <v>824</v>
      </c>
      <c r="M388" s="240">
        <v>17</v>
      </c>
      <c r="N388" s="334" t="s">
        <v>54</v>
      </c>
      <c r="O388" s="328">
        <v>1</v>
      </c>
      <c r="P388" s="328">
        <v>1</v>
      </c>
      <c r="Q388" s="271">
        <v>1</v>
      </c>
      <c r="R388" s="328">
        <v>1</v>
      </c>
      <c r="S388" s="328">
        <v>1</v>
      </c>
      <c r="T388" s="328">
        <v>1</v>
      </c>
      <c r="U388" s="211">
        <f t="shared" si="575"/>
        <v>1.876172607879925E-3</v>
      </c>
      <c r="V388" s="64">
        <v>13</v>
      </c>
      <c r="W388" s="61" t="s">
        <v>151</v>
      </c>
      <c r="X388" s="176"/>
      <c r="Y388" s="176"/>
      <c r="Z388" s="498">
        <v>9000000</v>
      </c>
      <c r="AA388" s="106"/>
      <c r="AB388" s="176"/>
      <c r="AC388" s="176"/>
      <c r="AD388" s="176"/>
      <c r="AE388" s="176"/>
      <c r="AF388" s="176"/>
      <c r="AG388" s="69">
        <f t="shared" si="576"/>
        <v>9000000</v>
      </c>
      <c r="AH388" s="78"/>
      <c r="AI388" s="78"/>
      <c r="AJ388" s="511">
        <v>9000000</v>
      </c>
      <c r="AK388" s="78"/>
      <c r="AL388" s="78"/>
      <c r="AM388" s="78"/>
      <c r="AN388" s="78"/>
      <c r="AO388" s="78"/>
      <c r="AP388" s="78"/>
      <c r="AQ388" s="71">
        <f t="shared" si="577"/>
        <v>9000000</v>
      </c>
      <c r="AR388" s="511"/>
      <c r="AS388" s="511"/>
      <c r="AT388" s="511">
        <v>9000000</v>
      </c>
      <c r="AU388" s="511"/>
      <c r="AV388" s="511"/>
      <c r="AW388" s="511"/>
      <c r="AX388" s="511"/>
      <c r="AY388" s="511"/>
      <c r="AZ388" s="78"/>
      <c r="BA388" s="511">
        <f t="shared" si="578"/>
        <v>9000000</v>
      </c>
      <c r="BB388" s="78"/>
      <c r="BC388" s="78"/>
      <c r="BD388" s="511">
        <v>9000000</v>
      </c>
      <c r="BE388" s="78"/>
      <c r="BF388" s="78"/>
      <c r="BG388" s="78"/>
      <c r="BH388" s="78"/>
      <c r="BI388" s="78"/>
      <c r="BJ388" s="78"/>
      <c r="BK388" s="78">
        <f t="shared" si="579"/>
        <v>9000000</v>
      </c>
      <c r="BL388" s="603">
        <f t="shared" si="580"/>
        <v>36000000</v>
      </c>
    </row>
    <row r="389" spans="1:64" ht="78.75" customHeight="1" x14ac:dyDescent="0.2">
      <c r="A389" s="74">
        <v>256</v>
      </c>
      <c r="B389" s="56">
        <v>5</v>
      </c>
      <c r="C389" s="124"/>
      <c r="D389" s="141"/>
      <c r="E389" s="79"/>
      <c r="F389" s="107"/>
      <c r="G389" s="79"/>
      <c r="H389" s="79"/>
      <c r="I389" s="64">
        <v>260</v>
      </c>
      <c r="J389" s="60" t="s">
        <v>867</v>
      </c>
      <c r="K389" s="257" t="s">
        <v>868</v>
      </c>
      <c r="L389" s="61" t="s">
        <v>824</v>
      </c>
      <c r="M389" s="240">
        <v>17</v>
      </c>
      <c r="N389" s="334" t="s">
        <v>54</v>
      </c>
      <c r="O389" s="328">
        <v>12</v>
      </c>
      <c r="P389" s="328">
        <v>12</v>
      </c>
      <c r="Q389" s="271">
        <v>12</v>
      </c>
      <c r="R389" s="328">
        <v>12</v>
      </c>
      <c r="S389" s="328">
        <v>12</v>
      </c>
      <c r="T389" s="328">
        <v>12</v>
      </c>
      <c r="U389" s="211">
        <f t="shared" si="575"/>
        <v>3.8925370022930999E-3</v>
      </c>
      <c r="V389" s="64">
        <v>13</v>
      </c>
      <c r="W389" s="61" t="s">
        <v>151</v>
      </c>
      <c r="X389" s="176"/>
      <c r="Y389" s="176"/>
      <c r="Z389" s="498">
        <v>18672500</v>
      </c>
      <c r="AA389" s="106"/>
      <c r="AB389" s="176"/>
      <c r="AC389" s="176"/>
      <c r="AD389" s="176"/>
      <c r="AE389" s="176"/>
      <c r="AF389" s="176"/>
      <c r="AG389" s="69">
        <f t="shared" si="576"/>
        <v>18672500</v>
      </c>
      <c r="AH389" s="78"/>
      <c r="AI389" s="78"/>
      <c r="AJ389" s="511">
        <v>18000000</v>
      </c>
      <c r="AK389" s="78"/>
      <c r="AL389" s="78"/>
      <c r="AM389" s="78"/>
      <c r="AN389" s="78"/>
      <c r="AO389" s="78"/>
      <c r="AP389" s="78"/>
      <c r="AQ389" s="71">
        <f t="shared" si="577"/>
        <v>18000000</v>
      </c>
      <c r="AR389" s="511"/>
      <c r="AS389" s="511"/>
      <c r="AT389" s="511">
        <v>18000000</v>
      </c>
      <c r="AU389" s="511"/>
      <c r="AV389" s="511"/>
      <c r="AW389" s="511"/>
      <c r="AX389" s="511"/>
      <c r="AY389" s="511"/>
      <c r="AZ389" s="78"/>
      <c r="BA389" s="511">
        <f t="shared" si="578"/>
        <v>18000000</v>
      </c>
      <c r="BB389" s="78"/>
      <c r="BC389" s="78"/>
      <c r="BD389" s="511">
        <v>18000000</v>
      </c>
      <c r="BE389" s="78"/>
      <c r="BF389" s="78"/>
      <c r="BG389" s="78"/>
      <c r="BH389" s="78"/>
      <c r="BI389" s="78"/>
      <c r="BJ389" s="78"/>
      <c r="BK389" s="78">
        <f t="shared" si="579"/>
        <v>18000000</v>
      </c>
      <c r="BL389" s="603">
        <f t="shared" si="580"/>
        <v>72672500</v>
      </c>
    </row>
    <row r="390" spans="1:64" ht="54.75" customHeight="1" x14ac:dyDescent="0.2">
      <c r="A390" s="56">
        <v>257</v>
      </c>
      <c r="B390" s="56">
        <v>5</v>
      </c>
      <c r="C390" s="124"/>
      <c r="D390" s="141"/>
      <c r="E390" s="79"/>
      <c r="F390" s="107"/>
      <c r="G390" s="79"/>
      <c r="H390" s="79"/>
      <c r="I390" s="64">
        <v>261</v>
      </c>
      <c r="J390" s="60" t="s">
        <v>869</v>
      </c>
      <c r="K390" s="257" t="s">
        <v>870</v>
      </c>
      <c r="L390" s="61" t="s">
        <v>824</v>
      </c>
      <c r="M390" s="240">
        <v>17</v>
      </c>
      <c r="N390" s="334" t="s">
        <v>54</v>
      </c>
      <c r="O390" s="328">
        <v>1</v>
      </c>
      <c r="P390" s="328">
        <v>2</v>
      </c>
      <c r="Q390" s="271">
        <v>2</v>
      </c>
      <c r="R390" s="328">
        <v>2</v>
      </c>
      <c r="S390" s="328">
        <v>2</v>
      </c>
      <c r="T390" s="328">
        <v>2</v>
      </c>
      <c r="U390" s="211">
        <f t="shared" si="575"/>
        <v>5.6702105482593287E-3</v>
      </c>
      <c r="V390" s="64">
        <v>17</v>
      </c>
      <c r="W390" s="61" t="s">
        <v>839</v>
      </c>
      <c r="X390" s="176"/>
      <c r="Y390" s="176"/>
      <c r="Z390" s="498">
        <v>27200000</v>
      </c>
      <c r="AA390" s="69"/>
      <c r="AB390" s="176"/>
      <c r="AC390" s="176"/>
      <c r="AD390" s="176"/>
      <c r="AE390" s="176"/>
      <c r="AF390" s="176"/>
      <c r="AG390" s="69">
        <f t="shared" si="576"/>
        <v>27200000</v>
      </c>
      <c r="AH390" s="78"/>
      <c r="AI390" s="78"/>
      <c r="AJ390" s="78">
        <v>25000000</v>
      </c>
      <c r="AK390" s="78"/>
      <c r="AL390" s="78"/>
      <c r="AM390" s="78"/>
      <c r="AN390" s="78"/>
      <c r="AO390" s="78"/>
      <c r="AP390" s="78"/>
      <c r="AQ390" s="71">
        <f t="shared" si="577"/>
        <v>25000000</v>
      </c>
      <c r="AR390" s="78"/>
      <c r="AS390" s="78"/>
      <c r="AT390" s="78">
        <v>25000000</v>
      </c>
      <c r="AU390" s="78"/>
      <c r="AV390" s="78"/>
      <c r="AW390" s="78"/>
      <c r="AX390" s="78"/>
      <c r="AY390" s="78"/>
      <c r="AZ390" s="78"/>
      <c r="BA390" s="511">
        <f t="shared" si="578"/>
        <v>25000000</v>
      </c>
      <c r="BB390" s="78"/>
      <c r="BC390" s="78"/>
      <c r="BD390" s="78">
        <v>25000000</v>
      </c>
      <c r="BE390" s="78"/>
      <c r="BF390" s="78"/>
      <c r="BG390" s="78"/>
      <c r="BH390" s="78"/>
      <c r="BI390" s="78"/>
      <c r="BJ390" s="78"/>
      <c r="BK390" s="78">
        <f t="shared" si="579"/>
        <v>25000000</v>
      </c>
      <c r="BL390" s="603">
        <f t="shared" si="580"/>
        <v>102200000</v>
      </c>
    </row>
    <row r="391" spans="1:64" ht="78.75" customHeight="1" x14ac:dyDescent="0.2">
      <c r="A391" s="74">
        <v>258</v>
      </c>
      <c r="B391" s="56">
        <v>5</v>
      </c>
      <c r="C391" s="124"/>
      <c r="D391" s="141"/>
      <c r="E391" s="79"/>
      <c r="F391" s="107"/>
      <c r="G391" s="79"/>
      <c r="H391" s="79"/>
      <c r="I391" s="64">
        <v>262</v>
      </c>
      <c r="J391" s="60" t="s">
        <v>871</v>
      </c>
      <c r="K391" s="257" t="s">
        <v>872</v>
      </c>
      <c r="L391" s="61" t="s">
        <v>824</v>
      </c>
      <c r="M391" s="240">
        <v>17</v>
      </c>
      <c r="N391" s="334" t="s">
        <v>54</v>
      </c>
      <c r="O391" s="328">
        <v>1</v>
      </c>
      <c r="P391" s="328">
        <v>1</v>
      </c>
      <c r="Q391" s="271">
        <v>1</v>
      </c>
      <c r="R391" s="328">
        <v>1</v>
      </c>
      <c r="S391" s="328">
        <v>1</v>
      </c>
      <c r="T391" s="328">
        <v>1</v>
      </c>
      <c r="U391" s="211">
        <f t="shared" si="575"/>
        <v>0.10944340212632896</v>
      </c>
      <c r="V391" s="64">
        <v>17</v>
      </c>
      <c r="W391" s="61" t="s">
        <v>839</v>
      </c>
      <c r="X391" s="176"/>
      <c r="Y391" s="176"/>
      <c r="Z391" s="500">
        <v>25000000</v>
      </c>
      <c r="AA391" s="192"/>
      <c r="AB391" s="176"/>
      <c r="AC391" s="176"/>
      <c r="AD391" s="176"/>
      <c r="AE391" s="176"/>
      <c r="AF391" s="176">
        <v>500000000</v>
      </c>
      <c r="AG391" s="69">
        <f t="shared" si="576"/>
        <v>525000000</v>
      </c>
      <c r="AH391" s="78"/>
      <c r="AI391" s="78"/>
      <c r="AJ391" s="78">
        <v>25000000</v>
      </c>
      <c r="AK391" s="78"/>
      <c r="AL391" s="78"/>
      <c r="AM391" s="78"/>
      <c r="AN391" s="78"/>
      <c r="AO391" s="78"/>
      <c r="AP391" s="78">
        <v>500000000</v>
      </c>
      <c r="AQ391" s="71">
        <f t="shared" si="577"/>
        <v>525000000</v>
      </c>
      <c r="AR391" s="78"/>
      <c r="AS391" s="78"/>
      <c r="AT391" s="78">
        <v>25000000</v>
      </c>
      <c r="AU391" s="78"/>
      <c r="AV391" s="78"/>
      <c r="AW391" s="78"/>
      <c r="AX391" s="78"/>
      <c r="AY391" s="78"/>
      <c r="AZ391" s="78">
        <v>500000000</v>
      </c>
      <c r="BA391" s="511">
        <f t="shared" si="578"/>
        <v>525000000</v>
      </c>
      <c r="BB391" s="78"/>
      <c r="BC391" s="78"/>
      <c r="BD391" s="78">
        <v>25000000</v>
      </c>
      <c r="BE391" s="78"/>
      <c r="BF391" s="78"/>
      <c r="BG391" s="78"/>
      <c r="BH391" s="78"/>
      <c r="BI391" s="78"/>
      <c r="BJ391" s="78">
        <v>500000000</v>
      </c>
      <c r="BK391" s="78">
        <f t="shared" si="579"/>
        <v>525000000</v>
      </c>
      <c r="BL391" s="603">
        <f t="shared" si="580"/>
        <v>2100000000</v>
      </c>
    </row>
    <row r="392" spans="1:64" ht="54.75" customHeight="1" x14ac:dyDescent="0.2">
      <c r="A392" s="56">
        <v>259</v>
      </c>
      <c r="B392" s="56">
        <v>5</v>
      </c>
      <c r="C392" s="124"/>
      <c r="D392" s="141"/>
      <c r="E392" s="79"/>
      <c r="F392" s="107"/>
      <c r="G392" s="79"/>
      <c r="H392" s="79"/>
      <c r="I392" s="64">
        <v>263</v>
      </c>
      <c r="J392" s="60" t="s">
        <v>873</v>
      </c>
      <c r="K392" s="257" t="s">
        <v>874</v>
      </c>
      <c r="L392" s="61" t="s">
        <v>824</v>
      </c>
      <c r="M392" s="240">
        <v>17</v>
      </c>
      <c r="N392" s="334" t="s">
        <v>54</v>
      </c>
      <c r="O392" s="328">
        <v>1</v>
      </c>
      <c r="P392" s="328">
        <v>1</v>
      </c>
      <c r="Q392" s="271">
        <v>1</v>
      </c>
      <c r="R392" s="328">
        <v>1</v>
      </c>
      <c r="S392" s="328">
        <v>1</v>
      </c>
      <c r="T392" s="328">
        <v>1</v>
      </c>
      <c r="U392" s="211">
        <f t="shared" si="575"/>
        <v>1.2486971023556389E-2</v>
      </c>
      <c r="V392" s="64">
        <v>17</v>
      </c>
      <c r="W392" s="61" t="s">
        <v>839</v>
      </c>
      <c r="X392" s="176"/>
      <c r="Y392" s="176"/>
      <c r="Z392" s="500">
        <v>59900000</v>
      </c>
      <c r="AA392" s="192"/>
      <c r="AB392" s="176"/>
      <c r="AC392" s="176"/>
      <c r="AD392" s="176"/>
      <c r="AE392" s="176"/>
      <c r="AF392" s="176"/>
      <c r="AG392" s="69">
        <f t="shared" si="576"/>
        <v>59900000</v>
      </c>
      <c r="AH392" s="78"/>
      <c r="AI392" s="78"/>
      <c r="AJ392" s="511">
        <v>35000000</v>
      </c>
      <c r="AK392" s="78"/>
      <c r="AL392" s="78"/>
      <c r="AM392" s="78"/>
      <c r="AN392" s="78"/>
      <c r="AO392" s="78"/>
      <c r="AP392" s="78">
        <v>400000000</v>
      </c>
      <c r="AQ392" s="71">
        <f t="shared" si="577"/>
        <v>435000000</v>
      </c>
      <c r="AR392" s="511"/>
      <c r="AS392" s="511"/>
      <c r="AT392" s="511">
        <v>35000000</v>
      </c>
      <c r="AU392" s="511"/>
      <c r="AV392" s="511"/>
      <c r="AW392" s="511"/>
      <c r="AX392" s="511"/>
      <c r="AY392" s="511"/>
      <c r="AZ392" s="78">
        <v>400000000</v>
      </c>
      <c r="BA392" s="511">
        <f t="shared" si="578"/>
        <v>435000000</v>
      </c>
      <c r="BB392" s="78"/>
      <c r="BC392" s="78"/>
      <c r="BD392" s="511">
        <v>35000000</v>
      </c>
      <c r="BE392" s="78"/>
      <c r="BF392" s="78"/>
      <c r="BG392" s="78"/>
      <c r="BH392" s="78"/>
      <c r="BI392" s="78"/>
      <c r="BJ392" s="78">
        <v>400000000</v>
      </c>
      <c r="BK392" s="78">
        <f t="shared" si="579"/>
        <v>435000000</v>
      </c>
      <c r="BL392" s="603">
        <f t="shared" si="580"/>
        <v>1364900000</v>
      </c>
    </row>
    <row r="393" spans="1:64" ht="75" customHeight="1" x14ac:dyDescent="0.2">
      <c r="A393" s="74">
        <v>260</v>
      </c>
      <c r="B393" s="56">
        <v>5</v>
      </c>
      <c r="C393" s="124"/>
      <c r="D393" s="141"/>
      <c r="E393" s="79"/>
      <c r="F393" s="107"/>
      <c r="G393" s="79"/>
      <c r="H393" s="79"/>
      <c r="I393" s="64">
        <v>264</v>
      </c>
      <c r="J393" s="60" t="s">
        <v>875</v>
      </c>
      <c r="K393" s="257" t="s">
        <v>876</v>
      </c>
      <c r="L393" s="61" t="s">
        <v>824</v>
      </c>
      <c r="M393" s="240">
        <v>17</v>
      </c>
      <c r="N393" s="334" t="s">
        <v>54</v>
      </c>
      <c r="O393" s="328">
        <v>0</v>
      </c>
      <c r="P393" s="328">
        <v>1</v>
      </c>
      <c r="Q393" s="271">
        <v>1</v>
      </c>
      <c r="R393" s="328">
        <v>1</v>
      </c>
      <c r="S393" s="328">
        <v>1</v>
      </c>
      <c r="T393" s="328">
        <v>1</v>
      </c>
      <c r="U393" s="211">
        <f t="shared" si="575"/>
        <v>0.10944340212632896</v>
      </c>
      <c r="V393" s="64">
        <v>17</v>
      </c>
      <c r="W393" s="61" t="s">
        <v>839</v>
      </c>
      <c r="X393" s="176"/>
      <c r="Y393" s="500"/>
      <c r="Z393" s="500">
        <v>25000000</v>
      </c>
      <c r="AA393" s="500"/>
      <c r="AB393" s="176"/>
      <c r="AC393" s="176"/>
      <c r="AD393" s="176"/>
      <c r="AE393" s="176"/>
      <c r="AF393" s="176">
        <v>500000000</v>
      </c>
      <c r="AG393" s="69">
        <f t="shared" si="576"/>
        <v>525000000</v>
      </c>
      <c r="AH393" s="78"/>
      <c r="AI393" s="78"/>
      <c r="AJ393" s="511">
        <v>25000000</v>
      </c>
      <c r="AK393" s="78"/>
      <c r="AL393" s="78"/>
      <c r="AM393" s="78"/>
      <c r="AN393" s="78"/>
      <c r="AO393" s="78"/>
      <c r="AP393" s="78">
        <v>300000000</v>
      </c>
      <c r="AQ393" s="71">
        <f t="shared" si="577"/>
        <v>325000000</v>
      </c>
      <c r="AR393" s="511"/>
      <c r="AS393" s="511"/>
      <c r="AT393" s="511">
        <v>25000000</v>
      </c>
      <c r="AU393" s="511"/>
      <c r="AV393" s="511"/>
      <c r="AW393" s="511"/>
      <c r="AX393" s="511"/>
      <c r="AY393" s="511"/>
      <c r="AZ393" s="78">
        <v>300000000</v>
      </c>
      <c r="BA393" s="511">
        <f t="shared" si="578"/>
        <v>325000000</v>
      </c>
      <c r="BB393" s="78"/>
      <c r="BC393" s="78"/>
      <c r="BD393" s="511">
        <v>25000000</v>
      </c>
      <c r="BE393" s="78"/>
      <c r="BF393" s="78"/>
      <c r="BG393" s="78"/>
      <c r="BH393" s="78"/>
      <c r="BI393" s="78"/>
      <c r="BJ393" s="78">
        <v>300000000</v>
      </c>
      <c r="BK393" s="78">
        <f t="shared" si="579"/>
        <v>325000000</v>
      </c>
      <c r="BL393" s="603">
        <f t="shared" si="580"/>
        <v>1500000000</v>
      </c>
    </row>
    <row r="394" spans="1:64" ht="102.75" customHeight="1" x14ac:dyDescent="0.2">
      <c r="A394" s="56"/>
      <c r="B394" s="56"/>
      <c r="C394" s="124"/>
      <c r="D394" s="141"/>
      <c r="E394" s="79"/>
      <c r="F394" s="107"/>
      <c r="G394" s="79"/>
      <c r="H394" s="79"/>
      <c r="I394" s="64">
        <v>265</v>
      </c>
      <c r="J394" s="60" t="s">
        <v>877</v>
      </c>
      <c r="K394" s="57" t="s">
        <v>878</v>
      </c>
      <c r="L394" s="61" t="s">
        <v>121</v>
      </c>
      <c r="M394" s="61">
        <v>13</v>
      </c>
      <c r="N394" s="76" t="s">
        <v>54</v>
      </c>
      <c r="O394" s="63">
        <v>0</v>
      </c>
      <c r="P394" s="63">
        <v>1</v>
      </c>
      <c r="Q394" s="77">
        <v>1</v>
      </c>
      <c r="R394" s="63">
        <v>1</v>
      </c>
      <c r="S394" s="63">
        <v>1</v>
      </c>
      <c r="T394" s="63">
        <v>1</v>
      </c>
      <c r="U394" s="211">
        <f t="shared" si="575"/>
        <v>0.15810923493850323</v>
      </c>
      <c r="V394" s="64">
        <v>17</v>
      </c>
      <c r="W394" s="61" t="s">
        <v>839</v>
      </c>
      <c r="X394" s="176"/>
      <c r="Y394" s="500"/>
      <c r="Z394" s="500">
        <v>161450000</v>
      </c>
      <c r="AA394" s="188"/>
      <c r="AB394" s="176"/>
      <c r="AC394" s="176"/>
      <c r="AD394" s="176"/>
      <c r="AE394" s="176"/>
      <c r="AF394" s="176">
        <v>597000000</v>
      </c>
      <c r="AG394" s="69">
        <f t="shared" si="576"/>
        <v>758450000</v>
      </c>
      <c r="AH394" s="78"/>
      <c r="AI394" s="78"/>
      <c r="AJ394" s="138">
        <v>100000000</v>
      </c>
      <c r="AK394" s="146"/>
      <c r="AL394" s="146"/>
      <c r="AM394" s="78"/>
      <c r="AN394" s="78"/>
      <c r="AO394" s="78"/>
      <c r="AP394" s="78">
        <v>300000000</v>
      </c>
      <c r="AQ394" s="71">
        <f t="shared" si="577"/>
        <v>400000000</v>
      </c>
      <c r="AR394" s="511"/>
      <c r="AS394" s="511"/>
      <c r="AT394" s="138">
        <v>100000000</v>
      </c>
      <c r="AU394" s="138"/>
      <c r="AV394" s="511"/>
      <c r="AW394" s="511"/>
      <c r="AX394" s="511"/>
      <c r="AY394" s="511"/>
      <c r="AZ394" s="78">
        <v>300000000</v>
      </c>
      <c r="BA394" s="511">
        <f t="shared" si="578"/>
        <v>400000000</v>
      </c>
      <c r="BB394" s="78"/>
      <c r="BC394" s="78"/>
      <c r="BD394" s="138">
        <v>80000000</v>
      </c>
      <c r="BE394" s="146"/>
      <c r="BF394" s="78"/>
      <c r="BG394" s="78"/>
      <c r="BH394" s="78"/>
      <c r="BI394" s="78"/>
      <c r="BJ394" s="78">
        <v>300000000</v>
      </c>
      <c r="BK394" s="78">
        <f t="shared" si="579"/>
        <v>380000000</v>
      </c>
      <c r="BL394" s="603">
        <f t="shared" si="580"/>
        <v>1938450000</v>
      </c>
    </row>
    <row r="395" spans="1:64" ht="95.25" customHeight="1" x14ac:dyDescent="0.2">
      <c r="A395" s="74">
        <v>262</v>
      </c>
      <c r="B395" s="56">
        <v>5</v>
      </c>
      <c r="C395" s="124"/>
      <c r="D395" s="141"/>
      <c r="E395" s="79"/>
      <c r="F395" s="107"/>
      <c r="G395" s="79"/>
      <c r="H395" s="79"/>
      <c r="I395" s="64">
        <v>266</v>
      </c>
      <c r="J395" s="60" t="s">
        <v>879</v>
      </c>
      <c r="K395" s="257" t="s">
        <v>880</v>
      </c>
      <c r="L395" s="61" t="s">
        <v>824</v>
      </c>
      <c r="M395" s="240">
        <v>17</v>
      </c>
      <c r="N395" s="334" t="s">
        <v>54</v>
      </c>
      <c r="O395" s="328">
        <v>1</v>
      </c>
      <c r="P395" s="328">
        <v>1</v>
      </c>
      <c r="Q395" s="271">
        <v>1</v>
      </c>
      <c r="R395" s="328">
        <v>1</v>
      </c>
      <c r="S395" s="328">
        <v>1</v>
      </c>
      <c r="T395" s="328">
        <v>1</v>
      </c>
      <c r="U395" s="211">
        <f t="shared" si="575"/>
        <v>3.335417969564311E-3</v>
      </c>
      <c r="V395" s="64">
        <v>16</v>
      </c>
      <c r="W395" s="61" t="s">
        <v>373</v>
      </c>
      <c r="X395" s="176"/>
      <c r="Y395" s="500"/>
      <c r="Z395" s="500">
        <v>16000000</v>
      </c>
      <c r="AA395" s="566"/>
      <c r="AB395" s="176"/>
      <c r="AC395" s="176"/>
      <c r="AD395" s="176"/>
      <c r="AE395" s="176"/>
      <c r="AF395" s="176"/>
      <c r="AG395" s="69">
        <f t="shared" si="576"/>
        <v>16000000</v>
      </c>
      <c r="AH395" s="78"/>
      <c r="AI395" s="78"/>
      <c r="AJ395" s="511">
        <v>16000000</v>
      </c>
      <c r="AK395" s="78"/>
      <c r="AL395" s="78"/>
      <c r="AM395" s="78"/>
      <c r="AN395" s="78"/>
      <c r="AO395" s="78"/>
      <c r="AP395" s="78"/>
      <c r="AQ395" s="71">
        <f t="shared" si="577"/>
        <v>16000000</v>
      </c>
      <c r="AR395" s="511"/>
      <c r="AS395" s="511"/>
      <c r="AT395" s="511">
        <v>16000000</v>
      </c>
      <c r="AU395" s="511"/>
      <c r="AV395" s="511"/>
      <c r="AW395" s="511"/>
      <c r="AX395" s="511"/>
      <c r="AY395" s="511"/>
      <c r="AZ395" s="78"/>
      <c r="BA395" s="511">
        <f t="shared" si="578"/>
        <v>16000000</v>
      </c>
      <c r="BB395" s="78"/>
      <c r="BC395" s="78"/>
      <c r="BD395" s="511">
        <v>16000000</v>
      </c>
      <c r="BE395" s="78"/>
      <c r="BF395" s="78"/>
      <c r="BG395" s="78"/>
      <c r="BH395" s="78"/>
      <c r="BI395" s="78"/>
      <c r="BJ395" s="78"/>
      <c r="BK395" s="78">
        <f t="shared" si="579"/>
        <v>16000000</v>
      </c>
      <c r="BL395" s="603">
        <f t="shared" si="580"/>
        <v>64000000</v>
      </c>
    </row>
    <row r="396" spans="1:64" ht="54.75" customHeight="1" x14ac:dyDescent="0.2">
      <c r="A396" s="56">
        <v>263</v>
      </c>
      <c r="B396" s="56">
        <v>5</v>
      </c>
      <c r="C396" s="124"/>
      <c r="D396" s="141"/>
      <c r="E396" s="79"/>
      <c r="F396" s="107"/>
      <c r="G396" s="79"/>
      <c r="H396" s="79"/>
      <c r="I396" s="64">
        <v>267</v>
      </c>
      <c r="J396" s="60" t="s">
        <v>881</v>
      </c>
      <c r="K396" s="257" t="s">
        <v>882</v>
      </c>
      <c r="L396" s="61" t="s">
        <v>824</v>
      </c>
      <c r="M396" s="240">
        <v>17</v>
      </c>
      <c r="N396" s="334" t="s">
        <v>54</v>
      </c>
      <c r="O396" s="328">
        <v>1</v>
      </c>
      <c r="P396" s="328">
        <v>1</v>
      </c>
      <c r="Q396" s="271">
        <v>1</v>
      </c>
      <c r="R396" s="328">
        <v>1</v>
      </c>
      <c r="S396" s="328">
        <v>1</v>
      </c>
      <c r="T396" s="328">
        <v>1</v>
      </c>
      <c r="U396" s="211">
        <f t="shared" si="575"/>
        <v>3.6481134042109652E-3</v>
      </c>
      <c r="V396" s="64">
        <v>17</v>
      </c>
      <c r="W396" s="61" t="s">
        <v>839</v>
      </c>
      <c r="X396" s="176"/>
      <c r="Y396" s="500"/>
      <c r="Z396" s="500">
        <v>17500000</v>
      </c>
      <c r="AA396" s="566"/>
      <c r="AB396" s="176"/>
      <c r="AC396" s="176"/>
      <c r="AD396" s="176"/>
      <c r="AE396" s="176"/>
      <c r="AF396" s="176"/>
      <c r="AG396" s="69">
        <f t="shared" si="576"/>
        <v>17500000</v>
      </c>
      <c r="AH396" s="78"/>
      <c r="AI396" s="78"/>
      <c r="AJ396" s="511">
        <v>12000000</v>
      </c>
      <c r="AK396" s="78"/>
      <c r="AL396" s="78"/>
      <c r="AM396" s="78"/>
      <c r="AN396" s="78"/>
      <c r="AO396" s="78"/>
      <c r="AP396" s="78"/>
      <c r="AQ396" s="71">
        <f t="shared" si="577"/>
        <v>12000000</v>
      </c>
      <c r="AR396" s="511"/>
      <c r="AS396" s="511"/>
      <c r="AT396" s="511">
        <v>12000000</v>
      </c>
      <c r="AU396" s="511"/>
      <c r="AV396" s="511"/>
      <c r="AW396" s="511"/>
      <c r="AX396" s="511"/>
      <c r="AY396" s="511"/>
      <c r="AZ396" s="78"/>
      <c r="BA396" s="511">
        <f t="shared" si="578"/>
        <v>12000000</v>
      </c>
      <c r="BB396" s="78"/>
      <c r="BC396" s="78"/>
      <c r="BD396" s="511">
        <v>12000000</v>
      </c>
      <c r="BE396" s="78"/>
      <c r="BF396" s="78"/>
      <c r="BG396" s="78"/>
      <c r="BH396" s="78"/>
      <c r="BI396" s="78"/>
      <c r="BJ396" s="78"/>
      <c r="BK396" s="78">
        <f t="shared" si="579"/>
        <v>12000000</v>
      </c>
      <c r="BL396" s="603">
        <f t="shared" si="580"/>
        <v>53500000</v>
      </c>
    </row>
    <row r="397" spans="1:64" ht="102.75" customHeight="1" x14ac:dyDescent="0.2">
      <c r="A397" s="74">
        <v>264</v>
      </c>
      <c r="B397" s="56">
        <v>5</v>
      </c>
      <c r="C397" s="124"/>
      <c r="D397" s="141"/>
      <c r="E397" s="79"/>
      <c r="F397" s="107"/>
      <c r="G397" s="79"/>
      <c r="H397" s="79"/>
      <c r="I397" s="64">
        <v>268</v>
      </c>
      <c r="J397" s="60" t="s">
        <v>883</v>
      </c>
      <c r="K397" s="257" t="s">
        <v>884</v>
      </c>
      <c r="L397" s="61" t="s">
        <v>824</v>
      </c>
      <c r="M397" s="240">
        <v>17</v>
      </c>
      <c r="N397" s="334" t="s">
        <v>54</v>
      </c>
      <c r="O397" s="328">
        <v>12</v>
      </c>
      <c r="P397" s="328">
        <v>12</v>
      </c>
      <c r="Q397" s="271">
        <v>12</v>
      </c>
      <c r="R397" s="328">
        <v>12</v>
      </c>
      <c r="S397" s="328">
        <v>12</v>
      </c>
      <c r="T397" s="328">
        <v>12</v>
      </c>
      <c r="U397" s="211">
        <f t="shared" si="575"/>
        <v>3.8925370022930999E-3</v>
      </c>
      <c r="V397" s="64">
        <v>13</v>
      </c>
      <c r="W397" s="61" t="s">
        <v>151</v>
      </c>
      <c r="X397" s="176"/>
      <c r="Y397" s="500"/>
      <c r="Z397" s="500">
        <v>18672500</v>
      </c>
      <c r="AA397" s="70"/>
      <c r="AB397" s="176"/>
      <c r="AC397" s="176"/>
      <c r="AD397" s="176"/>
      <c r="AE397" s="176"/>
      <c r="AF397" s="176"/>
      <c r="AG397" s="69">
        <f t="shared" si="576"/>
        <v>18672500</v>
      </c>
      <c r="AH397" s="78"/>
      <c r="AI397" s="78"/>
      <c r="AJ397" s="511">
        <v>12000000</v>
      </c>
      <c r="AK397" s="78"/>
      <c r="AL397" s="78"/>
      <c r="AM397" s="78"/>
      <c r="AN397" s="78"/>
      <c r="AO397" s="78"/>
      <c r="AP397" s="78"/>
      <c r="AQ397" s="71">
        <f t="shared" si="577"/>
        <v>12000000</v>
      </c>
      <c r="AR397" s="511"/>
      <c r="AS397" s="511"/>
      <c r="AT397" s="511">
        <v>12000000</v>
      </c>
      <c r="AU397" s="511"/>
      <c r="AV397" s="511"/>
      <c r="AW397" s="511"/>
      <c r="AX397" s="511"/>
      <c r="AY397" s="511"/>
      <c r="AZ397" s="78"/>
      <c r="BA397" s="511">
        <f t="shared" si="578"/>
        <v>12000000</v>
      </c>
      <c r="BB397" s="78"/>
      <c r="BC397" s="78"/>
      <c r="BD397" s="511">
        <v>12000000</v>
      </c>
      <c r="BE397" s="78"/>
      <c r="BF397" s="78"/>
      <c r="BG397" s="78"/>
      <c r="BH397" s="78"/>
      <c r="BI397" s="78"/>
      <c r="BJ397" s="78"/>
      <c r="BK397" s="78">
        <f t="shared" si="579"/>
        <v>12000000</v>
      </c>
      <c r="BL397" s="603">
        <f t="shared" si="580"/>
        <v>54672500</v>
      </c>
    </row>
    <row r="398" spans="1:64" ht="97.5" customHeight="1" x14ac:dyDescent="0.2">
      <c r="A398" s="56">
        <v>265</v>
      </c>
      <c r="B398" s="56">
        <v>5</v>
      </c>
      <c r="C398" s="124"/>
      <c r="D398" s="141"/>
      <c r="E398" s="79"/>
      <c r="F398" s="107"/>
      <c r="G398" s="79"/>
      <c r="H398" s="79"/>
      <c r="I398" s="64">
        <v>269</v>
      </c>
      <c r="J398" s="60" t="s">
        <v>885</v>
      </c>
      <c r="K398" s="257" t="s">
        <v>886</v>
      </c>
      <c r="L398" s="61" t="s">
        <v>824</v>
      </c>
      <c r="M398" s="240">
        <v>17</v>
      </c>
      <c r="N398" s="334" t="s">
        <v>54</v>
      </c>
      <c r="O398" s="328">
        <v>12</v>
      </c>
      <c r="P398" s="328">
        <v>12</v>
      </c>
      <c r="Q398" s="271">
        <v>12</v>
      </c>
      <c r="R398" s="328">
        <v>12</v>
      </c>
      <c r="S398" s="328">
        <v>12</v>
      </c>
      <c r="T398" s="328">
        <v>12</v>
      </c>
      <c r="U398" s="211">
        <f t="shared" si="575"/>
        <v>3.2254534083802377E-3</v>
      </c>
      <c r="V398" s="64">
        <v>16</v>
      </c>
      <c r="W398" s="61" t="s">
        <v>373</v>
      </c>
      <c r="X398" s="176"/>
      <c r="Y398" s="500"/>
      <c r="Z398" s="500">
        <v>15472500</v>
      </c>
      <c r="AA398" s="623"/>
      <c r="AB398" s="176"/>
      <c r="AC398" s="176"/>
      <c r="AD398" s="176"/>
      <c r="AE398" s="176"/>
      <c r="AF398" s="176"/>
      <c r="AG398" s="69">
        <f t="shared" si="576"/>
        <v>15472500</v>
      </c>
      <c r="AH398" s="78"/>
      <c r="AI398" s="78"/>
      <c r="AJ398" s="511">
        <v>12000000</v>
      </c>
      <c r="AK398" s="78"/>
      <c r="AL398" s="78"/>
      <c r="AM398" s="78"/>
      <c r="AN398" s="78"/>
      <c r="AO398" s="78"/>
      <c r="AP398" s="78"/>
      <c r="AQ398" s="71">
        <f t="shared" si="577"/>
        <v>12000000</v>
      </c>
      <c r="AR398" s="511"/>
      <c r="AS398" s="511"/>
      <c r="AT398" s="511">
        <v>12000000</v>
      </c>
      <c r="AU398" s="511"/>
      <c r="AV398" s="511"/>
      <c r="AW398" s="511"/>
      <c r="AX398" s="511"/>
      <c r="AY398" s="511"/>
      <c r="AZ398" s="78"/>
      <c r="BA398" s="511">
        <f t="shared" si="578"/>
        <v>12000000</v>
      </c>
      <c r="BB398" s="78"/>
      <c r="BC398" s="78"/>
      <c r="BD398" s="511">
        <v>12000000</v>
      </c>
      <c r="BE398" s="78"/>
      <c r="BF398" s="78"/>
      <c r="BG398" s="78"/>
      <c r="BH398" s="78"/>
      <c r="BI398" s="78"/>
      <c r="BJ398" s="78"/>
      <c r="BK398" s="78">
        <f t="shared" si="579"/>
        <v>12000000</v>
      </c>
      <c r="BL398" s="603">
        <f t="shared" si="580"/>
        <v>51472500</v>
      </c>
    </row>
    <row r="399" spans="1:64" ht="141" customHeight="1" x14ac:dyDescent="0.2">
      <c r="A399" s="74">
        <v>266</v>
      </c>
      <c r="B399" s="56">
        <v>5</v>
      </c>
      <c r="C399" s="124"/>
      <c r="D399" s="141"/>
      <c r="E399" s="79"/>
      <c r="F399" s="107"/>
      <c r="G399" s="79"/>
      <c r="H399" s="79"/>
      <c r="I399" s="64">
        <v>270</v>
      </c>
      <c r="J399" s="60" t="s">
        <v>887</v>
      </c>
      <c r="K399" s="257" t="s">
        <v>888</v>
      </c>
      <c r="L399" s="61" t="s">
        <v>824</v>
      </c>
      <c r="M399" s="240">
        <v>17</v>
      </c>
      <c r="N399" s="334" t="s">
        <v>54</v>
      </c>
      <c r="O399" s="328" t="s">
        <v>49</v>
      </c>
      <c r="P399" s="328">
        <v>12</v>
      </c>
      <c r="Q399" s="271">
        <v>12</v>
      </c>
      <c r="R399" s="328">
        <v>12</v>
      </c>
      <c r="S399" s="328">
        <v>12</v>
      </c>
      <c r="T399" s="328">
        <v>12</v>
      </c>
      <c r="U399" s="211">
        <f t="shared" si="575"/>
        <v>3.1629143214509069E-3</v>
      </c>
      <c r="V399" s="64">
        <v>16</v>
      </c>
      <c r="W399" s="61" t="s">
        <v>373</v>
      </c>
      <c r="X399" s="176"/>
      <c r="Y399" s="500"/>
      <c r="Z399" s="500">
        <v>15172500</v>
      </c>
      <c r="AA399" s="566"/>
      <c r="AB399" s="176"/>
      <c r="AC399" s="176"/>
      <c r="AD399" s="176"/>
      <c r="AE399" s="176"/>
      <c r="AF399" s="176"/>
      <c r="AG399" s="69">
        <f t="shared" si="576"/>
        <v>15172500</v>
      </c>
      <c r="AH399" s="78"/>
      <c r="AI399" s="78"/>
      <c r="AJ399" s="511">
        <v>15000000</v>
      </c>
      <c r="AK399" s="78"/>
      <c r="AL399" s="78"/>
      <c r="AM399" s="78"/>
      <c r="AN399" s="78"/>
      <c r="AO399" s="78"/>
      <c r="AP399" s="78"/>
      <c r="AQ399" s="71">
        <f t="shared" si="577"/>
        <v>15000000</v>
      </c>
      <c r="AR399" s="511"/>
      <c r="AS399" s="511"/>
      <c r="AT399" s="511">
        <v>15000000</v>
      </c>
      <c r="AU399" s="511"/>
      <c r="AV399" s="511"/>
      <c r="AW399" s="511"/>
      <c r="AX399" s="511"/>
      <c r="AY399" s="511"/>
      <c r="AZ399" s="78"/>
      <c r="BA399" s="511">
        <f t="shared" si="578"/>
        <v>15000000</v>
      </c>
      <c r="BB399" s="78"/>
      <c r="BC399" s="78"/>
      <c r="BD399" s="511">
        <v>15000000</v>
      </c>
      <c r="BE399" s="78"/>
      <c r="BF399" s="78"/>
      <c r="BG399" s="78"/>
      <c r="BH399" s="78"/>
      <c r="BI399" s="78"/>
      <c r="BJ399" s="78"/>
      <c r="BK399" s="78">
        <f t="shared" si="579"/>
        <v>15000000</v>
      </c>
      <c r="BL399" s="603">
        <f t="shared" si="580"/>
        <v>60172500</v>
      </c>
    </row>
    <row r="400" spans="1:64" ht="149.25" customHeight="1" x14ac:dyDescent="0.2">
      <c r="A400" s="56">
        <v>267</v>
      </c>
      <c r="B400" s="56">
        <v>5</v>
      </c>
      <c r="C400" s="124"/>
      <c r="D400" s="141"/>
      <c r="E400" s="79"/>
      <c r="F400" s="107"/>
      <c r="G400" s="79"/>
      <c r="H400" s="79"/>
      <c r="I400" s="64">
        <v>271</v>
      </c>
      <c r="J400" s="60" t="s">
        <v>889</v>
      </c>
      <c r="K400" s="257" t="s">
        <v>888</v>
      </c>
      <c r="L400" s="61" t="s">
        <v>824</v>
      </c>
      <c r="M400" s="240">
        <v>17</v>
      </c>
      <c r="N400" s="334" t="s">
        <v>54</v>
      </c>
      <c r="O400" s="328">
        <v>12</v>
      </c>
      <c r="P400" s="328">
        <v>12</v>
      </c>
      <c r="Q400" s="271">
        <v>12</v>
      </c>
      <c r="R400" s="328">
        <v>12</v>
      </c>
      <c r="S400" s="328">
        <v>12</v>
      </c>
      <c r="T400" s="328">
        <v>12</v>
      </c>
      <c r="U400" s="211">
        <f t="shared" si="575"/>
        <v>5.5644152595372108E-3</v>
      </c>
      <c r="V400" s="64">
        <v>3</v>
      </c>
      <c r="W400" s="61" t="s">
        <v>453</v>
      </c>
      <c r="X400" s="176"/>
      <c r="Y400" s="500"/>
      <c r="Z400" s="500">
        <v>26692500</v>
      </c>
      <c r="AA400" s="566"/>
      <c r="AB400" s="176"/>
      <c r="AC400" s="176"/>
      <c r="AD400" s="176"/>
      <c r="AE400" s="176"/>
      <c r="AF400" s="176"/>
      <c r="AG400" s="69">
        <f t="shared" si="576"/>
        <v>26692500</v>
      </c>
      <c r="AH400" s="78"/>
      <c r="AI400" s="78"/>
      <c r="AJ400" s="511">
        <v>28492500</v>
      </c>
      <c r="AK400" s="78"/>
      <c r="AL400" s="78"/>
      <c r="AM400" s="78"/>
      <c r="AN400" s="78"/>
      <c r="AO400" s="78"/>
      <c r="AP400" s="78"/>
      <c r="AQ400" s="71">
        <f t="shared" si="577"/>
        <v>28492500</v>
      </c>
      <c r="AR400" s="78"/>
      <c r="AS400" s="78"/>
      <c r="AT400" s="511">
        <v>28492500</v>
      </c>
      <c r="AU400" s="78"/>
      <c r="AV400" s="78"/>
      <c r="AW400" s="78"/>
      <c r="AX400" s="78"/>
      <c r="AY400" s="78"/>
      <c r="AZ400" s="78"/>
      <c r="BA400" s="511">
        <f t="shared" si="578"/>
        <v>28492500</v>
      </c>
      <c r="BB400" s="78"/>
      <c r="BC400" s="78"/>
      <c r="BD400" s="511">
        <v>28492500</v>
      </c>
      <c r="BE400" s="78"/>
      <c r="BF400" s="78"/>
      <c r="BG400" s="78"/>
      <c r="BH400" s="78"/>
      <c r="BI400" s="78"/>
      <c r="BJ400" s="78"/>
      <c r="BK400" s="78">
        <f t="shared" si="579"/>
        <v>28492500</v>
      </c>
      <c r="BL400" s="603">
        <f t="shared" si="580"/>
        <v>112170000</v>
      </c>
    </row>
    <row r="401" spans="1:64" ht="192.75" customHeight="1" x14ac:dyDescent="0.2">
      <c r="A401" s="74">
        <v>268</v>
      </c>
      <c r="B401" s="56">
        <v>5</v>
      </c>
      <c r="C401" s="124"/>
      <c r="D401" s="141"/>
      <c r="E401" s="79"/>
      <c r="F401" s="107"/>
      <c r="G401" s="79"/>
      <c r="H401" s="79"/>
      <c r="I401" s="64">
        <v>272</v>
      </c>
      <c r="J401" s="60" t="s">
        <v>890</v>
      </c>
      <c r="K401" s="257" t="s">
        <v>888</v>
      </c>
      <c r="L401" s="61" t="s">
        <v>824</v>
      </c>
      <c r="M401" s="240">
        <v>17</v>
      </c>
      <c r="N401" s="334" t="s">
        <v>54</v>
      </c>
      <c r="O401" s="328" t="s">
        <v>49</v>
      </c>
      <c r="P401" s="328">
        <v>12</v>
      </c>
      <c r="Q401" s="271">
        <v>12</v>
      </c>
      <c r="R401" s="328">
        <v>12</v>
      </c>
      <c r="S401" s="328">
        <v>12</v>
      </c>
      <c r="T401" s="328">
        <v>12</v>
      </c>
      <c r="U401" s="211">
        <f t="shared" si="575"/>
        <v>3.475609756097561E-3</v>
      </c>
      <c r="V401" s="64">
        <v>16</v>
      </c>
      <c r="W401" s="61" t="s">
        <v>373</v>
      </c>
      <c r="X401" s="176"/>
      <c r="Y401" s="500"/>
      <c r="Z401" s="500">
        <v>16672500</v>
      </c>
      <c r="AA401" s="70"/>
      <c r="AB401" s="176"/>
      <c r="AC401" s="176"/>
      <c r="AD401" s="176"/>
      <c r="AE401" s="176"/>
      <c r="AF401" s="176"/>
      <c r="AG401" s="69">
        <f t="shared" si="576"/>
        <v>16672500</v>
      </c>
      <c r="AH401" s="78"/>
      <c r="AI401" s="78"/>
      <c r="AJ401" s="511">
        <v>15000000</v>
      </c>
      <c r="AK401" s="78"/>
      <c r="AL401" s="78"/>
      <c r="AM401" s="78"/>
      <c r="AN401" s="78"/>
      <c r="AO401" s="78"/>
      <c r="AP401" s="78"/>
      <c r="AQ401" s="71">
        <f t="shared" si="577"/>
        <v>15000000</v>
      </c>
      <c r="AR401" s="78"/>
      <c r="AS401" s="78"/>
      <c r="AT401" s="511">
        <v>15000000</v>
      </c>
      <c r="AU401" s="78"/>
      <c r="AV401" s="78"/>
      <c r="AW401" s="78"/>
      <c r="AX401" s="78"/>
      <c r="AY401" s="78"/>
      <c r="AZ401" s="78"/>
      <c r="BA401" s="511">
        <f t="shared" si="578"/>
        <v>15000000</v>
      </c>
      <c r="BB401" s="78"/>
      <c r="BC401" s="78"/>
      <c r="BD401" s="511">
        <v>15000000</v>
      </c>
      <c r="BE401" s="78"/>
      <c r="BF401" s="78"/>
      <c r="BG401" s="78"/>
      <c r="BH401" s="78"/>
      <c r="BI401" s="78"/>
      <c r="BJ401" s="78"/>
      <c r="BK401" s="78">
        <f t="shared" si="579"/>
        <v>15000000</v>
      </c>
      <c r="BL401" s="603">
        <f t="shared" si="580"/>
        <v>61672500</v>
      </c>
    </row>
    <row r="402" spans="1:64" ht="102.75" customHeight="1" x14ac:dyDescent="0.2">
      <c r="A402" s="56">
        <v>269</v>
      </c>
      <c r="B402" s="56">
        <v>5</v>
      </c>
      <c r="C402" s="124"/>
      <c r="D402" s="141"/>
      <c r="E402" s="79"/>
      <c r="F402" s="107"/>
      <c r="G402" s="79"/>
      <c r="H402" s="79"/>
      <c r="I402" s="64">
        <v>273</v>
      </c>
      <c r="J402" s="60" t="s">
        <v>891</v>
      </c>
      <c r="K402" s="257" t="s">
        <v>886</v>
      </c>
      <c r="L402" s="61" t="s">
        <v>824</v>
      </c>
      <c r="M402" s="240">
        <v>17</v>
      </c>
      <c r="N402" s="334" t="s">
        <v>54</v>
      </c>
      <c r="O402" s="328">
        <v>12</v>
      </c>
      <c r="P402" s="328">
        <v>12</v>
      </c>
      <c r="Q402" s="271">
        <v>12</v>
      </c>
      <c r="R402" s="328">
        <v>12</v>
      </c>
      <c r="S402" s="328">
        <v>12</v>
      </c>
      <c r="T402" s="328">
        <v>12</v>
      </c>
      <c r="U402" s="211">
        <f t="shared" si="575"/>
        <v>5.5711903272878888E-4</v>
      </c>
      <c r="V402" s="64">
        <v>17</v>
      </c>
      <c r="W402" s="61" t="s">
        <v>839</v>
      </c>
      <c r="X402" s="176"/>
      <c r="Y402" s="621"/>
      <c r="Z402" s="500">
        <v>2672500</v>
      </c>
      <c r="AA402" s="622"/>
      <c r="AB402" s="176"/>
      <c r="AC402" s="176"/>
      <c r="AD402" s="176"/>
      <c r="AE402" s="176"/>
      <c r="AF402" s="176"/>
      <c r="AG402" s="69">
        <f t="shared" si="576"/>
        <v>2672500</v>
      </c>
      <c r="AH402" s="78"/>
      <c r="AI402" s="78"/>
      <c r="AJ402" s="511">
        <v>2672500</v>
      </c>
      <c r="AK402" s="78"/>
      <c r="AL402" s="78"/>
      <c r="AM402" s="78"/>
      <c r="AN402" s="78"/>
      <c r="AO402" s="78"/>
      <c r="AP402" s="78"/>
      <c r="AQ402" s="71">
        <f t="shared" si="577"/>
        <v>2672500</v>
      </c>
      <c r="AR402" s="78"/>
      <c r="AS402" s="78"/>
      <c r="AT402" s="511">
        <v>2672500</v>
      </c>
      <c r="AU402" s="78"/>
      <c r="AV402" s="78"/>
      <c r="AW402" s="78"/>
      <c r="AX402" s="78"/>
      <c r="AY402" s="78"/>
      <c r="AZ402" s="78"/>
      <c r="BA402" s="511">
        <f t="shared" si="578"/>
        <v>2672500</v>
      </c>
      <c r="BB402" s="78"/>
      <c r="BC402" s="78"/>
      <c r="BD402" s="511">
        <v>2672500</v>
      </c>
      <c r="BE402" s="78"/>
      <c r="BF402" s="78"/>
      <c r="BG402" s="78"/>
      <c r="BH402" s="78"/>
      <c r="BI402" s="78"/>
      <c r="BJ402" s="78"/>
      <c r="BK402" s="78">
        <f t="shared" si="579"/>
        <v>2672500</v>
      </c>
      <c r="BL402" s="603">
        <f t="shared" si="580"/>
        <v>10690000</v>
      </c>
    </row>
    <row r="403" spans="1:64" ht="83.25" customHeight="1" x14ac:dyDescent="0.2">
      <c r="A403" s="74">
        <v>270</v>
      </c>
      <c r="B403" s="56">
        <v>5</v>
      </c>
      <c r="C403" s="124"/>
      <c r="D403" s="141"/>
      <c r="E403" s="506"/>
      <c r="F403" s="517"/>
      <c r="G403" s="506"/>
      <c r="H403" s="506"/>
      <c r="I403" s="64">
        <v>274</v>
      </c>
      <c r="J403" s="60" t="s">
        <v>892</v>
      </c>
      <c r="K403" s="257" t="s">
        <v>886</v>
      </c>
      <c r="L403" s="61" t="s">
        <v>824</v>
      </c>
      <c r="M403" s="240">
        <v>17</v>
      </c>
      <c r="N403" s="334" t="s">
        <v>54</v>
      </c>
      <c r="O403" s="328" t="s">
        <v>49</v>
      </c>
      <c r="P403" s="328">
        <v>12</v>
      </c>
      <c r="Q403" s="271">
        <v>12</v>
      </c>
      <c r="R403" s="328">
        <v>12</v>
      </c>
      <c r="S403" s="328">
        <v>12</v>
      </c>
      <c r="T403" s="328">
        <v>12</v>
      </c>
      <c r="U403" s="211">
        <f t="shared" si="575"/>
        <v>2.6417552637064833E-3</v>
      </c>
      <c r="V403" s="65">
        <v>16</v>
      </c>
      <c r="W403" s="62" t="s">
        <v>373</v>
      </c>
      <c r="X403" s="176"/>
      <c r="Y403" s="500"/>
      <c r="Z403" s="184">
        <v>12672500</v>
      </c>
      <c r="AA403" s="106"/>
      <c r="AB403" s="176"/>
      <c r="AC403" s="176"/>
      <c r="AD403" s="176"/>
      <c r="AE403" s="176"/>
      <c r="AF403" s="176"/>
      <c r="AG403" s="69">
        <f t="shared" si="576"/>
        <v>12672500</v>
      </c>
      <c r="AH403" s="78"/>
      <c r="AI403" s="78"/>
      <c r="AJ403" s="511">
        <v>14135000</v>
      </c>
      <c r="AK403" s="78"/>
      <c r="AL403" s="78"/>
      <c r="AM403" s="78"/>
      <c r="AN403" s="78"/>
      <c r="AO403" s="78"/>
      <c r="AP403" s="78"/>
      <c r="AQ403" s="71">
        <f t="shared" si="577"/>
        <v>14135000</v>
      </c>
      <c r="AR403" s="78"/>
      <c r="AS403" s="78"/>
      <c r="AT403" s="511">
        <v>14135000</v>
      </c>
      <c r="AU403" s="78"/>
      <c r="AV403" s="78"/>
      <c r="AW403" s="78"/>
      <c r="AX403" s="78"/>
      <c r="AY403" s="78"/>
      <c r="AZ403" s="78"/>
      <c r="BA403" s="511">
        <f t="shared" si="578"/>
        <v>14135000</v>
      </c>
      <c r="BB403" s="78"/>
      <c r="BC403" s="78"/>
      <c r="BD403" s="511">
        <v>14135000</v>
      </c>
      <c r="BE403" s="78"/>
      <c r="BF403" s="78"/>
      <c r="BG403" s="78"/>
      <c r="BH403" s="78"/>
      <c r="BI403" s="78"/>
      <c r="BJ403" s="78"/>
      <c r="BK403" s="78">
        <f t="shared" si="579"/>
        <v>14135000</v>
      </c>
      <c r="BL403" s="603">
        <f t="shared" si="580"/>
        <v>55077500</v>
      </c>
    </row>
    <row r="404" spans="1:64" ht="24.75" customHeight="1" x14ac:dyDescent="0.2">
      <c r="A404" s="74"/>
      <c r="B404" s="56"/>
      <c r="C404" s="124"/>
      <c r="D404" s="141"/>
      <c r="E404" s="44">
        <v>88</v>
      </c>
      <c r="F404" s="45" t="s">
        <v>893</v>
      </c>
      <c r="G404" s="48"/>
      <c r="H404" s="48"/>
      <c r="I404" s="49"/>
      <c r="J404" s="48"/>
      <c r="K404" s="48"/>
      <c r="L404" s="47"/>
      <c r="M404" s="49"/>
      <c r="N404" s="50"/>
      <c r="O404" s="48"/>
      <c r="P404" s="48"/>
      <c r="Q404" s="48"/>
      <c r="R404" s="50"/>
      <c r="S404" s="48"/>
      <c r="T404" s="49"/>
      <c r="U404" s="125"/>
      <c r="V404" s="49"/>
      <c r="W404" s="49"/>
      <c r="X404" s="53">
        <f t="shared" ref="X404:AF404" si="581">SUM(X405:X409)</f>
        <v>0</v>
      </c>
      <c r="Y404" s="53">
        <f t="shared" si="581"/>
        <v>64260244</v>
      </c>
      <c r="Z404" s="53">
        <f t="shared" si="581"/>
        <v>955795535</v>
      </c>
      <c r="AA404" s="53">
        <f t="shared" si="581"/>
        <v>435000000</v>
      </c>
      <c r="AB404" s="53">
        <f t="shared" si="581"/>
        <v>0</v>
      </c>
      <c r="AC404" s="53">
        <f t="shared" si="581"/>
        <v>0</v>
      </c>
      <c r="AD404" s="53">
        <f t="shared" si="581"/>
        <v>0</v>
      </c>
      <c r="AE404" s="53">
        <f t="shared" si="581"/>
        <v>0</v>
      </c>
      <c r="AF404" s="53">
        <f t="shared" si="581"/>
        <v>0</v>
      </c>
      <c r="AG404" s="54">
        <f>SUM(AG405:AG409)</f>
        <v>1455055779</v>
      </c>
      <c r="AH404" s="53">
        <f t="shared" ref="AH404:AQ404" si="582">SUM(AH405:AH409)</f>
        <v>0</v>
      </c>
      <c r="AI404" s="53">
        <f t="shared" si="582"/>
        <v>41200000</v>
      </c>
      <c r="AJ404" s="53">
        <f t="shared" si="582"/>
        <v>800000000</v>
      </c>
      <c r="AK404" s="53">
        <f t="shared" si="582"/>
        <v>200000000</v>
      </c>
      <c r="AL404" s="53">
        <f t="shared" si="582"/>
        <v>0</v>
      </c>
      <c r="AM404" s="53">
        <f t="shared" si="582"/>
        <v>0</v>
      </c>
      <c r="AN404" s="53">
        <f t="shared" si="582"/>
        <v>0</v>
      </c>
      <c r="AO404" s="53">
        <f t="shared" si="582"/>
        <v>0</v>
      </c>
      <c r="AP404" s="53">
        <f t="shared" si="582"/>
        <v>0</v>
      </c>
      <c r="AQ404" s="53">
        <f t="shared" si="582"/>
        <v>1041200000</v>
      </c>
      <c r="AR404" s="55"/>
      <c r="AS404" s="55"/>
      <c r="AT404" s="55"/>
      <c r="AU404" s="55"/>
      <c r="AV404" s="55"/>
      <c r="AW404" s="55"/>
      <c r="AX404" s="55"/>
      <c r="AY404" s="55"/>
      <c r="AZ404" s="55"/>
      <c r="BA404" s="53">
        <f t="shared" ref="BA404" si="583">SUM(BA405:BA409)</f>
        <v>842436000</v>
      </c>
      <c r="BB404" s="55"/>
      <c r="BC404" s="55"/>
      <c r="BD404" s="55"/>
      <c r="BE404" s="55"/>
      <c r="BF404" s="55"/>
      <c r="BG404" s="55"/>
      <c r="BH404" s="55"/>
      <c r="BI404" s="55"/>
      <c r="BJ404" s="55"/>
      <c r="BK404" s="53">
        <f t="shared" ref="BK404:BL404" si="584">SUM(BK405:BK409)</f>
        <v>843709080</v>
      </c>
      <c r="BL404" s="53">
        <f t="shared" si="584"/>
        <v>4182400859</v>
      </c>
    </row>
    <row r="405" spans="1:64" ht="54.75" customHeight="1" x14ac:dyDescent="0.2">
      <c r="A405" s="56">
        <v>271</v>
      </c>
      <c r="B405" s="56">
        <v>5</v>
      </c>
      <c r="C405" s="124"/>
      <c r="D405" s="141"/>
      <c r="E405" s="510">
        <v>38</v>
      </c>
      <c r="F405" s="516" t="s">
        <v>802</v>
      </c>
      <c r="G405" s="510">
        <v>0</v>
      </c>
      <c r="H405" s="510">
        <v>2</v>
      </c>
      <c r="I405" s="64">
        <v>275</v>
      </c>
      <c r="J405" s="60" t="s">
        <v>894</v>
      </c>
      <c r="K405" s="257" t="s">
        <v>895</v>
      </c>
      <c r="L405" s="61" t="s">
        <v>824</v>
      </c>
      <c r="M405" s="240">
        <v>17</v>
      </c>
      <c r="N405" s="334" t="s">
        <v>54</v>
      </c>
      <c r="O405" s="328" t="s">
        <v>49</v>
      </c>
      <c r="P405" s="328">
        <v>4</v>
      </c>
      <c r="Q405" s="271">
        <v>4</v>
      </c>
      <c r="R405" s="328">
        <v>4</v>
      </c>
      <c r="S405" s="328">
        <v>4</v>
      </c>
      <c r="T405" s="328">
        <v>4</v>
      </c>
      <c r="U405" s="252">
        <f>AG405/$AG$404</f>
        <v>0.59649200843454397</v>
      </c>
      <c r="V405" s="65">
        <v>16</v>
      </c>
      <c r="W405" s="62" t="s">
        <v>373</v>
      </c>
      <c r="X405" s="96"/>
      <c r="Y405" s="96">
        <v>0</v>
      </c>
      <c r="Z405" s="496">
        <v>867929144</v>
      </c>
      <c r="AA405" s="96"/>
      <c r="AB405" s="96"/>
      <c r="AC405" s="96"/>
      <c r="AD405" s="96"/>
      <c r="AE405" s="96"/>
      <c r="AF405" s="96"/>
      <c r="AG405" s="69">
        <f>+X405+Y405+Z405+AA405+AB405+AC405+AD405+AE405+AF405</f>
        <v>867929144</v>
      </c>
      <c r="AH405" s="78"/>
      <c r="AI405" s="78"/>
      <c r="AJ405" s="511">
        <v>621000000</v>
      </c>
      <c r="AK405" s="78"/>
      <c r="AL405" s="78"/>
      <c r="AM405" s="78"/>
      <c r="AN405" s="78"/>
      <c r="AO405" s="78"/>
      <c r="AP405" s="78"/>
      <c r="AQ405" s="71">
        <f>AH405+AI405+AJ405+AK405+AL405+AM405+AN405+AO405+AP405</f>
        <v>621000000</v>
      </c>
      <c r="AR405" s="511"/>
      <c r="AS405" s="511"/>
      <c r="AT405" s="511">
        <v>502500000</v>
      </c>
      <c r="AU405" s="511"/>
      <c r="AV405" s="511"/>
      <c r="AW405" s="511"/>
      <c r="AX405" s="511"/>
      <c r="AY405" s="511"/>
      <c r="AZ405" s="511"/>
      <c r="BA405" s="511">
        <f>SUM(AR405:AZ405)</f>
        <v>502500000</v>
      </c>
      <c r="BB405" s="78"/>
      <c r="BC405" s="78"/>
      <c r="BD405" s="78">
        <v>503773080</v>
      </c>
      <c r="BE405" s="78"/>
      <c r="BF405" s="78"/>
      <c r="BG405" s="78"/>
      <c r="BH405" s="78"/>
      <c r="BI405" s="78"/>
      <c r="BJ405" s="78"/>
      <c r="BK405" s="78">
        <f>SUM(BB405:BJ405)</f>
        <v>503773080</v>
      </c>
      <c r="BL405" s="603">
        <f>AG405+AQ405+BA405+BK405</f>
        <v>2495202224</v>
      </c>
    </row>
    <row r="406" spans="1:64" ht="54.75" customHeight="1" x14ac:dyDescent="0.2">
      <c r="A406" s="74">
        <v>272</v>
      </c>
      <c r="B406" s="56">
        <v>5</v>
      </c>
      <c r="C406" s="124"/>
      <c r="D406" s="141"/>
      <c r="E406" s="79"/>
      <c r="F406" s="107"/>
      <c r="G406" s="79"/>
      <c r="H406" s="79"/>
      <c r="I406" s="64">
        <v>276</v>
      </c>
      <c r="J406" s="60" t="s">
        <v>896</v>
      </c>
      <c r="K406" s="257" t="s">
        <v>897</v>
      </c>
      <c r="L406" s="61" t="s">
        <v>824</v>
      </c>
      <c r="M406" s="240">
        <v>17</v>
      </c>
      <c r="N406" s="334" t="s">
        <v>54</v>
      </c>
      <c r="O406" s="328">
        <v>1</v>
      </c>
      <c r="P406" s="328">
        <v>1</v>
      </c>
      <c r="Q406" s="271">
        <v>1</v>
      </c>
      <c r="R406" s="328">
        <v>1</v>
      </c>
      <c r="S406" s="328">
        <v>1</v>
      </c>
      <c r="T406" s="328">
        <v>1</v>
      </c>
      <c r="U406" s="252">
        <f>AG406/$AG$404</f>
        <v>4.3068222472590172E-2</v>
      </c>
      <c r="V406" s="64">
        <v>16</v>
      </c>
      <c r="W406" s="62" t="s">
        <v>373</v>
      </c>
      <c r="X406" s="96"/>
      <c r="Y406" s="361">
        <v>32666666</v>
      </c>
      <c r="Z406" s="496">
        <v>30000000</v>
      </c>
      <c r="AA406" s="96"/>
      <c r="AB406" s="96"/>
      <c r="AC406" s="96"/>
      <c r="AD406" s="96"/>
      <c r="AE406" s="96"/>
      <c r="AF406" s="96"/>
      <c r="AG406" s="69">
        <f>+X406+Y406+Z406+AA406+AB406+AC406+AD406+AE406+AF406</f>
        <v>62666666</v>
      </c>
      <c r="AH406" s="78"/>
      <c r="AI406" s="78">
        <v>41200000</v>
      </c>
      <c r="AJ406" s="511">
        <v>3600000</v>
      </c>
      <c r="AK406" s="78"/>
      <c r="AL406" s="78"/>
      <c r="AM406" s="78"/>
      <c r="AN406" s="78"/>
      <c r="AO406" s="78"/>
      <c r="AP406" s="78"/>
      <c r="AQ406" s="71">
        <f>AH406+AI406+AJ406+AK406+AL406+AM406+AN406+AO406+AP406</f>
        <v>44800000</v>
      </c>
      <c r="AR406" s="511"/>
      <c r="AS406" s="99" t="s">
        <v>61</v>
      </c>
      <c r="AT406" s="511">
        <v>36250000</v>
      </c>
      <c r="AU406" s="511"/>
      <c r="AV406" s="511"/>
      <c r="AW406" s="511"/>
      <c r="AX406" s="511"/>
      <c r="AY406" s="511"/>
      <c r="AZ406" s="511"/>
      <c r="BA406" s="511">
        <f>SUM(AR406:AZ406)</f>
        <v>36250000</v>
      </c>
      <c r="BB406" s="78"/>
      <c r="BC406" s="78"/>
      <c r="BD406" s="78">
        <v>36250000</v>
      </c>
      <c r="BE406" s="78"/>
      <c r="BF406" s="78"/>
      <c r="BG406" s="78"/>
      <c r="BH406" s="78"/>
      <c r="BI406" s="78"/>
      <c r="BJ406" s="78"/>
      <c r="BK406" s="78">
        <f>SUM(BB406:BJ406)</f>
        <v>36250000</v>
      </c>
      <c r="BL406" s="603">
        <f>AG406+AQ406+BA406+BK406</f>
        <v>179966666</v>
      </c>
    </row>
    <row r="407" spans="1:64" ht="54.75" customHeight="1" x14ac:dyDescent="0.2">
      <c r="A407" s="56">
        <v>273</v>
      </c>
      <c r="B407" s="56">
        <v>5</v>
      </c>
      <c r="C407" s="124"/>
      <c r="D407" s="141"/>
      <c r="E407" s="79"/>
      <c r="F407" s="107"/>
      <c r="G407" s="79"/>
      <c r="H407" s="79"/>
      <c r="I407" s="64">
        <v>277</v>
      </c>
      <c r="J407" s="60" t="s">
        <v>898</v>
      </c>
      <c r="K407" s="257" t="s">
        <v>899</v>
      </c>
      <c r="L407" s="61" t="s">
        <v>824</v>
      </c>
      <c r="M407" s="240">
        <v>17</v>
      </c>
      <c r="N407" s="334" t="s">
        <v>54</v>
      </c>
      <c r="O407" s="328">
        <v>1</v>
      </c>
      <c r="P407" s="328">
        <v>1</v>
      </c>
      <c r="Q407" s="271">
        <v>1</v>
      </c>
      <c r="R407" s="328">
        <v>1</v>
      </c>
      <c r="S407" s="328">
        <v>1</v>
      </c>
      <c r="T407" s="328">
        <v>1</v>
      </c>
      <c r="U407" s="252">
        <f>AG407/$AG$404</f>
        <v>0.33294941403067685</v>
      </c>
      <c r="V407" s="64">
        <v>16</v>
      </c>
      <c r="W407" s="62" t="s">
        <v>373</v>
      </c>
      <c r="X407" s="96"/>
      <c r="Y407" s="361">
        <v>31593578</v>
      </c>
      <c r="Z407" s="500">
        <v>17866391</v>
      </c>
      <c r="AA407" s="96">
        <v>435000000</v>
      </c>
      <c r="AB407" s="96"/>
      <c r="AC407" s="96"/>
      <c r="AD407" s="96"/>
      <c r="AE407" s="96"/>
      <c r="AF407" s="96"/>
      <c r="AG407" s="69">
        <f>+X407+Y407+Z407+AA407+AB407+AC407+AD407+AE407+AF407</f>
        <v>484459969</v>
      </c>
      <c r="AH407" s="78"/>
      <c r="AI407" s="78"/>
      <c r="AJ407" s="511">
        <v>146600000</v>
      </c>
      <c r="AK407" s="78">
        <v>200000000</v>
      </c>
      <c r="AL407" s="78"/>
      <c r="AM407" s="78"/>
      <c r="AN407" s="78"/>
      <c r="AO407" s="78"/>
      <c r="AP407" s="78"/>
      <c r="AQ407" s="71">
        <f>AH407+AI407+AJ407+AK407+AL407+AM407+AN407+AO407+AP407</f>
        <v>346600000</v>
      </c>
      <c r="AR407" s="511"/>
      <c r="AS407" s="99">
        <v>42436000</v>
      </c>
      <c r="AT407" s="511">
        <v>37964000</v>
      </c>
      <c r="AU407" s="511">
        <v>200000000</v>
      </c>
      <c r="AV407" s="511"/>
      <c r="AW407" s="511"/>
      <c r="AX407" s="511"/>
      <c r="AY407" s="511"/>
      <c r="AZ407" s="511"/>
      <c r="BA407" s="511">
        <f>SUM(AR407:AZ407)</f>
        <v>280400000</v>
      </c>
      <c r="BB407" s="78"/>
      <c r="BC407" s="99">
        <v>43709080</v>
      </c>
      <c r="BD407" s="78">
        <v>36690920</v>
      </c>
      <c r="BE407" s="78">
        <v>200000000</v>
      </c>
      <c r="BF407" s="78"/>
      <c r="BG407" s="78"/>
      <c r="BH407" s="78"/>
      <c r="BI407" s="78"/>
      <c r="BJ407" s="78"/>
      <c r="BK407" s="78">
        <f>SUM(BB407:BJ407)</f>
        <v>280400000</v>
      </c>
      <c r="BL407" s="603">
        <f>AG407+AQ407+BA407+BK407</f>
        <v>1391859969</v>
      </c>
    </row>
    <row r="408" spans="1:64" ht="72.75" customHeight="1" x14ac:dyDescent="0.2">
      <c r="A408" s="74">
        <v>274</v>
      </c>
      <c r="B408" s="56">
        <v>5</v>
      </c>
      <c r="C408" s="124"/>
      <c r="D408" s="141"/>
      <c r="E408" s="79"/>
      <c r="F408" s="107"/>
      <c r="G408" s="79"/>
      <c r="H408" s="79"/>
      <c r="I408" s="64">
        <v>278</v>
      </c>
      <c r="J408" s="60" t="s">
        <v>900</v>
      </c>
      <c r="K408" s="257" t="s">
        <v>901</v>
      </c>
      <c r="L408" s="61" t="s">
        <v>824</v>
      </c>
      <c r="M408" s="240">
        <v>17</v>
      </c>
      <c r="N408" s="334" t="s">
        <v>54</v>
      </c>
      <c r="O408" s="328" t="s">
        <v>49</v>
      </c>
      <c r="P408" s="328">
        <v>1</v>
      </c>
      <c r="Q408" s="271">
        <v>1</v>
      </c>
      <c r="R408" s="328">
        <v>1</v>
      </c>
      <c r="S408" s="328">
        <v>1</v>
      </c>
      <c r="T408" s="328">
        <v>1</v>
      </c>
      <c r="U408" s="252">
        <f>AG408/$AG$404</f>
        <v>5.4980710124377984E-3</v>
      </c>
      <c r="V408" s="64">
        <v>16</v>
      </c>
      <c r="W408" s="62" t="s">
        <v>373</v>
      </c>
      <c r="X408" s="176"/>
      <c r="Y408" s="176"/>
      <c r="Z408" s="96">
        <v>8000000</v>
      </c>
      <c r="AA408" s="96"/>
      <c r="AB408" s="176"/>
      <c r="AC408" s="176"/>
      <c r="AD408" s="176"/>
      <c r="AE408" s="176"/>
      <c r="AF408" s="176"/>
      <c r="AG408" s="69">
        <f>+X408+Y408+Z408+AA408+AB408+AC408+AD408+AE408+AF408</f>
        <v>8000000</v>
      </c>
      <c r="AH408" s="78"/>
      <c r="AI408" s="78"/>
      <c r="AJ408" s="511">
        <v>5700000</v>
      </c>
      <c r="AK408" s="78"/>
      <c r="AL408" s="78"/>
      <c r="AM408" s="78"/>
      <c r="AN408" s="78"/>
      <c r="AO408" s="78"/>
      <c r="AP408" s="78"/>
      <c r="AQ408" s="71">
        <f>AH408+AI408+AJ408+AK408+AL408+AM408+AN408+AO408+AP408</f>
        <v>5700000</v>
      </c>
      <c r="AR408" s="511"/>
      <c r="AS408" s="511"/>
      <c r="AT408" s="511">
        <v>4600000</v>
      </c>
      <c r="AU408" s="511"/>
      <c r="AV408" s="511"/>
      <c r="AW408" s="511"/>
      <c r="AX408" s="511"/>
      <c r="AY408" s="511"/>
      <c r="AZ408" s="511"/>
      <c r="BA408" s="511">
        <f>SUM(AR408:AZ408)</f>
        <v>4600000</v>
      </c>
      <c r="BB408" s="78"/>
      <c r="BC408" s="78"/>
      <c r="BD408" s="78">
        <v>4600000</v>
      </c>
      <c r="BE408" s="78"/>
      <c r="BF408" s="78"/>
      <c r="BG408" s="78"/>
      <c r="BH408" s="78"/>
      <c r="BI408" s="78"/>
      <c r="BJ408" s="78"/>
      <c r="BK408" s="78">
        <f>SUM(BB408:BJ408)</f>
        <v>4600000</v>
      </c>
      <c r="BL408" s="603">
        <f>AG408+AQ408+BA408+BK408</f>
        <v>22900000</v>
      </c>
    </row>
    <row r="409" spans="1:64" ht="98.25" customHeight="1" x14ac:dyDescent="0.2">
      <c r="A409" s="56">
        <v>275</v>
      </c>
      <c r="B409" s="56">
        <v>5</v>
      </c>
      <c r="C409" s="124"/>
      <c r="D409" s="141"/>
      <c r="E409" s="506"/>
      <c r="F409" s="517"/>
      <c r="G409" s="506"/>
      <c r="H409" s="506"/>
      <c r="I409" s="64">
        <v>279</v>
      </c>
      <c r="J409" s="60" t="s">
        <v>902</v>
      </c>
      <c r="K409" s="257" t="s">
        <v>903</v>
      </c>
      <c r="L409" s="61" t="s">
        <v>824</v>
      </c>
      <c r="M409" s="240">
        <v>17</v>
      </c>
      <c r="N409" s="334" t="s">
        <v>54</v>
      </c>
      <c r="O409" s="328" t="s">
        <v>49</v>
      </c>
      <c r="P409" s="328">
        <v>1</v>
      </c>
      <c r="Q409" s="271">
        <v>1</v>
      </c>
      <c r="R409" s="328">
        <v>1</v>
      </c>
      <c r="S409" s="328">
        <v>1</v>
      </c>
      <c r="T409" s="328">
        <v>1</v>
      </c>
      <c r="U409" s="252">
        <f>AG409/$AG$404</f>
        <v>2.1992284049751194E-2</v>
      </c>
      <c r="V409" s="64">
        <v>16</v>
      </c>
      <c r="W409" s="62" t="s">
        <v>373</v>
      </c>
      <c r="X409" s="176"/>
      <c r="Y409" s="176"/>
      <c r="Z409" s="96">
        <v>32000000</v>
      </c>
      <c r="AA409" s="96"/>
      <c r="AB409" s="176"/>
      <c r="AC409" s="176"/>
      <c r="AD409" s="176"/>
      <c r="AE409" s="176"/>
      <c r="AF409" s="176"/>
      <c r="AG409" s="69">
        <f>+X409+Y409+Z409+AA409+AB409+AC409+AD409+AE409+AF409</f>
        <v>32000000</v>
      </c>
      <c r="AH409" s="78"/>
      <c r="AI409" s="78"/>
      <c r="AJ409" s="511">
        <v>23100000</v>
      </c>
      <c r="AK409" s="78"/>
      <c r="AL409" s="78"/>
      <c r="AM409" s="78"/>
      <c r="AN409" s="78"/>
      <c r="AO409" s="78"/>
      <c r="AP409" s="78"/>
      <c r="AQ409" s="71">
        <f>AH409+AI409+AJ409+AK409+AL409+AM409+AN409+AO409+AP409</f>
        <v>23100000</v>
      </c>
      <c r="AR409" s="511"/>
      <c r="AS409" s="511"/>
      <c r="AT409" s="511">
        <f>18500000+186000</f>
        <v>18686000</v>
      </c>
      <c r="AU409" s="511"/>
      <c r="AV409" s="511"/>
      <c r="AW409" s="511"/>
      <c r="AX409" s="511"/>
      <c r="AY409" s="511"/>
      <c r="AZ409" s="511"/>
      <c r="BA409" s="511">
        <f>SUM(AR409:AZ409)</f>
        <v>18686000</v>
      </c>
      <c r="BB409" s="78"/>
      <c r="BC409" s="78"/>
      <c r="BD409" s="78">
        <v>18686000</v>
      </c>
      <c r="BE409" s="78"/>
      <c r="BF409" s="78"/>
      <c r="BG409" s="78"/>
      <c r="BH409" s="78"/>
      <c r="BI409" s="78"/>
      <c r="BJ409" s="78"/>
      <c r="BK409" s="78">
        <f>SUM(BB409:BJ409)</f>
        <v>18686000</v>
      </c>
      <c r="BL409" s="603">
        <f>AG409+AQ409+BA409+BK409</f>
        <v>92472000</v>
      </c>
    </row>
    <row r="410" spans="1:64" ht="24.75" customHeight="1" x14ac:dyDescent="0.2">
      <c r="A410" s="56"/>
      <c r="B410" s="56"/>
      <c r="C410" s="124"/>
      <c r="D410" s="141"/>
      <c r="E410" s="44">
        <v>89</v>
      </c>
      <c r="F410" s="45" t="s">
        <v>904</v>
      </c>
      <c r="G410" s="48"/>
      <c r="H410" s="48"/>
      <c r="I410" s="49"/>
      <c r="J410" s="48"/>
      <c r="K410" s="48"/>
      <c r="L410" s="47"/>
      <c r="M410" s="49"/>
      <c r="N410" s="50"/>
      <c r="O410" s="48"/>
      <c r="P410" s="48"/>
      <c r="Q410" s="51"/>
      <c r="R410" s="48"/>
      <c r="S410" s="48"/>
      <c r="T410" s="49"/>
      <c r="U410" s="125"/>
      <c r="V410" s="49"/>
      <c r="W410" s="49"/>
      <c r="X410" s="53">
        <f t="shared" ref="X410:AF410" si="585">SUM(X411:X420)</f>
        <v>0</v>
      </c>
      <c r="Y410" s="53">
        <f t="shared" si="585"/>
        <v>0</v>
      </c>
      <c r="Z410" s="53">
        <f t="shared" si="585"/>
        <v>831456356</v>
      </c>
      <c r="AA410" s="53">
        <f t="shared" si="585"/>
        <v>0</v>
      </c>
      <c r="AB410" s="53">
        <f t="shared" si="585"/>
        <v>0</v>
      </c>
      <c r="AC410" s="53">
        <f t="shared" si="585"/>
        <v>0</v>
      </c>
      <c r="AD410" s="53">
        <f t="shared" si="585"/>
        <v>0</v>
      </c>
      <c r="AE410" s="53">
        <f t="shared" si="585"/>
        <v>0</v>
      </c>
      <c r="AF410" s="53">
        <f t="shared" si="585"/>
        <v>0</v>
      </c>
      <c r="AG410" s="54">
        <f>SUM(AG411:AG420)</f>
        <v>831456356</v>
      </c>
      <c r="AH410" s="53">
        <f t="shared" ref="AH410:AQ410" si="586">SUM(AH411:AH420)</f>
        <v>4000000000</v>
      </c>
      <c r="AI410" s="53">
        <f t="shared" si="586"/>
        <v>0</v>
      </c>
      <c r="AJ410" s="53">
        <f t="shared" si="586"/>
        <v>554152274</v>
      </c>
      <c r="AK410" s="53">
        <f t="shared" si="586"/>
        <v>0</v>
      </c>
      <c r="AL410" s="53">
        <f t="shared" si="586"/>
        <v>0</v>
      </c>
      <c r="AM410" s="53">
        <f t="shared" si="586"/>
        <v>0</v>
      </c>
      <c r="AN410" s="53">
        <f t="shared" si="586"/>
        <v>0</v>
      </c>
      <c r="AO410" s="53">
        <f t="shared" si="586"/>
        <v>0</v>
      </c>
      <c r="AP410" s="53">
        <f t="shared" si="586"/>
        <v>0</v>
      </c>
      <c r="AQ410" s="53">
        <f t="shared" si="586"/>
        <v>4554152274</v>
      </c>
      <c r="AR410" s="55"/>
      <c r="AS410" s="55"/>
      <c r="AT410" s="55"/>
      <c r="AU410" s="55"/>
      <c r="AV410" s="55"/>
      <c r="AW410" s="55"/>
      <c r="AX410" s="55"/>
      <c r="AY410" s="55"/>
      <c r="AZ410" s="55"/>
      <c r="BA410" s="53">
        <f t="shared" ref="BA410" si="587">SUM(BA411:BA420)</f>
        <v>215304749</v>
      </c>
      <c r="BB410" s="55"/>
      <c r="BC410" s="55"/>
      <c r="BD410" s="55"/>
      <c r="BE410" s="55"/>
      <c r="BF410" s="55"/>
      <c r="BG410" s="55"/>
      <c r="BH410" s="55"/>
      <c r="BI410" s="55"/>
      <c r="BJ410" s="55"/>
      <c r="BK410" s="53">
        <f t="shared" ref="BK410:BL410" si="588">SUM(BK411:BK420)</f>
        <v>150000000</v>
      </c>
      <c r="BL410" s="53">
        <f t="shared" si="588"/>
        <v>5750913379</v>
      </c>
    </row>
    <row r="411" spans="1:64" s="73" customFormat="1" ht="97.5" customHeight="1" x14ac:dyDescent="0.2">
      <c r="A411" s="74">
        <v>276</v>
      </c>
      <c r="B411" s="56">
        <v>5</v>
      </c>
      <c r="C411" s="124"/>
      <c r="D411" s="141"/>
      <c r="E411" s="510">
        <v>38</v>
      </c>
      <c r="F411" s="516" t="s">
        <v>802</v>
      </c>
      <c r="G411" s="510">
        <v>0</v>
      </c>
      <c r="H411" s="510">
        <v>2</v>
      </c>
      <c r="I411" s="64">
        <v>280</v>
      </c>
      <c r="J411" s="60" t="s">
        <v>905</v>
      </c>
      <c r="K411" s="257" t="s">
        <v>906</v>
      </c>
      <c r="L411" s="61" t="s">
        <v>907</v>
      </c>
      <c r="M411" s="240">
        <v>17</v>
      </c>
      <c r="N411" s="270" t="s">
        <v>54</v>
      </c>
      <c r="O411" s="271">
        <v>0</v>
      </c>
      <c r="P411" s="271">
        <v>1</v>
      </c>
      <c r="Q411" s="271">
        <v>0</v>
      </c>
      <c r="R411" s="271">
        <v>1</v>
      </c>
      <c r="S411" s="271">
        <v>1</v>
      </c>
      <c r="T411" s="271">
        <v>1</v>
      </c>
      <c r="U411" s="211">
        <f t="shared" ref="U411:U420" si="589">AG411/$AG$410</f>
        <v>0</v>
      </c>
      <c r="V411" s="65">
        <v>10</v>
      </c>
      <c r="W411" s="62" t="s">
        <v>386</v>
      </c>
      <c r="X411" s="176"/>
      <c r="Y411" s="176"/>
      <c r="Z411" s="96"/>
      <c r="AA411" s="96"/>
      <c r="AB411" s="176"/>
      <c r="AC411" s="176"/>
      <c r="AD411" s="176"/>
      <c r="AE411" s="176"/>
      <c r="AF411" s="176"/>
      <c r="AG411" s="69">
        <f t="shared" ref="AG411:AG420" si="590">+X411+Y411+Z411+AA411+AB411+AC411+AD411+AE411+AF411</f>
        <v>0</v>
      </c>
      <c r="AH411" s="78"/>
      <c r="AI411" s="78"/>
      <c r="AJ411" s="511">
        <v>20000000</v>
      </c>
      <c r="AK411" s="78"/>
      <c r="AL411" s="78"/>
      <c r="AM411" s="78"/>
      <c r="AN411" s="78"/>
      <c r="AO411" s="78"/>
      <c r="AP411" s="78"/>
      <c r="AQ411" s="71">
        <f t="shared" ref="AQ411:AQ420" si="591">AH411+AI411+AJ411+AK411+AL411+AM411+AN411+AO411+AP411</f>
        <v>20000000</v>
      </c>
      <c r="AR411" s="511"/>
      <c r="AS411" s="511"/>
      <c r="AT411" s="511">
        <v>15000000</v>
      </c>
      <c r="AU411" s="511"/>
      <c r="AV411" s="511"/>
      <c r="AW411" s="511"/>
      <c r="AX411" s="511"/>
      <c r="AY411" s="511"/>
      <c r="AZ411" s="511"/>
      <c r="BA411" s="511">
        <f t="shared" ref="BA411:BA420" si="592">SUM(AR411:AZ411)</f>
        <v>15000000</v>
      </c>
      <c r="BB411" s="78"/>
      <c r="BC411" s="78"/>
      <c r="BD411" s="78">
        <v>10000000</v>
      </c>
      <c r="BE411" s="78"/>
      <c r="BF411" s="78"/>
      <c r="BG411" s="78"/>
      <c r="BH411" s="78"/>
      <c r="BI411" s="78"/>
      <c r="BJ411" s="78"/>
      <c r="BK411" s="78">
        <f t="shared" ref="BK411:BK420" si="593">SUM(BB411:BJ411)</f>
        <v>10000000</v>
      </c>
      <c r="BL411" s="603">
        <f t="shared" ref="BL411:BL420" si="594">AG411+AQ411+BA411+BK411</f>
        <v>45000000</v>
      </c>
    </row>
    <row r="412" spans="1:64" ht="98.25" customHeight="1" x14ac:dyDescent="0.2">
      <c r="A412" s="56">
        <v>277</v>
      </c>
      <c r="B412" s="56">
        <v>5</v>
      </c>
      <c r="C412" s="124"/>
      <c r="D412" s="141"/>
      <c r="E412" s="79"/>
      <c r="F412" s="107"/>
      <c r="G412" s="79"/>
      <c r="H412" s="79"/>
      <c r="I412" s="64">
        <v>281</v>
      </c>
      <c r="J412" s="60" t="s">
        <v>908</v>
      </c>
      <c r="K412" s="257" t="s">
        <v>909</v>
      </c>
      <c r="L412" s="61" t="s">
        <v>907</v>
      </c>
      <c r="M412" s="240">
        <v>17</v>
      </c>
      <c r="N412" s="270" t="s">
        <v>54</v>
      </c>
      <c r="O412" s="271">
        <v>0</v>
      </c>
      <c r="P412" s="271">
        <v>1</v>
      </c>
      <c r="Q412" s="271">
        <v>0</v>
      </c>
      <c r="R412" s="271">
        <v>1</v>
      </c>
      <c r="S412" s="271">
        <v>1</v>
      </c>
      <c r="T412" s="271">
        <v>1</v>
      </c>
      <c r="U412" s="211">
        <f t="shared" si="589"/>
        <v>0</v>
      </c>
      <c r="V412" s="65">
        <v>16</v>
      </c>
      <c r="W412" s="62" t="s">
        <v>373</v>
      </c>
      <c r="X412" s="176"/>
      <c r="Y412" s="176"/>
      <c r="Z412" s="96"/>
      <c r="AA412" s="96"/>
      <c r="AB412" s="176"/>
      <c r="AC412" s="176"/>
      <c r="AD412" s="176"/>
      <c r="AE412" s="176"/>
      <c r="AF412" s="176"/>
      <c r="AG412" s="69">
        <f t="shared" si="590"/>
        <v>0</v>
      </c>
      <c r="AH412" s="78"/>
      <c r="AI412" s="78"/>
      <c r="AJ412" s="511">
        <v>20000000</v>
      </c>
      <c r="AK412" s="78"/>
      <c r="AL412" s="78"/>
      <c r="AM412" s="78"/>
      <c r="AN412" s="78"/>
      <c r="AO412" s="78"/>
      <c r="AP412" s="78"/>
      <c r="AQ412" s="71">
        <f t="shared" si="591"/>
        <v>20000000</v>
      </c>
      <c r="AR412" s="511"/>
      <c r="AS412" s="511"/>
      <c r="AT412" s="511">
        <v>15000000</v>
      </c>
      <c r="AU412" s="511"/>
      <c r="AV412" s="511"/>
      <c r="AW412" s="511"/>
      <c r="AX412" s="511"/>
      <c r="AY412" s="511"/>
      <c r="AZ412" s="511"/>
      <c r="BA412" s="511">
        <f t="shared" si="592"/>
        <v>15000000</v>
      </c>
      <c r="BB412" s="78"/>
      <c r="BC412" s="78"/>
      <c r="BD412" s="78">
        <v>10000000</v>
      </c>
      <c r="BE412" s="78"/>
      <c r="BF412" s="78"/>
      <c r="BG412" s="78"/>
      <c r="BH412" s="78"/>
      <c r="BI412" s="78"/>
      <c r="BJ412" s="78"/>
      <c r="BK412" s="78">
        <f t="shared" si="593"/>
        <v>10000000</v>
      </c>
      <c r="BL412" s="603">
        <f t="shared" si="594"/>
        <v>45000000</v>
      </c>
    </row>
    <row r="413" spans="1:64" s="147" customFormat="1" ht="108.75" customHeight="1" x14ac:dyDescent="0.2">
      <c r="A413" s="151">
        <v>278</v>
      </c>
      <c r="B413" s="140">
        <v>5</v>
      </c>
      <c r="C413" s="141"/>
      <c r="D413" s="141"/>
      <c r="E413" s="346"/>
      <c r="F413" s="524"/>
      <c r="G413" s="346"/>
      <c r="H413" s="346"/>
      <c r="I413" s="64">
        <v>282</v>
      </c>
      <c r="J413" s="60" t="s">
        <v>910</v>
      </c>
      <c r="K413" s="186" t="s">
        <v>911</v>
      </c>
      <c r="L413" s="61" t="s">
        <v>907</v>
      </c>
      <c r="M413" s="240">
        <v>17</v>
      </c>
      <c r="N413" s="270" t="s">
        <v>69</v>
      </c>
      <c r="O413" s="271" t="s">
        <v>49</v>
      </c>
      <c r="P413" s="271">
        <v>8</v>
      </c>
      <c r="Q413" s="271">
        <v>2</v>
      </c>
      <c r="R413" s="271">
        <v>2</v>
      </c>
      <c r="S413" s="271">
        <v>2</v>
      </c>
      <c r="T413" s="271">
        <v>2</v>
      </c>
      <c r="U413" s="211">
        <f t="shared" si="589"/>
        <v>7.2162536935372223E-2</v>
      </c>
      <c r="V413" s="64">
        <v>16</v>
      </c>
      <c r="W413" s="61" t="s">
        <v>373</v>
      </c>
      <c r="X413" s="176"/>
      <c r="Y413" s="176"/>
      <c r="Z413" s="176">
        <v>60000000</v>
      </c>
      <c r="AA413" s="176"/>
      <c r="AB413" s="176"/>
      <c r="AC413" s="176"/>
      <c r="AD413" s="176"/>
      <c r="AE413" s="176"/>
      <c r="AF413" s="176"/>
      <c r="AG413" s="69">
        <f t="shared" si="590"/>
        <v>60000000</v>
      </c>
      <c r="AH413" s="146"/>
      <c r="AI413" s="146"/>
      <c r="AJ413" s="138">
        <v>39989033.940345511</v>
      </c>
      <c r="AK413" s="146"/>
      <c r="AL413" s="146"/>
      <c r="AM413" s="146"/>
      <c r="AN413" s="146"/>
      <c r="AO413" s="146"/>
      <c r="AP413" s="146"/>
      <c r="AQ413" s="71">
        <f t="shared" si="591"/>
        <v>39989033.940345511</v>
      </c>
      <c r="AR413" s="138"/>
      <c r="AS413" s="138"/>
      <c r="AT413" s="138">
        <v>15000000</v>
      </c>
      <c r="AU413" s="138"/>
      <c r="AV413" s="138"/>
      <c r="AW413" s="138"/>
      <c r="AX413" s="138"/>
      <c r="AY413" s="138"/>
      <c r="AZ413" s="138"/>
      <c r="BA413" s="511">
        <f t="shared" si="592"/>
        <v>15000000</v>
      </c>
      <c r="BB413" s="78"/>
      <c r="BC413" s="78"/>
      <c r="BD413" s="146">
        <v>10000000</v>
      </c>
      <c r="BE413" s="146"/>
      <c r="BF413" s="78"/>
      <c r="BG413" s="78"/>
      <c r="BH413" s="78"/>
      <c r="BI413" s="78"/>
      <c r="BJ413" s="78"/>
      <c r="BK413" s="78">
        <f t="shared" si="593"/>
        <v>10000000</v>
      </c>
      <c r="BL413" s="603">
        <f t="shared" si="594"/>
        <v>124989033.94034551</v>
      </c>
    </row>
    <row r="414" spans="1:64" s="147" customFormat="1" ht="126.75" customHeight="1" x14ac:dyDescent="0.2">
      <c r="A414" s="151">
        <v>280</v>
      </c>
      <c r="B414" s="140">
        <v>5</v>
      </c>
      <c r="C414" s="141"/>
      <c r="D414" s="141"/>
      <c r="E414" s="346"/>
      <c r="F414" s="524"/>
      <c r="G414" s="346"/>
      <c r="H414" s="346"/>
      <c r="I414" s="64">
        <v>283</v>
      </c>
      <c r="J414" s="60" t="s">
        <v>912</v>
      </c>
      <c r="K414" s="186" t="s">
        <v>913</v>
      </c>
      <c r="L414" s="61" t="s">
        <v>907</v>
      </c>
      <c r="M414" s="240">
        <v>17</v>
      </c>
      <c r="N414" s="270" t="s">
        <v>54</v>
      </c>
      <c r="O414" s="271" t="s">
        <v>49</v>
      </c>
      <c r="P414" s="271">
        <v>1</v>
      </c>
      <c r="Q414" s="271">
        <v>1</v>
      </c>
      <c r="R414" s="271">
        <v>1</v>
      </c>
      <c r="S414" s="271">
        <v>1</v>
      </c>
      <c r="T414" s="271">
        <v>1</v>
      </c>
      <c r="U414" s="211">
        <f t="shared" si="589"/>
        <v>0.10523703303075116</v>
      </c>
      <c r="V414" s="64">
        <v>10</v>
      </c>
      <c r="W414" s="61" t="s">
        <v>386</v>
      </c>
      <c r="X414" s="176"/>
      <c r="Y414" s="176"/>
      <c r="Z414" s="176">
        <v>87500000</v>
      </c>
      <c r="AA414" s="176"/>
      <c r="AB414" s="176"/>
      <c r="AC414" s="176"/>
      <c r="AD414" s="176"/>
      <c r="AE414" s="176"/>
      <c r="AF414" s="176"/>
      <c r="AG414" s="69">
        <f t="shared" si="590"/>
        <v>87500000</v>
      </c>
      <c r="AH414" s="146"/>
      <c r="AI414" s="146"/>
      <c r="AJ414" s="138">
        <v>48317341.163003899</v>
      </c>
      <c r="AK414" s="146"/>
      <c r="AL414" s="146"/>
      <c r="AM414" s="146"/>
      <c r="AN414" s="146"/>
      <c r="AO414" s="146"/>
      <c r="AP414" s="146"/>
      <c r="AQ414" s="71">
        <f t="shared" si="591"/>
        <v>48317341.163003899</v>
      </c>
      <c r="AR414" s="138"/>
      <c r="AS414" s="138"/>
      <c r="AT414" s="138">
        <v>20000000</v>
      </c>
      <c r="AU414" s="138"/>
      <c r="AV414" s="138"/>
      <c r="AW414" s="138"/>
      <c r="AX414" s="138"/>
      <c r="AY414" s="138"/>
      <c r="AZ414" s="138"/>
      <c r="BA414" s="511">
        <f t="shared" si="592"/>
        <v>20000000</v>
      </c>
      <c r="BB414" s="78"/>
      <c r="BC414" s="78"/>
      <c r="BD414" s="146">
        <v>15000000</v>
      </c>
      <c r="BE414" s="146"/>
      <c r="BF414" s="78"/>
      <c r="BG414" s="78"/>
      <c r="BH414" s="78"/>
      <c r="BI414" s="78"/>
      <c r="BJ414" s="78"/>
      <c r="BK414" s="78">
        <f t="shared" si="593"/>
        <v>15000000</v>
      </c>
      <c r="BL414" s="603">
        <f t="shared" si="594"/>
        <v>170817341.16300389</v>
      </c>
    </row>
    <row r="415" spans="1:64" s="147" customFormat="1" ht="75" customHeight="1" x14ac:dyDescent="0.2">
      <c r="A415" s="140">
        <v>281</v>
      </c>
      <c r="B415" s="140">
        <v>5</v>
      </c>
      <c r="C415" s="141"/>
      <c r="D415" s="141"/>
      <c r="E415" s="346"/>
      <c r="F415" s="524"/>
      <c r="G415" s="346"/>
      <c r="H415" s="346"/>
      <c r="I415" s="64">
        <v>284</v>
      </c>
      <c r="J415" s="60" t="s">
        <v>914</v>
      </c>
      <c r="K415" s="186" t="s">
        <v>915</v>
      </c>
      <c r="L415" s="61" t="s">
        <v>907</v>
      </c>
      <c r="M415" s="240">
        <v>17</v>
      </c>
      <c r="N415" s="270" t="s">
        <v>54</v>
      </c>
      <c r="O415" s="271">
        <v>1</v>
      </c>
      <c r="P415" s="271">
        <v>1</v>
      </c>
      <c r="Q415" s="362">
        <v>1</v>
      </c>
      <c r="R415" s="271">
        <v>1</v>
      </c>
      <c r="S415" s="271">
        <v>1</v>
      </c>
      <c r="T415" s="271">
        <v>1</v>
      </c>
      <c r="U415" s="211">
        <f t="shared" si="589"/>
        <v>0.1232429077732614</v>
      </c>
      <c r="V415" s="64">
        <v>16</v>
      </c>
      <c r="W415" s="61" t="s">
        <v>373</v>
      </c>
      <c r="X415" s="176"/>
      <c r="Y415" s="176"/>
      <c r="Z415" s="176">
        <v>102471099</v>
      </c>
      <c r="AA415" s="176"/>
      <c r="AB415" s="176"/>
      <c r="AC415" s="176"/>
      <c r="AD415" s="176"/>
      <c r="AE415" s="176"/>
      <c r="AF415" s="176"/>
      <c r="AG415" s="69">
        <f t="shared" si="590"/>
        <v>102471099</v>
      </c>
      <c r="AH415" s="146"/>
      <c r="AI415" s="146"/>
      <c r="AJ415" s="138">
        <v>68295337.59692508</v>
      </c>
      <c r="AK415" s="146"/>
      <c r="AL415" s="146"/>
      <c r="AM415" s="146"/>
      <c r="AN415" s="146"/>
      <c r="AO415" s="146"/>
      <c r="AP415" s="146"/>
      <c r="AQ415" s="71">
        <f t="shared" si="591"/>
        <v>68295337.59692508</v>
      </c>
      <c r="AR415" s="138"/>
      <c r="AS415" s="138"/>
      <c r="AT415" s="138">
        <v>20000000</v>
      </c>
      <c r="AU415" s="138"/>
      <c r="AV415" s="138"/>
      <c r="AW415" s="138"/>
      <c r="AX415" s="138"/>
      <c r="AY415" s="138"/>
      <c r="AZ415" s="138"/>
      <c r="BA415" s="511">
        <f t="shared" si="592"/>
        <v>20000000</v>
      </c>
      <c r="BB415" s="78"/>
      <c r="BC415" s="78"/>
      <c r="BD415" s="146">
        <v>15000000</v>
      </c>
      <c r="BE415" s="146"/>
      <c r="BF415" s="78"/>
      <c r="BG415" s="78"/>
      <c r="BH415" s="78"/>
      <c r="BI415" s="78"/>
      <c r="BJ415" s="78"/>
      <c r="BK415" s="78">
        <f t="shared" si="593"/>
        <v>15000000</v>
      </c>
      <c r="BL415" s="603">
        <f t="shared" si="594"/>
        <v>205766436.59692508</v>
      </c>
    </row>
    <row r="416" spans="1:64" s="147" customFormat="1" ht="77.25" customHeight="1" x14ac:dyDescent="0.2">
      <c r="A416" s="151">
        <v>282</v>
      </c>
      <c r="B416" s="140">
        <v>5</v>
      </c>
      <c r="C416" s="141"/>
      <c r="D416" s="141"/>
      <c r="E416" s="346"/>
      <c r="F416" s="524"/>
      <c r="G416" s="346"/>
      <c r="H416" s="346"/>
      <c r="I416" s="64">
        <v>285</v>
      </c>
      <c r="J416" s="60" t="s">
        <v>916</v>
      </c>
      <c r="K416" s="186" t="s">
        <v>917</v>
      </c>
      <c r="L416" s="61" t="s">
        <v>907</v>
      </c>
      <c r="M416" s="240">
        <v>17</v>
      </c>
      <c r="N416" s="270" t="s">
        <v>54</v>
      </c>
      <c r="O416" s="271">
        <v>1</v>
      </c>
      <c r="P416" s="271">
        <v>1</v>
      </c>
      <c r="Q416" s="270">
        <v>1</v>
      </c>
      <c r="R416" s="271">
        <v>1</v>
      </c>
      <c r="S416" s="271">
        <v>1</v>
      </c>
      <c r="T416" s="271">
        <v>1</v>
      </c>
      <c r="U416" s="211">
        <f t="shared" si="589"/>
        <v>0.14509198844827881</v>
      </c>
      <c r="V416" s="64">
        <v>17</v>
      </c>
      <c r="W416" s="61" t="s">
        <v>839</v>
      </c>
      <c r="X416" s="176"/>
      <c r="Y416" s="176"/>
      <c r="Z416" s="176">
        <v>120637656</v>
      </c>
      <c r="AA416" s="176"/>
      <c r="AB416" s="176"/>
      <c r="AC416" s="176"/>
      <c r="AD416" s="176"/>
      <c r="AE416" s="176"/>
      <c r="AF416" s="176"/>
      <c r="AG416" s="69">
        <f t="shared" si="590"/>
        <v>120637656</v>
      </c>
      <c r="AH416" s="146"/>
      <c r="AI416" s="146"/>
      <c r="AJ416" s="138">
        <v>60403055.337795399</v>
      </c>
      <c r="AK416" s="146"/>
      <c r="AL416" s="146"/>
      <c r="AM416" s="146"/>
      <c r="AN416" s="146"/>
      <c r="AO416" s="146"/>
      <c r="AP416" s="146"/>
      <c r="AQ416" s="71">
        <f t="shared" si="591"/>
        <v>60403055.337795399</v>
      </c>
      <c r="AR416" s="138"/>
      <c r="AS416" s="138"/>
      <c r="AT416" s="138">
        <v>20000000</v>
      </c>
      <c r="AU416" s="138"/>
      <c r="AV416" s="138"/>
      <c r="AW416" s="138"/>
      <c r="AX416" s="138"/>
      <c r="AY416" s="138"/>
      <c r="AZ416" s="138"/>
      <c r="BA416" s="511">
        <f t="shared" si="592"/>
        <v>20000000</v>
      </c>
      <c r="BB416" s="78"/>
      <c r="BC416" s="78"/>
      <c r="BD416" s="146">
        <v>15000000</v>
      </c>
      <c r="BE416" s="146"/>
      <c r="BF416" s="78"/>
      <c r="BG416" s="78"/>
      <c r="BH416" s="78"/>
      <c r="BI416" s="78"/>
      <c r="BJ416" s="78"/>
      <c r="BK416" s="78">
        <f t="shared" si="593"/>
        <v>15000000</v>
      </c>
      <c r="BL416" s="603">
        <f t="shared" si="594"/>
        <v>216040711.33779541</v>
      </c>
    </row>
    <row r="417" spans="1:64" ht="54.75" customHeight="1" x14ac:dyDescent="0.2">
      <c r="A417" s="56">
        <v>283</v>
      </c>
      <c r="B417" s="56">
        <v>5</v>
      </c>
      <c r="C417" s="124"/>
      <c r="D417" s="141"/>
      <c r="E417" s="79"/>
      <c r="F417" s="107"/>
      <c r="G417" s="79"/>
      <c r="H417" s="79"/>
      <c r="I417" s="64">
        <v>286</v>
      </c>
      <c r="J417" s="60" t="s">
        <v>918</v>
      </c>
      <c r="K417" s="257" t="s">
        <v>919</v>
      </c>
      <c r="L417" s="61" t="s">
        <v>907</v>
      </c>
      <c r="M417" s="240">
        <v>17</v>
      </c>
      <c r="N417" s="334" t="s">
        <v>69</v>
      </c>
      <c r="O417" s="328">
        <v>1</v>
      </c>
      <c r="P417" s="328">
        <v>1</v>
      </c>
      <c r="Q417" s="271">
        <v>0</v>
      </c>
      <c r="R417" s="328">
        <v>1</v>
      </c>
      <c r="S417" s="328">
        <v>0</v>
      </c>
      <c r="T417" s="328">
        <v>0</v>
      </c>
      <c r="U417" s="211">
        <f t="shared" si="589"/>
        <v>0</v>
      </c>
      <c r="V417" s="65">
        <v>16</v>
      </c>
      <c r="W417" s="62" t="s">
        <v>373</v>
      </c>
      <c r="X417" s="176"/>
      <c r="Y417" s="176"/>
      <c r="Z417" s="96"/>
      <c r="AA417" s="96"/>
      <c r="AB417" s="176"/>
      <c r="AC417" s="176"/>
      <c r="AD417" s="176"/>
      <c r="AE417" s="176"/>
      <c r="AF417" s="176"/>
      <c r="AG417" s="69">
        <f t="shared" si="590"/>
        <v>0</v>
      </c>
      <c r="AH417" s="78"/>
      <c r="AI417" s="78"/>
      <c r="AJ417" s="511">
        <v>20000000</v>
      </c>
      <c r="AK417" s="78"/>
      <c r="AL417" s="78"/>
      <c r="AM417" s="78"/>
      <c r="AN417" s="78"/>
      <c r="AO417" s="78"/>
      <c r="AP417" s="78"/>
      <c r="AQ417" s="71">
        <f t="shared" si="591"/>
        <v>20000000</v>
      </c>
      <c r="AR417" s="511"/>
      <c r="AS417" s="511"/>
      <c r="AT417" s="511">
        <v>0</v>
      </c>
      <c r="AU417" s="511"/>
      <c r="AV417" s="511"/>
      <c r="AW417" s="511"/>
      <c r="AX417" s="511"/>
      <c r="AY417" s="511"/>
      <c r="AZ417" s="511"/>
      <c r="BA417" s="511">
        <f t="shared" si="592"/>
        <v>0</v>
      </c>
      <c r="BB417" s="78"/>
      <c r="BC417" s="78"/>
      <c r="BD417" s="78">
        <v>0</v>
      </c>
      <c r="BE417" s="78"/>
      <c r="BF417" s="78"/>
      <c r="BG417" s="78"/>
      <c r="BH417" s="78"/>
      <c r="BI417" s="78"/>
      <c r="BJ417" s="78"/>
      <c r="BK417" s="78">
        <f t="shared" si="593"/>
        <v>0</v>
      </c>
      <c r="BL417" s="603">
        <f t="shared" si="594"/>
        <v>20000000</v>
      </c>
    </row>
    <row r="418" spans="1:64" s="147" customFormat="1" ht="54.75" customHeight="1" x14ac:dyDescent="0.2">
      <c r="A418" s="151">
        <v>284</v>
      </c>
      <c r="B418" s="140">
        <v>5</v>
      </c>
      <c r="C418" s="128"/>
      <c r="D418" s="141"/>
      <c r="E418" s="258"/>
      <c r="F418" s="524"/>
      <c r="G418" s="346"/>
      <c r="H418" s="346"/>
      <c r="I418" s="64">
        <v>287</v>
      </c>
      <c r="J418" s="60" t="s">
        <v>920</v>
      </c>
      <c r="K418" s="186" t="s">
        <v>921</v>
      </c>
      <c r="L418" s="61" t="s">
        <v>907</v>
      </c>
      <c r="M418" s="240">
        <v>17</v>
      </c>
      <c r="N418" s="270" t="s">
        <v>54</v>
      </c>
      <c r="O418" s="271">
        <v>1</v>
      </c>
      <c r="P418" s="271">
        <v>1</v>
      </c>
      <c r="Q418" s="271">
        <v>1</v>
      </c>
      <c r="R418" s="271">
        <v>1</v>
      </c>
      <c r="S418" s="271">
        <v>1</v>
      </c>
      <c r="T418" s="271">
        <v>1</v>
      </c>
      <c r="U418" s="211">
        <f t="shared" si="589"/>
        <v>0.15815622678335747</v>
      </c>
      <c r="V418" s="64">
        <v>16</v>
      </c>
      <c r="W418" s="62" t="s">
        <v>373</v>
      </c>
      <c r="X418" s="176"/>
      <c r="Y418" s="176"/>
      <c r="Z418" s="176">
        <v>131500000</v>
      </c>
      <c r="AA418" s="176"/>
      <c r="AB418" s="176"/>
      <c r="AC418" s="176"/>
      <c r="AD418" s="176"/>
      <c r="AE418" s="176"/>
      <c r="AF418" s="176"/>
      <c r="AG418" s="69">
        <f t="shared" si="590"/>
        <v>131500000</v>
      </c>
      <c r="AH418" s="146"/>
      <c r="AI418" s="146"/>
      <c r="AJ418" s="138">
        <v>57642632.719257303</v>
      </c>
      <c r="AK418" s="146"/>
      <c r="AL418" s="146"/>
      <c r="AM418" s="146"/>
      <c r="AN418" s="146"/>
      <c r="AO418" s="146"/>
      <c r="AP418" s="146"/>
      <c r="AQ418" s="71">
        <f t="shared" si="591"/>
        <v>57642632.719257303</v>
      </c>
      <c r="AR418" s="138"/>
      <c r="AS418" s="138"/>
      <c r="AT418" s="138">
        <v>30000000</v>
      </c>
      <c r="AU418" s="138"/>
      <c r="AV418" s="138"/>
      <c r="AW418" s="138"/>
      <c r="AX418" s="138"/>
      <c r="AY418" s="138"/>
      <c r="AZ418" s="138"/>
      <c r="BA418" s="511">
        <f t="shared" si="592"/>
        <v>30000000</v>
      </c>
      <c r="BB418" s="78"/>
      <c r="BC418" s="78"/>
      <c r="BD418" s="146">
        <v>20000000</v>
      </c>
      <c r="BE418" s="146"/>
      <c r="BF418" s="78"/>
      <c r="BG418" s="78"/>
      <c r="BH418" s="78"/>
      <c r="BI418" s="78"/>
      <c r="BJ418" s="78"/>
      <c r="BK418" s="78">
        <f t="shared" si="593"/>
        <v>20000000</v>
      </c>
      <c r="BL418" s="603">
        <f t="shared" si="594"/>
        <v>239142632.7192573</v>
      </c>
    </row>
    <row r="419" spans="1:64" ht="54.75" customHeight="1" x14ac:dyDescent="0.2">
      <c r="A419" s="74"/>
      <c r="B419" s="56">
        <v>5</v>
      </c>
      <c r="C419" s="128"/>
      <c r="D419" s="141"/>
      <c r="E419" s="259"/>
      <c r="F419" s="107"/>
      <c r="G419" s="79"/>
      <c r="H419" s="79"/>
      <c r="I419" s="64">
        <v>288</v>
      </c>
      <c r="J419" s="60" t="s">
        <v>922</v>
      </c>
      <c r="K419" s="257" t="s">
        <v>923</v>
      </c>
      <c r="L419" s="61" t="s">
        <v>907</v>
      </c>
      <c r="M419" s="240">
        <v>17</v>
      </c>
      <c r="N419" s="334" t="s">
        <v>54</v>
      </c>
      <c r="O419" s="328">
        <v>1</v>
      </c>
      <c r="P419" s="328">
        <v>1</v>
      </c>
      <c r="Q419" s="271">
        <v>1</v>
      </c>
      <c r="R419" s="328">
        <v>1</v>
      </c>
      <c r="S419" s="328">
        <v>1</v>
      </c>
      <c r="T419" s="328">
        <v>1</v>
      </c>
      <c r="U419" s="211">
        <f t="shared" si="589"/>
        <v>0.3961093070289789</v>
      </c>
      <c r="V419" s="65">
        <v>16</v>
      </c>
      <c r="W419" s="62" t="s">
        <v>373</v>
      </c>
      <c r="X419" s="176"/>
      <c r="Y419" s="176"/>
      <c r="Z419" s="96">
        <f>329347601</f>
        <v>329347601</v>
      </c>
      <c r="AA419" s="96"/>
      <c r="AB419" s="176"/>
      <c r="AC419" s="176"/>
      <c r="AD419" s="176"/>
      <c r="AE419" s="176"/>
      <c r="AF419" s="176"/>
      <c r="AG419" s="69">
        <f t="shared" si="590"/>
        <v>329347601</v>
      </c>
      <c r="AH419" s="78"/>
      <c r="AI419" s="78"/>
      <c r="AJ419" s="511">
        <v>219504873.24267283</v>
      </c>
      <c r="AK419" s="78"/>
      <c r="AL419" s="78"/>
      <c r="AM419" s="78"/>
      <c r="AN419" s="78"/>
      <c r="AO419" s="78"/>
      <c r="AP419" s="78"/>
      <c r="AQ419" s="71">
        <f t="shared" si="591"/>
        <v>219504873.24267283</v>
      </c>
      <c r="AR419" s="511"/>
      <c r="AS419" s="511"/>
      <c r="AT419" s="511">
        <v>80304749</v>
      </c>
      <c r="AU419" s="511"/>
      <c r="AV419" s="511"/>
      <c r="AW419" s="511"/>
      <c r="AX419" s="511"/>
      <c r="AY419" s="511"/>
      <c r="AZ419" s="511"/>
      <c r="BA419" s="511">
        <f t="shared" si="592"/>
        <v>80304749</v>
      </c>
      <c r="BB419" s="78"/>
      <c r="BC419" s="78"/>
      <c r="BD419" s="78">
        <v>55000000</v>
      </c>
      <c r="BE419" s="78"/>
      <c r="BF419" s="78"/>
      <c r="BG419" s="78"/>
      <c r="BH419" s="78"/>
      <c r="BI419" s="78"/>
      <c r="BJ419" s="78"/>
      <c r="BK419" s="78">
        <f t="shared" si="593"/>
        <v>55000000</v>
      </c>
      <c r="BL419" s="603">
        <f t="shared" si="594"/>
        <v>684157223.2426728</v>
      </c>
    </row>
    <row r="420" spans="1:64" ht="143.25" customHeight="1" x14ac:dyDescent="0.2">
      <c r="A420" s="56">
        <v>285</v>
      </c>
      <c r="B420" s="363">
        <v>5</v>
      </c>
      <c r="C420" s="73"/>
      <c r="D420" s="200"/>
      <c r="E420" s="506"/>
      <c r="F420" s="517"/>
      <c r="G420" s="506"/>
      <c r="H420" s="506"/>
      <c r="I420" s="64">
        <v>289</v>
      </c>
      <c r="J420" s="60" t="s">
        <v>924</v>
      </c>
      <c r="K420" s="257" t="s">
        <v>925</v>
      </c>
      <c r="L420" s="61" t="s">
        <v>907</v>
      </c>
      <c r="M420" s="240">
        <v>17</v>
      </c>
      <c r="N420" s="334" t="s">
        <v>69</v>
      </c>
      <c r="O420" s="328" t="s">
        <v>49</v>
      </c>
      <c r="P420" s="328">
        <v>1</v>
      </c>
      <c r="Q420" s="328">
        <v>0</v>
      </c>
      <c r="R420" s="328">
        <v>1</v>
      </c>
      <c r="S420" s="328">
        <v>0</v>
      </c>
      <c r="T420" s="328">
        <v>0</v>
      </c>
      <c r="U420" s="211">
        <f t="shared" si="589"/>
        <v>0</v>
      </c>
      <c r="V420" s="65">
        <v>9</v>
      </c>
      <c r="W420" s="62" t="s">
        <v>176</v>
      </c>
      <c r="X420" s="176"/>
      <c r="Y420" s="176"/>
      <c r="Z420" s="96"/>
      <c r="AA420" s="96"/>
      <c r="AB420" s="176"/>
      <c r="AC420" s="176"/>
      <c r="AD420" s="176"/>
      <c r="AE420" s="176"/>
      <c r="AF420" s="176"/>
      <c r="AG420" s="69">
        <f t="shared" si="590"/>
        <v>0</v>
      </c>
      <c r="AH420" s="78">
        <v>4000000000</v>
      </c>
      <c r="AI420" s="511"/>
      <c r="AJ420" s="511"/>
      <c r="AK420" s="78"/>
      <c r="AL420" s="78"/>
      <c r="AM420" s="78"/>
      <c r="AN420" s="78"/>
      <c r="AO420" s="78"/>
      <c r="AP420" s="511">
        <v>0</v>
      </c>
      <c r="AQ420" s="71">
        <f t="shared" si="591"/>
        <v>4000000000</v>
      </c>
      <c r="AR420" s="511"/>
      <c r="AS420" s="511"/>
      <c r="AT420" s="511">
        <v>0</v>
      </c>
      <c r="AU420" s="511"/>
      <c r="AV420" s="511"/>
      <c r="AW420" s="511"/>
      <c r="AX420" s="511"/>
      <c r="AY420" s="511"/>
      <c r="AZ420" s="511"/>
      <c r="BA420" s="511">
        <f t="shared" si="592"/>
        <v>0</v>
      </c>
      <c r="BB420" s="78"/>
      <c r="BC420" s="78"/>
      <c r="BD420" s="78">
        <v>0</v>
      </c>
      <c r="BE420" s="78"/>
      <c r="BF420" s="78"/>
      <c r="BG420" s="78"/>
      <c r="BH420" s="78"/>
      <c r="BI420" s="78"/>
      <c r="BJ420" s="78"/>
      <c r="BK420" s="78">
        <f t="shared" si="593"/>
        <v>0</v>
      </c>
      <c r="BL420" s="603">
        <f t="shared" si="594"/>
        <v>4000000000</v>
      </c>
    </row>
    <row r="421" spans="1:64" s="364" customFormat="1" ht="24.75" customHeight="1" x14ac:dyDescent="0.25">
      <c r="D421" s="365"/>
      <c r="E421" s="366"/>
      <c r="F421" s="365"/>
      <c r="G421" s="365"/>
      <c r="H421" s="365"/>
      <c r="I421" s="367"/>
      <c r="J421" s="368" t="s">
        <v>926</v>
      </c>
      <c r="K421" s="369"/>
      <c r="L421" s="370"/>
      <c r="M421" s="371"/>
      <c r="N421" s="372"/>
      <c r="O421" s="373"/>
      <c r="P421" s="373"/>
      <c r="Q421" s="372"/>
      <c r="R421" s="373"/>
      <c r="S421" s="373" t="s">
        <v>61</v>
      </c>
      <c r="T421" s="373"/>
      <c r="U421" s="374"/>
      <c r="V421" s="373"/>
      <c r="W421" s="373"/>
      <c r="X421" s="375">
        <f t="shared" ref="X421:AE421" si="595">X363+X322+X95+X35+X10</f>
        <v>0</v>
      </c>
      <c r="Y421" s="375">
        <f t="shared" si="595"/>
        <v>47919111022</v>
      </c>
      <c r="Z421" s="375">
        <f t="shared" si="595"/>
        <v>12564576694.639999</v>
      </c>
      <c r="AA421" s="375">
        <f t="shared" si="595"/>
        <v>1615474143</v>
      </c>
      <c r="AB421" s="375">
        <f t="shared" si="595"/>
        <v>4987433131</v>
      </c>
      <c r="AC421" s="375">
        <f t="shared" si="595"/>
        <v>2248717121</v>
      </c>
      <c r="AD421" s="375">
        <f t="shared" si="595"/>
        <v>112952913595</v>
      </c>
      <c r="AE421" s="375">
        <f t="shared" si="595"/>
        <v>11365979119</v>
      </c>
      <c r="AF421" s="375">
        <f t="shared" ref="AF421:AM421" si="596">AF363+AF322+AF95+AF35+AF10</f>
        <v>33076572379</v>
      </c>
      <c r="AG421" s="375">
        <f t="shared" si="596"/>
        <v>226730777204.64001</v>
      </c>
      <c r="AH421" s="375">
        <f t="shared" si="596"/>
        <v>10000000000</v>
      </c>
      <c r="AI421" s="375">
        <f t="shared" si="596"/>
        <v>38456371357.440002</v>
      </c>
      <c r="AJ421" s="375">
        <f t="shared" si="596"/>
        <v>10848685819.088402</v>
      </c>
      <c r="AK421" s="375">
        <f t="shared" si="596"/>
        <v>200000000</v>
      </c>
      <c r="AL421" s="375">
        <f t="shared" si="596"/>
        <v>233587702.31</v>
      </c>
      <c r="AM421" s="375">
        <f t="shared" si="596"/>
        <v>2207217417.7399998</v>
      </c>
      <c r="AN421" s="375">
        <f t="shared" ref="AN421:AQ421" si="597">AN363+AN322+AN95+AN35+AN10</f>
        <v>116291155143.60001</v>
      </c>
      <c r="AO421" s="375">
        <f t="shared" si="597"/>
        <v>10799941036.780186</v>
      </c>
      <c r="AP421" s="375">
        <f t="shared" si="597"/>
        <v>32045276423</v>
      </c>
      <c r="AQ421" s="375">
        <f t="shared" si="597"/>
        <v>221082234899.59845</v>
      </c>
      <c r="AR421" s="376">
        <f t="shared" ref="AR421:AZ421" si="598">SUM(AR13:AR420)</f>
        <v>13000000000</v>
      </c>
      <c r="AS421" s="376">
        <f t="shared" si="598"/>
        <v>39390679044.36499</v>
      </c>
      <c r="AT421" s="376">
        <f t="shared" si="598"/>
        <v>8196763724.441576</v>
      </c>
      <c r="AU421" s="376">
        <f t="shared" si="598"/>
        <v>200000000</v>
      </c>
      <c r="AV421" s="376">
        <f t="shared" si="598"/>
        <v>240595333.3793</v>
      </c>
      <c r="AW421" s="376">
        <f t="shared" si="598"/>
        <v>2272403940.2722001</v>
      </c>
      <c r="AX421" s="376">
        <f t="shared" si="598"/>
        <v>119779889797.90849</v>
      </c>
      <c r="AY421" s="376">
        <f t="shared" si="598"/>
        <v>11123939268.595118</v>
      </c>
      <c r="AZ421" s="376">
        <f t="shared" si="598"/>
        <v>33654449896</v>
      </c>
      <c r="BA421" s="376">
        <f>BA410+BA404+BA384+BA374+BA370+BA365+BA360+BA354+BA350+BA346+BA340+BA335+BA330+BA324+BA320+BA317+BA313+BA308+BA306+BA304+BA301+BA295+BA292+BA290+BA288+BA285+BA282+BA279+BA275+BA271+BA269+BA266+BA263+BA258+BA254+BA251+BA247+BA245+BA241+BA238+BA236+BA234+BA229+BA226+BA221+BA217+BA214+BA211+BA205+BA201+BA197+BA192+BA189+BA184+BA178+BA174+BA172+BA169+BA167+BA163+BA159+BA157+BA155+BA152+BA145+BA139+BA136+BA131+BA120+BA111+BA108+BA101+BA97+BA86+BA82+BA79+BA77+BA74+BA69+BA64+BA58+BA54+BA49+BA27+BA19+BA12+BA37+BA42+BA381</f>
        <v>227858721004.96167</v>
      </c>
      <c r="BB421" s="376">
        <f t="shared" ref="BB421:BJ421" si="599">SUM(BB13:BB420)</f>
        <v>10000000000</v>
      </c>
      <c r="BC421" s="376">
        <f t="shared" si="599"/>
        <v>40735593529.225174</v>
      </c>
      <c r="BD421" s="376">
        <f t="shared" si="599"/>
        <v>7199072744.5355549</v>
      </c>
      <c r="BE421" s="376">
        <f t="shared" si="599"/>
        <v>200000000</v>
      </c>
      <c r="BF421" s="376">
        <f t="shared" si="599"/>
        <v>247813193.38067901</v>
      </c>
      <c r="BG421" s="376">
        <f t="shared" si="599"/>
        <v>2341576058.48</v>
      </c>
      <c r="BH421" s="376">
        <f t="shared" si="599"/>
        <v>123373286491.84402</v>
      </c>
      <c r="BI421" s="376">
        <f t="shared" si="599"/>
        <v>11457657446.024429</v>
      </c>
      <c r="BJ421" s="376">
        <f t="shared" si="599"/>
        <v>34802379885</v>
      </c>
      <c r="BK421" s="376">
        <f>BK410+BK404+BK384+BK374+BK370+BK365+BK360+BK354+BK350+BK346+BK340+BK335+BK330+BK324+BK320+BK317+BK313+BK308+BK306+BK304+BK301+BK295+BK292+BK290+BK288+BK285+BK282+BK279+BK275+BK271+BK269+BK266+BK263+BK258+BK254+BK251+BK247+BK245+BK241+BK238+BK236+BK234+BK229+BK226+BK221+BK217+BK214+BK211+BK205+BK201+BK197+BK192+BK189+BK184+BK178+BK174+BK172+BK169+BK167+BK163+BK159+BK157+BK155+BK152+BK145+BK139+BK136+BK131+BK120+BK111+BK108+BK101+BK97+BK86+BK82+BK79+BK77+BK74+BK69+BK64+BK58+BK54+BK49+BK27+BK19+BK12+BK37+BK42+BK381</f>
        <v>230357379348.48987</v>
      </c>
      <c r="BL421" s="375">
        <f>BL363+BL322+BL95+BL35+BL10</f>
        <v>906029112457.68982</v>
      </c>
    </row>
    <row r="422" spans="1:64" ht="24.75" customHeight="1" x14ac:dyDescent="0.25">
      <c r="D422" s="377"/>
      <c r="E422" s="378"/>
      <c r="F422" s="378"/>
      <c r="G422" s="379"/>
      <c r="H422" s="379"/>
      <c r="I422" s="380"/>
      <c r="J422" s="381" t="s">
        <v>927</v>
      </c>
      <c r="K422" s="382"/>
      <c r="L422" s="383"/>
      <c r="M422" s="384"/>
      <c r="N422" s="385"/>
      <c r="O422" s="386"/>
      <c r="P422" s="386"/>
      <c r="Q422" s="385"/>
      <c r="R422" s="386" t="s">
        <v>61</v>
      </c>
      <c r="S422" s="386" t="s">
        <v>61</v>
      </c>
      <c r="T422" s="386"/>
      <c r="U422" s="387"/>
      <c r="V422" s="386"/>
      <c r="W422" s="386"/>
      <c r="X422" s="388"/>
      <c r="Y422" s="388"/>
      <c r="Z422" s="388"/>
      <c r="AA422" s="388"/>
      <c r="AB422" s="388"/>
      <c r="AC422" s="388"/>
      <c r="AD422" s="388"/>
      <c r="AE422" s="388"/>
      <c r="AF422" s="388"/>
      <c r="AG422" s="389">
        <f>220730777204.64+6000000000</f>
        <v>226730777204.64001</v>
      </c>
      <c r="AH422" s="390"/>
      <c r="AI422" s="390"/>
      <c r="AJ422" s="390"/>
      <c r="AK422" s="390"/>
      <c r="AL422" s="390"/>
      <c r="AM422" s="390"/>
      <c r="AN422" s="390"/>
      <c r="AO422" s="390"/>
      <c r="AP422" s="390"/>
      <c r="AQ422" s="390">
        <v>221082234899</v>
      </c>
      <c r="AR422" s="390"/>
      <c r="AS422" s="390"/>
      <c r="AT422" s="390"/>
      <c r="AU422" s="390"/>
      <c r="AV422" s="390"/>
      <c r="AW422" s="390"/>
      <c r="AX422" s="390"/>
      <c r="AY422" s="390"/>
      <c r="AZ422" s="390"/>
      <c r="BA422" s="390">
        <v>227858721005</v>
      </c>
      <c r="BB422" s="390"/>
      <c r="BC422" s="390"/>
      <c r="BD422" s="390"/>
      <c r="BE422" s="390"/>
      <c r="BF422" s="390"/>
      <c r="BG422" s="390"/>
      <c r="BH422" s="390"/>
      <c r="BI422" s="390"/>
      <c r="BJ422" s="390"/>
      <c r="BK422" s="390">
        <v>230357379349</v>
      </c>
      <c r="BL422" s="620">
        <f>BL363+BL322+BL95+BL35+BL10</f>
        <v>906029112457.68982</v>
      </c>
    </row>
    <row r="423" spans="1:64" s="73" customFormat="1" ht="24.75" customHeight="1" x14ac:dyDescent="0.25">
      <c r="E423" s="391"/>
      <c r="I423" s="392"/>
      <c r="J423" s="3"/>
      <c r="K423" s="3"/>
      <c r="L423" s="392"/>
      <c r="M423" s="391"/>
      <c r="N423" s="393"/>
      <c r="O423" s="394"/>
      <c r="P423" s="394"/>
      <c r="Q423" s="393"/>
      <c r="R423" s="394"/>
      <c r="S423" s="394"/>
      <c r="T423" s="394"/>
      <c r="U423" s="395"/>
      <c r="V423" s="362"/>
      <c r="W423" s="362"/>
      <c r="X423" s="396"/>
      <c r="Y423" s="397">
        <f>Y421-'[1]SGTO P. NDICATIVO'!$AA$430</f>
        <v>0</v>
      </c>
      <c r="Z423" s="398">
        <f>Z421-'[1]SGTO P. NDICATIVO'!$AE$430</f>
        <v>0</v>
      </c>
      <c r="AA423" s="396">
        <f>AA421-'[1]SGTO P. NDICATIVO'!$AI$430</f>
        <v>0</v>
      </c>
      <c r="AB423" s="396">
        <f>AB421-'[1]SGTO P. NDICATIVO'!$AM$430</f>
        <v>0</v>
      </c>
      <c r="AC423" s="396">
        <f>AC421-'[1]SGTO P. NDICATIVO'!$AQ$430</f>
        <v>0</v>
      </c>
      <c r="AD423" s="396">
        <f>AD421-'[1]SGTO P. NDICATIVO'!$AU$430</f>
        <v>0</v>
      </c>
      <c r="AE423" s="396">
        <f>AE421-'[1]SGTO P. NDICATIVO'!$AY$430</f>
        <v>0</v>
      </c>
      <c r="AF423" s="396">
        <f>AF421-'[1]SGTO P. NDICATIVO'!$BC$430</f>
        <v>0</v>
      </c>
      <c r="AG423" s="399">
        <f>AG421-AG422</f>
        <v>0</v>
      </c>
      <c r="AH423" s="400"/>
      <c r="AI423" s="400"/>
      <c r="AJ423" s="400"/>
      <c r="AK423" s="400"/>
      <c r="AL423" s="400"/>
      <c r="AM423" s="400"/>
      <c r="AN423" s="400"/>
      <c r="AO423" s="400"/>
      <c r="AP423" s="400"/>
      <c r="AR423" s="400"/>
      <c r="AS423" s="400"/>
      <c r="AT423" s="400"/>
      <c r="AU423" s="400"/>
      <c r="AV423" s="400"/>
      <c r="AW423" s="400"/>
      <c r="AX423" s="400"/>
      <c r="AY423" s="400"/>
      <c r="AZ423" s="400"/>
      <c r="BA423" s="400"/>
      <c r="BB423" s="401"/>
      <c r="BC423" s="401"/>
      <c r="BD423" s="401"/>
      <c r="BE423" s="401"/>
      <c r="BF423" s="401"/>
      <c r="BG423" s="401">
        <f>BG421-'[1]SGTO P. NDICATIVO'!$CJ$430</f>
        <v>0</v>
      </c>
      <c r="BH423" s="401">
        <f>BH421-'[1]SGTO P. NDICATIVO'!$CK$430</f>
        <v>0</v>
      </c>
      <c r="BI423" s="401">
        <f>BI421-'[1]SGTO P. NDICATIVO'!$CL$430</f>
        <v>0</v>
      </c>
      <c r="BJ423" s="401">
        <f>BJ421-'[1]SGTO P. NDICATIVO'!$CM$430</f>
        <v>0</v>
      </c>
      <c r="BK423" s="401"/>
      <c r="BL423" s="540"/>
    </row>
    <row r="424" spans="1:64" s="73" customFormat="1" ht="24.75" customHeight="1" x14ac:dyDescent="0.25">
      <c r="E424" s="391"/>
      <c r="I424" s="392"/>
      <c r="J424" s="3"/>
      <c r="K424" s="3"/>
      <c r="L424" s="392"/>
      <c r="M424" s="391"/>
      <c r="N424" s="393"/>
      <c r="O424" s="394"/>
      <c r="P424" s="394"/>
      <c r="Q424" s="393"/>
      <c r="R424" s="394"/>
      <c r="S424" s="394"/>
      <c r="T424" s="394"/>
      <c r="U424" s="395"/>
      <c r="V424" s="362"/>
      <c r="W424" s="362"/>
      <c r="X424" s="396"/>
      <c r="Y424" s="397"/>
      <c r="Z424" s="398"/>
      <c r="AA424" s="396"/>
      <c r="AB424" s="396"/>
      <c r="AC424" s="396"/>
      <c r="AD424" s="396"/>
      <c r="AE424" s="396"/>
      <c r="AF424" s="396"/>
      <c r="AG424" s="399"/>
      <c r="AH424" s="400"/>
      <c r="AI424" s="400"/>
      <c r="AJ424" s="400"/>
      <c r="AK424" s="400"/>
      <c r="AL424" s="400"/>
      <c r="AM424" s="400"/>
      <c r="AN424" s="400"/>
      <c r="AO424" s="400"/>
      <c r="AP424" s="400"/>
      <c r="AQ424" s="403"/>
      <c r="AR424" s="402"/>
      <c r="AS424" s="400"/>
      <c r="AT424" s="400"/>
      <c r="AU424" s="400"/>
      <c r="AV424" s="400"/>
      <c r="AW424" s="400"/>
      <c r="AX424" s="400"/>
      <c r="AY424" s="400"/>
      <c r="AZ424" s="400"/>
      <c r="BA424" s="400"/>
      <c r="BB424" s="401"/>
      <c r="BC424" s="401"/>
      <c r="BD424" s="401"/>
      <c r="BE424" s="401"/>
      <c r="BF424" s="401"/>
      <c r="BG424" s="401"/>
      <c r="BH424" s="401"/>
      <c r="BI424" s="401"/>
      <c r="BJ424" s="401"/>
      <c r="BK424" s="401"/>
    </row>
    <row r="425" spans="1:64" s="73" customFormat="1" ht="24.75" customHeight="1" x14ac:dyDescent="0.25">
      <c r="E425" s="391"/>
      <c r="I425" s="392"/>
      <c r="J425" s="3"/>
      <c r="K425" s="3"/>
      <c r="L425" s="392"/>
      <c r="M425" s="391"/>
      <c r="N425" s="393"/>
      <c r="O425" s="394"/>
      <c r="P425" s="394"/>
      <c r="Q425" s="393"/>
      <c r="R425" s="394"/>
      <c r="S425" s="394"/>
      <c r="T425" s="394"/>
      <c r="U425" s="395"/>
      <c r="V425" s="362"/>
      <c r="W425" s="362"/>
      <c r="X425" s="396"/>
      <c r="Y425" s="397"/>
      <c r="Z425" s="398"/>
      <c r="AA425" s="396"/>
      <c r="AB425" s="396"/>
      <c r="AC425" s="396"/>
      <c r="AD425" s="396"/>
      <c r="AE425" s="396"/>
      <c r="AF425" s="396"/>
      <c r="AG425" s="399"/>
      <c r="AH425" s="400"/>
      <c r="AI425" s="400"/>
      <c r="AJ425" s="400"/>
      <c r="AK425" s="400"/>
      <c r="AL425" s="400"/>
      <c r="AM425" s="400"/>
      <c r="AN425" s="400"/>
      <c r="AO425" s="400"/>
      <c r="AP425" s="400"/>
      <c r="AQ425" s="403"/>
      <c r="AR425" s="402"/>
      <c r="AS425" s="400"/>
      <c r="AT425" s="400"/>
      <c r="AU425" s="400"/>
      <c r="AV425" s="400"/>
      <c r="AW425" s="400"/>
      <c r="AX425" s="400"/>
      <c r="AY425" s="400"/>
      <c r="AZ425" s="400"/>
      <c r="BA425" s="400"/>
      <c r="BB425" s="401"/>
      <c r="BC425" s="401"/>
      <c r="BD425" s="401"/>
      <c r="BE425" s="401"/>
      <c r="BF425" s="401"/>
      <c r="BG425" s="401"/>
      <c r="BH425" s="401"/>
      <c r="BI425" s="401"/>
      <c r="BJ425" s="401"/>
      <c r="BK425" s="401"/>
    </row>
    <row r="426" spans="1:64" s="73" customFormat="1" ht="24.75" customHeight="1" x14ac:dyDescent="0.25">
      <c r="E426" s="391"/>
      <c r="I426" s="392"/>
      <c r="J426" s="3"/>
      <c r="K426" s="3"/>
      <c r="L426" s="392"/>
      <c r="M426" s="391"/>
      <c r="N426" s="393"/>
      <c r="O426" s="394"/>
      <c r="P426" s="394"/>
      <c r="Q426" s="393"/>
      <c r="R426" s="394"/>
      <c r="S426" s="394"/>
      <c r="T426" s="394"/>
      <c r="U426" s="395"/>
      <c r="V426" s="362"/>
      <c r="W426" s="362"/>
      <c r="X426" s="396"/>
      <c r="Y426" s="397"/>
      <c r="Z426" s="398"/>
      <c r="AA426" s="396"/>
      <c r="AB426" s="396"/>
      <c r="AC426" s="396"/>
      <c r="AD426" s="396"/>
      <c r="AE426" s="396"/>
      <c r="AF426" s="396"/>
      <c r="AG426" s="399"/>
      <c r="AH426" s="400"/>
      <c r="AI426" s="400"/>
      <c r="AJ426" s="400"/>
      <c r="AK426" s="400"/>
      <c r="AL426" s="400"/>
      <c r="AM426" s="400"/>
      <c r="AN426" s="400"/>
      <c r="AO426" s="400"/>
      <c r="AP426" s="400"/>
      <c r="AQ426" s="403"/>
      <c r="AR426" s="402"/>
      <c r="AS426" s="400"/>
      <c r="AT426" s="400"/>
      <c r="AU426" s="400"/>
      <c r="AV426" s="400"/>
      <c r="AW426" s="400"/>
      <c r="AX426" s="400"/>
      <c r="AY426" s="400"/>
      <c r="AZ426" s="400"/>
      <c r="BA426" s="400"/>
      <c r="BB426" s="401"/>
      <c r="BC426" s="401"/>
      <c r="BD426" s="401"/>
      <c r="BE426" s="401"/>
      <c r="BF426" s="401"/>
      <c r="BG426" s="401"/>
      <c r="BH426" s="401"/>
      <c r="BI426" s="401"/>
      <c r="BJ426" s="401"/>
      <c r="BK426" s="401"/>
    </row>
    <row r="427" spans="1:64" s="73" customFormat="1" ht="24.75" customHeight="1" x14ac:dyDescent="0.25">
      <c r="E427" s="391"/>
      <c r="I427" s="392"/>
      <c r="J427" s="3"/>
      <c r="K427" s="3"/>
      <c r="L427" s="392"/>
      <c r="M427" s="391"/>
      <c r="N427" s="393"/>
      <c r="O427" s="394"/>
      <c r="P427" s="394"/>
      <c r="Q427" s="393"/>
      <c r="R427" s="394"/>
      <c r="S427" s="394"/>
      <c r="T427" s="394"/>
      <c r="U427" s="395"/>
      <c r="V427" s="362"/>
      <c r="W427" s="362"/>
      <c r="X427" s="396"/>
      <c r="Y427" s="397"/>
      <c r="Z427" s="398"/>
      <c r="AA427" s="396"/>
      <c r="AB427" s="396"/>
      <c r="AC427" s="396"/>
      <c r="AD427" s="396"/>
      <c r="AE427" s="396"/>
      <c r="AF427" s="396"/>
      <c r="AG427" s="399"/>
      <c r="AH427" s="400"/>
      <c r="AI427" s="400"/>
      <c r="AJ427" s="400"/>
      <c r="AK427" s="400"/>
      <c r="AL427" s="400"/>
      <c r="AM427" s="400"/>
      <c r="AN427" s="400"/>
      <c r="AO427" s="400"/>
      <c r="AP427" s="400"/>
      <c r="AQ427" s="403"/>
      <c r="AR427" s="402"/>
      <c r="AS427" s="400"/>
      <c r="AT427" s="400"/>
      <c r="AU427" s="400"/>
      <c r="AV427" s="400"/>
      <c r="AW427" s="400"/>
      <c r="AX427" s="400"/>
      <c r="AY427" s="400"/>
      <c r="AZ427" s="400"/>
      <c r="BA427" s="400"/>
      <c r="BB427" s="401"/>
      <c r="BC427" s="401"/>
      <c r="BD427" s="401"/>
      <c r="BE427" s="401"/>
      <c r="BF427" s="401"/>
      <c r="BG427" s="401"/>
      <c r="BH427" s="401"/>
      <c r="BI427" s="401"/>
      <c r="BJ427" s="401"/>
      <c r="BK427" s="401"/>
    </row>
    <row r="428" spans="1:64" ht="24.75" customHeight="1" x14ac:dyDescent="0.2">
      <c r="AQ428" s="579"/>
      <c r="AR428" s="402"/>
    </row>
    <row r="429" spans="1:64" ht="24.75" customHeight="1" x14ac:dyDescent="0.2">
      <c r="AQ429" s="403"/>
      <c r="AR429" s="402"/>
    </row>
    <row r="430" spans="1:64" ht="24.75" customHeight="1" x14ac:dyDescent="0.2">
      <c r="AQ430" s="403"/>
      <c r="AR430" s="402"/>
    </row>
    <row r="431" spans="1:64" ht="24.75" customHeight="1" x14ac:dyDescent="0.2">
      <c r="AQ431" s="403"/>
      <c r="AR431" s="402"/>
    </row>
    <row r="432" spans="1:64" ht="24.75" customHeight="1" x14ac:dyDescent="0.2">
      <c r="AQ432" s="402"/>
      <c r="AR432" s="402"/>
    </row>
  </sheetData>
  <mergeCells count="53">
    <mergeCell ref="BL7:BL9"/>
    <mergeCell ref="F227:F228"/>
    <mergeCell ref="G227:G228"/>
    <mergeCell ref="H227:H228"/>
    <mergeCell ref="A8:A9"/>
    <mergeCell ref="B8:B9"/>
    <mergeCell ref="F8:F9"/>
    <mergeCell ref="G8:G9"/>
    <mergeCell ref="H8:H9"/>
    <mergeCell ref="C8:E8"/>
    <mergeCell ref="F218:F219"/>
    <mergeCell ref="G218:G219"/>
    <mergeCell ref="AR8:AR9"/>
    <mergeCell ref="U8:U9"/>
    <mergeCell ref="O8:O9"/>
    <mergeCell ref="P8:P9"/>
    <mergeCell ref="W8:W9"/>
    <mergeCell ref="S8:S9"/>
    <mergeCell ref="T8:T9"/>
    <mergeCell ref="I8:J9"/>
    <mergeCell ref="K8:K9"/>
    <mergeCell ref="L8:L9"/>
    <mergeCell ref="H218:H219"/>
    <mergeCell ref="F14:F15"/>
    <mergeCell ref="M8:M9"/>
    <mergeCell ref="N8:N9"/>
    <mergeCell ref="V8:V9"/>
    <mergeCell ref="AS8:AS9"/>
    <mergeCell ref="AH7:AQ7"/>
    <mergeCell ref="AX8:AX9"/>
    <mergeCell ref="AY8:AY9"/>
    <mergeCell ref="X7:AG7"/>
    <mergeCell ref="BH8:BH9"/>
    <mergeCell ref="BE8:BE9"/>
    <mergeCell ref="AZ8:AZ9"/>
    <mergeCell ref="BA8:BA9"/>
    <mergeCell ref="BB8:BB9"/>
    <mergeCell ref="C1:BJ3"/>
    <mergeCell ref="C4:BJ6"/>
    <mergeCell ref="F7:W7"/>
    <mergeCell ref="BK8:BK9"/>
    <mergeCell ref="AT8:AT9"/>
    <mergeCell ref="BJ8:BJ9"/>
    <mergeCell ref="AW8:AW9"/>
    <mergeCell ref="BI8:BI9"/>
    <mergeCell ref="AV8:AV9"/>
    <mergeCell ref="AU8:AU9"/>
    <mergeCell ref="AR7:BA7"/>
    <mergeCell ref="BB7:BK7"/>
    <mergeCell ref="BC8:BC9"/>
    <mergeCell ref="BD8:BD9"/>
    <mergeCell ref="BF8:BF9"/>
    <mergeCell ref="BG8:BG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P. NDICATIVO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2017-11-27T20:13:39Z</dcterms:modified>
  <cp:category/>
  <cp:contentStatus/>
</cp:coreProperties>
</file>