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ARCHIVOS EMPALME 2016-2019\SEGTO TRIMESTRAL 2016-2019\SEGTO TRIMESTRAL 2019\2019 II Trimestre\"/>
    </mc:Choice>
  </mc:AlternateContent>
  <bookViews>
    <workbookView xWindow="-120" yWindow="-120" windowWidth="20730" windowHeight="11160" tabRatio="946"/>
  </bookViews>
  <sheets>
    <sheet name="SGTO P. INDICATIVO" sheetId="51" r:id="rId1"/>
    <sheet name="EJECUCION ESTRATEGIAS" sheetId="64" r:id="rId2"/>
    <sheet name="EJECUCION PROGRAMAS" sheetId="56" r:id="rId3"/>
    <sheet name="% EJECUCION ESTRATEGIAS " sheetId="65" r:id="rId4"/>
    <sheet name="EJECUCION % PROGRAMAS " sheetId="63" r:id="rId5"/>
    <sheet name="% DE EJEC. METAS-ESTRATATEGIAS" sheetId="6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1._Apoyo_con_equipos_para_la_seguridad_vial_Licenciamiento_de_software_para_comunicaciones">#REF!</definedName>
    <definedName name="_xlnm._FilterDatabase" localSheetId="1" hidden="1">'EJECUCION ESTRATEGIAS'!$B$3:$J$9</definedName>
    <definedName name="_xlnm._FilterDatabase" localSheetId="2" hidden="1">'EJECUCION PROGRAMAS'!$C$4:$K$33</definedName>
    <definedName name="_xlnm._FilterDatabase" localSheetId="0" hidden="1">'SGTO P. INDICATIVO'!$A$10:$GZ$424</definedName>
    <definedName name="CODIGO_DIVIPOLA">#REF!</definedName>
    <definedName name="DboREGISTRO_LEY_617">#REF!</definedName>
    <definedName name="ññ">#REF!</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83" i="51" l="1"/>
  <c r="FI89" i="51" l="1"/>
  <c r="FH89" i="51"/>
  <c r="Y90" i="51" l="1"/>
  <c r="FI87" i="51"/>
  <c r="FH87" i="51"/>
  <c r="Y87" i="51"/>
  <c r="Y89" i="51"/>
  <c r="Y83" i="51"/>
  <c r="FI250" i="51" l="1"/>
  <c r="FH250" i="51"/>
  <c r="FR237" i="51" l="1"/>
  <c r="GL232" i="51"/>
  <c r="GL231" i="51"/>
  <c r="GL227" i="51"/>
  <c r="GL224" i="51"/>
  <c r="GL223" i="51"/>
  <c r="GL222" i="51"/>
  <c r="GL219" i="51"/>
  <c r="GL218" i="51"/>
  <c r="GL213" i="51"/>
  <c r="GL212" i="51"/>
  <c r="GL210" i="51"/>
  <c r="FH208" i="51"/>
  <c r="GL204" i="51"/>
  <c r="GL202" i="51"/>
  <c r="GM198" i="51"/>
  <c r="GL198" i="51"/>
  <c r="GL191" i="51"/>
  <c r="GN190" i="51"/>
  <c r="GM190" i="51"/>
  <c r="GL190" i="51"/>
  <c r="GL187" i="51"/>
  <c r="GL186" i="51"/>
  <c r="GL185" i="51"/>
  <c r="GW113" i="51" l="1"/>
  <c r="GX113" i="51"/>
  <c r="FM413" i="51" l="1"/>
  <c r="FM416" i="51"/>
  <c r="GW418" i="51" l="1"/>
  <c r="GX418" i="51"/>
  <c r="DZ260" i="51" l="1"/>
  <c r="DY192" i="51"/>
  <c r="DZ192" i="51"/>
  <c r="EA192" i="51"/>
  <c r="DY189" i="51"/>
  <c r="DZ189" i="51"/>
  <c r="EA189" i="51"/>
  <c r="DY99" i="51" l="1"/>
  <c r="DO99" i="51"/>
  <c r="DN101" i="51" l="1"/>
  <c r="DN108" i="51"/>
  <c r="DN111" i="51"/>
  <c r="DN120" i="51"/>
  <c r="DN131" i="51"/>
  <c r="DN136" i="51"/>
  <c r="DN139" i="51"/>
  <c r="DN145" i="51"/>
  <c r="DN152" i="51"/>
  <c r="DN155" i="51"/>
  <c r="DN157" i="51"/>
  <c r="DN159" i="51"/>
  <c r="DN163" i="51"/>
  <c r="DN167" i="51"/>
  <c r="DN169" i="51"/>
  <c r="DN172" i="51"/>
  <c r="DN174" i="51"/>
  <c r="DN178" i="51"/>
  <c r="DN184" i="5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N263" i="51"/>
  <c r="DN266" i="51"/>
  <c r="DN269" i="51"/>
  <c r="DN271" i="51"/>
  <c r="DN275" i="51"/>
  <c r="DN279" i="51"/>
  <c r="DN282" i="51"/>
  <c r="DN285" i="51"/>
  <c r="DN288" i="51"/>
  <c r="DN290" i="51"/>
  <c r="DN292" i="51"/>
  <c r="DN301" i="51"/>
  <c r="DN304" i="51"/>
  <c r="DN306" i="51"/>
  <c r="DN308" i="51"/>
  <c r="DN313" i="51"/>
  <c r="DN317" i="51"/>
  <c r="DN320" i="51"/>
  <c r="DN319" i="51" s="1"/>
  <c r="DN335" i="51"/>
  <c r="DN340" i="51"/>
  <c r="DN346" i="51"/>
  <c r="DN350" i="51"/>
  <c r="DN354" i="51"/>
  <c r="DN360" i="51"/>
  <c r="DS86" i="51"/>
  <c r="DS97" i="51"/>
  <c r="DS101" i="51"/>
  <c r="DS108" i="51"/>
  <c r="DS111" i="51"/>
  <c r="DS120" i="51"/>
  <c r="DS136" i="51"/>
  <c r="DS139" i="51"/>
  <c r="DS145" i="51"/>
  <c r="DS152" i="51"/>
  <c r="DS155" i="51"/>
  <c r="DS157" i="51"/>
  <c r="DS159" i="51"/>
  <c r="DS163" i="51"/>
  <c r="DS167" i="51"/>
  <c r="DS169" i="51"/>
  <c r="DS172" i="51"/>
  <c r="DS174" i="51"/>
  <c r="DS178" i="51"/>
  <c r="DS184" i="5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S263" i="51"/>
  <c r="DS266" i="51"/>
  <c r="DS269" i="51"/>
  <c r="DS271" i="51"/>
  <c r="DS275" i="51"/>
  <c r="DS279" i="51"/>
  <c r="DS282" i="51"/>
  <c r="DS285" i="51"/>
  <c r="DS288" i="51"/>
  <c r="DS290" i="51"/>
  <c r="DS292" i="51"/>
  <c r="DS295" i="51"/>
  <c r="DS294" i="51" s="1"/>
  <c r="DS301" i="51"/>
  <c r="DS304" i="51"/>
  <c r="DS306" i="51"/>
  <c r="DS308" i="51"/>
  <c r="DS313" i="51"/>
  <c r="DS317" i="51"/>
  <c r="DS320" i="51"/>
  <c r="DS319" i="51" s="1"/>
  <c r="DS324" i="51"/>
  <c r="DS330" i="51"/>
  <c r="DS335" i="51"/>
  <c r="DS340" i="51"/>
  <c r="DS346" i="51"/>
  <c r="DS354" i="51"/>
  <c r="DS360" i="51"/>
  <c r="DX86" i="51"/>
  <c r="DX97" i="51"/>
  <c r="DX101" i="51"/>
  <c r="DX108" i="51"/>
  <c r="DX111" i="51"/>
  <c r="DX120" i="51"/>
  <c r="DX131" i="51"/>
  <c r="DX136" i="51"/>
  <c r="DX139" i="51"/>
  <c r="DX145" i="51"/>
  <c r="DX152" i="51"/>
  <c r="DX155" i="51"/>
  <c r="DX157" i="51"/>
  <c r="DX159" i="51"/>
  <c r="DX163" i="51"/>
  <c r="DX167" i="51"/>
  <c r="DX169" i="51"/>
  <c r="DX172" i="51"/>
  <c r="DX174" i="51"/>
  <c r="DX178" i="51"/>
  <c r="DX184" i="51"/>
  <c r="DX189" i="51"/>
  <c r="DX192" i="51"/>
  <c r="DX197" i="51"/>
  <c r="DX201" i="51"/>
  <c r="DX205" i="51"/>
  <c r="DX211" i="51"/>
  <c r="DX214" i="51"/>
  <c r="DX217" i="51"/>
  <c r="DX221" i="51"/>
  <c r="DX226" i="51"/>
  <c r="DX229" i="51"/>
  <c r="DX234" i="51"/>
  <c r="DX236" i="51"/>
  <c r="DX238" i="51"/>
  <c r="DX241" i="51"/>
  <c r="DX245" i="51"/>
  <c r="DX247" i="51"/>
  <c r="DX251" i="51"/>
  <c r="DX254" i="51"/>
  <c r="DX258" i="51"/>
  <c r="DX257" i="51" s="1"/>
  <c r="DX263" i="51"/>
  <c r="DX266" i="51"/>
  <c r="DX269" i="51"/>
  <c r="DX271" i="51"/>
  <c r="DX275" i="51"/>
  <c r="DX279" i="51"/>
  <c r="DX282" i="51"/>
  <c r="DX285" i="51"/>
  <c r="DX288" i="51"/>
  <c r="DX290" i="51"/>
  <c r="DX292" i="51"/>
  <c r="DX295" i="51"/>
  <c r="DX294" i="51" s="1"/>
  <c r="DX301" i="51"/>
  <c r="DX304" i="51"/>
  <c r="DX306" i="51"/>
  <c r="DX308" i="51"/>
  <c r="DX313" i="51"/>
  <c r="DX317" i="51"/>
  <c r="DX320" i="51"/>
  <c r="DX319" i="51" s="1"/>
  <c r="DX324" i="51"/>
  <c r="DX330" i="51"/>
  <c r="DX335" i="51"/>
  <c r="DX340" i="51"/>
  <c r="DX346" i="51"/>
  <c r="DX350" i="51"/>
  <c r="DX354" i="51"/>
  <c r="DX360" i="51"/>
  <c r="EB86" i="51"/>
  <c r="EB97" i="51"/>
  <c r="EB101" i="51"/>
  <c r="EB108" i="51"/>
  <c r="EB111" i="51"/>
  <c r="EB120" i="51"/>
  <c r="EB131" i="51"/>
  <c r="EB136" i="51"/>
  <c r="EB139" i="51"/>
  <c r="EB145" i="51"/>
  <c r="EB152" i="51"/>
  <c r="EB155" i="51"/>
  <c r="EB157" i="51"/>
  <c r="EB159" i="51"/>
  <c r="EB163" i="51"/>
  <c r="EB167" i="51"/>
  <c r="EB169" i="51"/>
  <c r="EB172" i="51"/>
  <c r="EB174" i="51"/>
  <c r="EB178" i="51"/>
  <c r="EB184" i="51"/>
  <c r="EB189" i="51"/>
  <c r="EB192" i="51"/>
  <c r="EB197" i="51"/>
  <c r="EB201" i="51"/>
  <c r="EB205" i="51"/>
  <c r="EB211" i="51"/>
  <c r="EB214" i="51"/>
  <c r="EB217" i="51"/>
  <c r="EB221" i="51"/>
  <c r="EB226" i="51"/>
  <c r="EB229" i="51"/>
  <c r="EB234" i="51"/>
  <c r="EB236" i="51"/>
  <c r="EB238" i="51"/>
  <c r="EB241" i="51"/>
  <c r="EB245" i="51"/>
  <c r="EB247" i="51"/>
  <c r="EB251" i="51"/>
  <c r="EB254" i="51"/>
  <c r="EB258" i="51"/>
  <c r="EB257" i="51" s="1"/>
  <c r="EB263" i="51"/>
  <c r="EB266" i="51"/>
  <c r="EB269" i="51"/>
  <c r="EB271" i="51"/>
  <c r="EB275" i="51"/>
  <c r="EB279" i="51"/>
  <c r="EB282" i="51"/>
  <c r="EB285" i="51"/>
  <c r="EB288" i="51"/>
  <c r="EB290" i="51"/>
  <c r="EB292" i="51"/>
  <c r="EB295" i="51"/>
  <c r="EB294" i="51" s="1"/>
  <c r="EB301" i="51"/>
  <c r="EB304" i="51"/>
  <c r="EB306" i="51"/>
  <c r="EB308" i="51"/>
  <c r="EB313" i="51"/>
  <c r="EB317" i="51"/>
  <c r="EB320" i="51"/>
  <c r="EB319" i="51" s="1"/>
  <c r="EB324" i="51"/>
  <c r="EB330" i="51"/>
  <c r="EB335" i="51"/>
  <c r="EB340" i="51"/>
  <c r="EB346" i="51"/>
  <c r="EB350" i="51"/>
  <c r="EB354" i="51"/>
  <c r="EB360" i="51"/>
  <c r="EF86" i="51"/>
  <c r="EF97" i="51"/>
  <c r="EF101" i="51"/>
  <c r="EF108" i="51"/>
  <c r="EF111" i="51"/>
  <c r="EF120" i="51"/>
  <c r="EF131" i="51"/>
  <c r="EF136" i="51"/>
  <c r="EF139" i="51"/>
  <c r="EF145" i="51"/>
  <c r="EF152" i="51"/>
  <c r="EF155" i="51"/>
  <c r="EF157" i="51"/>
  <c r="EF159" i="51"/>
  <c r="EF163" i="51"/>
  <c r="EF167" i="51"/>
  <c r="EF169" i="51"/>
  <c r="EF172" i="51"/>
  <c r="EF174" i="51"/>
  <c r="EF178" i="51"/>
  <c r="EF184" i="5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F263" i="51"/>
  <c r="EF266" i="51"/>
  <c r="EF269" i="51"/>
  <c r="EF271" i="51"/>
  <c r="EF275" i="51"/>
  <c r="EF279" i="51"/>
  <c r="EF282" i="51"/>
  <c r="EF285" i="51"/>
  <c r="EF288" i="51"/>
  <c r="EF290" i="51"/>
  <c r="EF292" i="51"/>
  <c r="EF295" i="51"/>
  <c r="EF294" i="51" s="1"/>
  <c r="EF301" i="51"/>
  <c r="EF304" i="51"/>
  <c r="EF306" i="51"/>
  <c r="EF308" i="51"/>
  <c r="EF313" i="51"/>
  <c r="EF317" i="51"/>
  <c r="EF320" i="51"/>
  <c r="EF319" i="51" s="1"/>
  <c r="EF324" i="51"/>
  <c r="EF330" i="51"/>
  <c r="EF335" i="51"/>
  <c r="EF340" i="51"/>
  <c r="EF346" i="51"/>
  <c r="EF350" i="51"/>
  <c r="EF354" i="51"/>
  <c r="EF360" i="51"/>
  <c r="EJ86" i="51"/>
  <c r="EJ97" i="51"/>
  <c r="EJ101" i="51"/>
  <c r="EJ108" i="51"/>
  <c r="EJ111" i="51"/>
  <c r="EJ120" i="51"/>
  <c r="EJ131" i="51"/>
  <c r="EJ136" i="51"/>
  <c r="EJ139" i="51"/>
  <c r="EJ145" i="51"/>
  <c r="EJ152" i="51"/>
  <c r="EJ155" i="51"/>
  <c r="EJ157" i="51"/>
  <c r="EJ159" i="51"/>
  <c r="EJ163" i="51"/>
  <c r="EJ167" i="51"/>
  <c r="EJ169" i="51"/>
  <c r="EJ172" i="51"/>
  <c r="EJ174" i="51"/>
  <c r="EJ178" i="51"/>
  <c r="EJ184" i="5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J263" i="51"/>
  <c r="EJ266" i="51"/>
  <c r="EJ269" i="51"/>
  <c r="EJ271" i="51"/>
  <c r="EJ275" i="51"/>
  <c r="EJ279" i="51"/>
  <c r="EJ282" i="51"/>
  <c r="EJ285" i="51"/>
  <c r="EJ288" i="51"/>
  <c r="EJ290" i="51"/>
  <c r="EJ292" i="51"/>
  <c r="EJ295" i="51"/>
  <c r="EJ294" i="51" s="1"/>
  <c r="EJ301" i="51"/>
  <c r="EJ304" i="51"/>
  <c r="EJ306" i="51"/>
  <c r="EJ308" i="51"/>
  <c r="EJ313" i="51"/>
  <c r="EJ317" i="51"/>
  <c r="EJ320" i="51"/>
  <c r="EJ319" i="51" s="1"/>
  <c r="EJ324" i="51"/>
  <c r="EJ330" i="51"/>
  <c r="EJ335" i="51"/>
  <c r="EJ340" i="51"/>
  <c r="EJ346" i="51"/>
  <c r="EJ350" i="51"/>
  <c r="EJ354" i="51"/>
  <c r="EJ360" i="51"/>
  <c r="EN86" i="51"/>
  <c r="EN97" i="51"/>
  <c r="EN101" i="51"/>
  <c r="EN108" i="51"/>
  <c r="EN111" i="51"/>
  <c r="EN120" i="51"/>
  <c r="EN131" i="51"/>
  <c r="EN136" i="51"/>
  <c r="EN139" i="51"/>
  <c r="EN145" i="51"/>
  <c r="EN152" i="51"/>
  <c r="EN155" i="51"/>
  <c r="EN157" i="51"/>
  <c r="EN159" i="51"/>
  <c r="EN163" i="51"/>
  <c r="EN167" i="51"/>
  <c r="EN169" i="51"/>
  <c r="EN172" i="51"/>
  <c r="EN174" i="51"/>
  <c r="EN178" i="51"/>
  <c r="EN184" i="51"/>
  <c r="EN189" i="51"/>
  <c r="EN192" i="51"/>
  <c r="EN197" i="51"/>
  <c r="EN201" i="51"/>
  <c r="EN205" i="51"/>
  <c r="EN211" i="51"/>
  <c r="EN214" i="51"/>
  <c r="EN217" i="51"/>
  <c r="EN221" i="51"/>
  <c r="EN226" i="51"/>
  <c r="EN229" i="51"/>
  <c r="EN234" i="51"/>
  <c r="EN236" i="51"/>
  <c r="EN238" i="51"/>
  <c r="EN241" i="51"/>
  <c r="EN245" i="51"/>
  <c r="EN247" i="51"/>
  <c r="EN251" i="51"/>
  <c r="EN254" i="51"/>
  <c r="EN258" i="51"/>
  <c r="EN257" i="51" s="1"/>
  <c r="EN263" i="51"/>
  <c r="EN266" i="51"/>
  <c r="EN269" i="51"/>
  <c r="EN271" i="51"/>
  <c r="EN275" i="51"/>
  <c r="EN279" i="51"/>
  <c r="EN282" i="51"/>
  <c r="EN285" i="51"/>
  <c r="EN288" i="51"/>
  <c r="EN290" i="51"/>
  <c r="EN292" i="51"/>
  <c r="EN295" i="51"/>
  <c r="EN294" i="51" s="1"/>
  <c r="EN301" i="51"/>
  <c r="EN304" i="51"/>
  <c r="EN306" i="51"/>
  <c r="EN308" i="51"/>
  <c r="EN313" i="51"/>
  <c r="EN317" i="51"/>
  <c r="EN320" i="51"/>
  <c r="EN319" i="51" s="1"/>
  <c r="EN324" i="51"/>
  <c r="EN330" i="51"/>
  <c r="EN335" i="51"/>
  <c r="EN340" i="51"/>
  <c r="EN346" i="51"/>
  <c r="EN350" i="51"/>
  <c r="EN354" i="51"/>
  <c r="EN360" i="51"/>
  <c r="ES86" i="51"/>
  <c r="ES97" i="51"/>
  <c r="ES101" i="51"/>
  <c r="ES108" i="51"/>
  <c r="ES111"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6" i="51"/>
  <c r="EV97" i="51"/>
  <c r="EV101" i="51"/>
  <c r="EV108" i="51"/>
  <c r="EV111" i="51"/>
  <c r="EV120" i="51"/>
  <c r="EV131" i="51"/>
  <c r="EV136" i="51"/>
  <c r="EV139" i="51"/>
  <c r="EV145" i="51"/>
  <c r="EV152" i="51"/>
  <c r="EV155" i="51"/>
  <c r="EV157" i="51"/>
  <c r="EV159" i="51"/>
  <c r="EV163" i="51"/>
  <c r="EV167" i="51"/>
  <c r="EV169" i="51"/>
  <c r="EV172" i="51"/>
  <c r="EV174" i="51"/>
  <c r="EV178" i="51"/>
  <c r="EV184" i="51"/>
  <c r="EV189" i="51"/>
  <c r="EV192" i="51"/>
  <c r="EV197" i="51"/>
  <c r="EV201" i="51"/>
  <c r="EV205" i="51"/>
  <c r="EV211" i="51"/>
  <c r="EV214" i="51"/>
  <c r="EV217" i="51"/>
  <c r="EV221" i="51"/>
  <c r="EV226" i="51"/>
  <c r="EV229" i="51"/>
  <c r="EV234" i="51"/>
  <c r="EV236" i="51"/>
  <c r="EV238" i="51"/>
  <c r="EV241" i="51"/>
  <c r="EV245" i="51"/>
  <c r="EV247" i="51"/>
  <c r="EV251" i="51"/>
  <c r="EV254" i="51"/>
  <c r="EV258" i="51"/>
  <c r="EV257" i="51" s="1"/>
  <c r="EV263" i="51"/>
  <c r="EV266" i="51"/>
  <c r="EV269" i="51"/>
  <c r="EV271" i="51"/>
  <c r="EV275" i="51"/>
  <c r="EV279" i="51"/>
  <c r="EV282" i="51"/>
  <c r="EV285" i="51"/>
  <c r="EV288" i="51"/>
  <c r="EV290" i="51"/>
  <c r="EV292" i="51"/>
  <c r="EV295" i="51"/>
  <c r="EV294" i="51" s="1"/>
  <c r="EV301" i="51"/>
  <c r="EV304" i="51"/>
  <c r="EV306" i="51"/>
  <c r="EV308" i="51"/>
  <c r="EV313" i="51"/>
  <c r="EV317" i="51"/>
  <c r="EV320" i="51"/>
  <c r="EV319" i="51" s="1"/>
  <c r="EV324" i="51"/>
  <c r="EV330" i="51"/>
  <c r="EV335" i="51"/>
  <c r="EV340" i="51"/>
  <c r="EV346" i="51"/>
  <c r="EV350" i="51"/>
  <c r="EV354" i="51"/>
  <c r="EV360" i="51"/>
  <c r="EW83" i="51"/>
  <c r="EW84" i="51"/>
  <c r="EW85" i="51"/>
  <c r="EW87" i="51"/>
  <c r="EW88" i="51"/>
  <c r="EW90" i="51"/>
  <c r="EW91" i="51"/>
  <c r="EW92" i="51"/>
  <c r="EW93" i="51"/>
  <c r="EW94" i="51"/>
  <c r="EW99"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9" i="51"/>
  <c r="EW130" i="51"/>
  <c r="EW132" i="51"/>
  <c r="EW133"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0" i="51"/>
  <c r="EW169" i="51" s="1"/>
  <c r="EW173" i="51"/>
  <c r="EW172" i="51" s="1"/>
  <c r="EW175" i="51"/>
  <c r="EW176" i="51"/>
  <c r="EW179" i="51"/>
  <c r="EW180" i="51"/>
  <c r="EW181" i="51"/>
  <c r="EW182" i="51"/>
  <c r="EW183" i="51"/>
  <c r="EW185" i="51"/>
  <c r="EW186" i="51"/>
  <c r="EW187" i="51"/>
  <c r="EW190" i="51"/>
  <c r="EW191" i="51"/>
  <c r="EW193" i="51"/>
  <c r="EW194"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0" i="51"/>
  <c r="EW231" i="51"/>
  <c r="EW232" i="51"/>
  <c r="EW235" i="51"/>
  <c r="EW234" i="51" s="1"/>
  <c r="EW237" i="51"/>
  <c r="EW236" i="51" s="1"/>
  <c r="EW239" i="51"/>
  <c r="EW238" i="51" s="1"/>
  <c r="EW242" i="51"/>
  <c r="EW243" i="51"/>
  <c r="EW244" i="51"/>
  <c r="EW246" i="51"/>
  <c r="EW245" i="51" s="1"/>
  <c r="EW248" i="51"/>
  <c r="EW249" i="51"/>
  <c r="EW250" i="51"/>
  <c r="EW252" i="51"/>
  <c r="EW253" i="51"/>
  <c r="EW255" i="51"/>
  <c r="EW256" i="51"/>
  <c r="EW259" i="51"/>
  <c r="EW260" i="51"/>
  <c r="EW261" i="51"/>
  <c r="EW264" i="51"/>
  <c r="EW265" i="51"/>
  <c r="EW267" i="51"/>
  <c r="EW266" i="51" s="1"/>
  <c r="EW270" i="51"/>
  <c r="EW269" i="51" s="1"/>
  <c r="EW272" i="51"/>
  <c r="EW273" i="51"/>
  <c r="EW274" i="51"/>
  <c r="EW276" i="51"/>
  <c r="EW277" i="51"/>
  <c r="EW278" i="51"/>
  <c r="EW280" i="51"/>
  <c r="EW279" i="51" s="1"/>
  <c r="EW283" i="51"/>
  <c r="EW284" i="51"/>
  <c r="EW286" i="51"/>
  <c r="EW287" i="51"/>
  <c r="EW289" i="51"/>
  <c r="EW288" i="51" s="1"/>
  <c r="EW291" i="51"/>
  <c r="EW290" i="51" s="1"/>
  <c r="EW293" i="51"/>
  <c r="EW292" i="51" s="1"/>
  <c r="EW296" i="51"/>
  <c r="EW297" i="51"/>
  <c r="EW302" i="51"/>
  <c r="EW303" i="51"/>
  <c r="EW305" i="51"/>
  <c r="EW304" i="51" s="1"/>
  <c r="EW307" i="51"/>
  <c r="EW306" i="51" s="1"/>
  <c r="EW309" i="51"/>
  <c r="EW310" i="51"/>
  <c r="EW311" i="51"/>
  <c r="EW314" i="51"/>
  <c r="EW315" i="51"/>
  <c r="EW316" i="51"/>
  <c r="EW318" i="51"/>
  <c r="EW317" i="51" s="1"/>
  <c r="EW321" i="51"/>
  <c r="EW320" i="51" s="1"/>
  <c r="EW319" i="51" s="1"/>
  <c r="EW326" i="51"/>
  <c r="EW327" i="51"/>
  <c r="EW328" i="51"/>
  <c r="EW331" i="51"/>
  <c r="EW332" i="51"/>
  <c r="EW334" i="51"/>
  <c r="EW336" i="51"/>
  <c r="EW337" i="51"/>
  <c r="EW338" i="51"/>
  <c r="EW341" i="51"/>
  <c r="EW342" i="51"/>
  <c r="EW343" i="51"/>
  <c r="EW344" i="51"/>
  <c r="EW345" i="51"/>
  <c r="EW347" i="51"/>
  <c r="EW348" i="51"/>
  <c r="EW349" i="51"/>
  <c r="EW351" i="51"/>
  <c r="EW355" i="51"/>
  <c r="EW356" i="51"/>
  <c r="EW357" i="51"/>
  <c r="EW358" i="51"/>
  <c r="EW359" i="51"/>
  <c r="EW361" i="51"/>
  <c r="EW362" i="51"/>
  <c r="DS370" i="51"/>
  <c r="DS374" i="51"/>
  <c r="DS381" i="51"/>
  <c r="DS384" i="51"/>
  <c r="DS410" i="51"/>
  <c r="DX370" i="51"/>
  <c r="DX374" i="51"/>
  <c r="DX381" i="51"/>
  <c r="DX384" i="51"/>
  <c r="DX404" i="51"/>
  <c r="DX410" i="51"/>
  <c r="EB370" i="51"/>
  <c r="EB374" i="51"/>
  <c r="EB381" i="51"/>
  <c r="EB384" i="51"/>
  <c r="EB404" i="51"/>
  <c r="EB410" i="51"/>
  <c r="EF370" i="51"/>
  <c r="EF374" i="51"/>
  <c r="EF381" i="51"/>
  <c r="EF384" i="51"/>
  <c r="EF404" i="51"/>
  <c r="EF410" i="51"/>
  <c r="EJ370" i="51"/>
  <c r="EJ374" i="51"/>
  <c r="EJ381" i="51"/>
  <c r="EJ384" i="51"/>
  <c r="EJ404" i="51"/>
  <c r="EJ410" i="51"/>
  <c r="EN370" i="51"/>
  <c r="EN374" i="51"/>
  <c r="EN381" i="51"/>
  <c r="EN384" i="51"/>
  <c r="EN404" i="51"/>
  <c r="EN410" i="51"/>
  <c r="ES370" i="51"/>
  <c r="ES374" i="51"/>
  <c r="ES381" i="51"/>
  <c r="ES384" i="51"/>
  <c r="ES404" i="51"/>
  <c r="ES410" i="51"/>
  <c r="ET370" i="51"/>
  <c r="ET374" i="51"/>
  <c r="ET381" i="51"/>
  <c r="ET384" i="51"/>
  <c r="ET404" i="51"/>
  <c r="ET410" i="51"/>
  <c r="EU370" i="51"/>
  <c r="EU374" i="51"/>
  <c r="EU381" i="51"/>
  <c r="EU384" i="51"/>
  <c r="EU404" i="51"/>
  <c r="EU410" i="51"/>
  <c r="EV370" i="51"/>
  <c r="EV374" i="51"/>
  <c r="EV381" i="51"/>
  <c r="EV384" i="51"/>
  <c r="EV404" i="51"/>
  <c r="EV410" i="51"/>
  <c r="EW366" i="51"/>
  <c r="EW367" i="51"/>
  <c r="EW368"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05" i="51"/>
  <c r="EW406" i="51"/>
  <c r="EW407" i="51"/>
  <c r="EW408" i="51"/>
  <c r="EW411" i="51"/>
  <c r="EW412" i="51"/>
  <c r="EW413" i="51"/>
  <c r="EW414" i="51"/>
  <c r="EW415" i="51"/>
  <c r="EW416" i="51"/>
  <c r="EW417" i="51"/>
  <c r="EW418" i="51"/>
  <c r="EW419" i="51"/>
  <c r="EW420" i="51"/>
  <c r="EX405" i="51"/>
  <c r="EX406" i="51"/>
  <c r="EX407" i="51"/>
  <c r="EX408" i="51"/>
  <c r="EX409" i="51"/>
  <c r="EY405" i="51"/>
  <c r="EY406" i="51"/>
  <c r="EY407" i="51"/>
  <c r="EY408" i="51"/>
  <c r="EY409" i="51"/>
  <c r="EZ405" i="51"/>
  <c r="EZ406" i="51"/>
  <c r="EZ407" i="51"/>
  <c r="EZ408" i="51"/>
  <c r="EZ409" i="51"/>
  <c r="EZ411" i="51"/>
  <c r="EZ412" i="51"/>
  <c r="EZ413" i="51"/>
  <c r="EZ414" i="51"/>
  <c r="EZ367" i="51"/>
  <c r="EZ368" i="51"/>
  <c r="EZ369" i="51"/>
  <c r="EZ371" i="51"/>
  <c r="EZ372" i="51"/>
  <c r="EZ375" i="51"/>
  <c r="EZ376" i="51"/>
  <c r="EZ377" i="51"/>
  <c r="EZ378" i="51"/>
  <c r="EZ379" i="51"/>
  <c r="EZ380" i="51"/>
  <c r="EZ382" i="51"/>
  <c r="EZ381" i="51" s="1"/>
  <c r="EZ385" i="51"/>
  <c r="EZ386" i="51"/>
  <c r="EZ387" i="51"/>
  <c r="EZ388" i="51"/>
  <c r="EZ389" i="51"/>
  <c r="EZ390" i="51"/>
  <c r="EZ391" i="51"/>
  <c r="EZ392" i="51"/>
  <c r="EZ393" i="51"/>
  <c r="EZ394" i="51"/>
  <c r="EZ395" i="51"/>
  <c r="EZ396" i="51"/>
  <c r="EZ397" i="51"/>
  <c r="EZ398" i="51"/>
  <c r="EZ399" i="51"/>
  <c r="EZ400" i="51"/>
  <c r="EZ401" i="51"/>
  <c r="EZ402" i="51"/>
  <c r="EZ403" i="51"/>
  <c r="EZ415" i="51"/>
  <c r="EZ416" i="51"/>
  <c r="EZ417" i="51"/>
  <c r="EZ418" i="51"/>
  <c r="EZ419" i="51"/>
  <c r="EZ420"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3" i="51"/>
  <c r="EX415" i="51"/>
  <c r="EX416" i="51"/>
  <c r="EX417"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8" i="51"/>
  <c r="EX419" i="51"/>
  <c r="EX420"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Z264" i="51"/>
  <c r="EZ265" i="51"/>
  <c r="EZ270" i="51"/>
  <c r="EZ269" i="51" s="1"/>
  <c r="EZ272" i="51"/>
  <c r="EZ267" i="51"/>
  <c r="EZ266" i="51" s="1"/>
  <c r="EZ273" i="51"/>
  <c r="EZ274" i="51"/>
  <c r="EZ276" i="51"/>
  <c r="EZ277" i="51"/>
  <c r="EZ278" i="51"/>
  <c r="EZ280" i="51"/>
  <c r="EZ279" i="51" s="1"/>
  <c r="EZ283" i="51"/>
  <c r="EZ284" i="51"/>
  <c r="EZ286" i="51"/>
  <c r="EZ287" i="51"/>
  <c r="EZ289" i="51"/>
  <c r="EZ288" i="51" s="1"/>
  <c r="EZ291" i="51"/>
  <c r="EZ290" i="51" s="1"/>
  <c r="EZ293" i="51"/>
  <c r="EZ292" i="51" s="1"/>
  <c r="EZ296" i="51"/>
  <c r="EZ297" i="51"/>
  <c r="EZ298" i="51"/>
  <c r="EZ299" i="51"/>
  <c r="EZ302" i="51"/>
  <c r="EZ303" i="51"/>
  <c r="EZ305" i="51"/>
  <c r="EZ304" i="51" s="1"/>
  <c r="EZ307" i="51"/>
  <c r="EZ306" i="51" s="1"/>
  <c r="EZ309" i="51"/>
  <c r="EZ310" i="51"/>
  <c r="EZ311" i="51"/>
  <c r="EZ314" i="51"/>
  <c r="EZ315" i="51"/>
  <c r="EZ316" i="51"/>
  <c r="EZ318" i="51"/>
  <c r="EZ317" i="51" s="1"/>
  <c r="EZ321" i="51"/>
  <c r="EZ320" i="51" s="1"/>
  <c r="EZ319" i="51" s="1"/>
  <c r="EZ325" i="51"/>
  <c r="EZ326" i="51"/>
  <c r="EZ327" i="51"/>
  <c r="EZ328" i="51"/>
  <c r="EZ329" i="51"/>
  <c r="EZ331" i="51"/>
  <c r="EZ332" i="51"/>
  <c r="EZ333" i="51"/>
  <c r="EZ334" i="51"/>
  <c r="EZ336" i="51"/>
  <c r="EZ337" i="51"/>
  <c r="EZ338" i="51"/>
  <c r="EZ341" i="51"/>
  <c r="EZ342" i="51"/>
  <c r="EZ343" i="51"/>
  <c r="EZ344" i="51"/>
  <c r="EZ345" i="51"/>
  <c r="EZ347" i="51"/>
  <c r="EZ348" i="51"/>
  <c r="EZ349" i="51"/>
  <c r="EZ351" i="51"/>
  <c r="EZ352" i="51"/>
  <c r="EZ355" i="51"/>
  <c r="EZ356" i="51"/>
  <c r="EZ357" i="51"/>
  <c r="EZ358" i="51"/>
  <c r="EZ359" i="51"/>
  <c r="EZ361" i="51"/>
  <c r="EZ362"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EZ75" i="51"/>
  <c r="EZ76" i="51"/>
  <c r="EZ78" i="51"/>
  <c r="EZ77" i="51" s="1"/>
  <c r="EZ80" i="51"/>
  <c r="EZ79" i="51" s="1"/>
  <c r="EZ84" i="51"/>
  <c r="EZ85" i="51"/>
  <c r="EZ88" i="51"/>
  <c r="EZ90" i="51"/>
  <c r="EZ91" i="51"/>
  <c r="EZ92" i="51"/>
  <c r="EZ93" i="51"/>
  <c r="EZ94" i="51"/>
  <c r="EZ98" i="51"/>
  <c r="EZ99" i="51"/>
  <c r="EZ100" i="51"/>
  <c r="EZ102" i="51"/>
  <c r="EZ103" i="51"/>
  <c r="EZ104" i="51"/>
  <c r="EZ105" i="51"/>
  <c r="EZ106" i="51"/>
  <c r="EZ107" i="51"/>
  <c r="EZ109" i="51"/>
  <c r="EZ108" i="51" s="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s="1"/>
  <c r="EZ140" i="51"/>
  <c r="EZ141" i="51"/>
  <c r="EZ142" i="51"/>
  <c r="EZ143" i="51"/>
  <c r="EZ144" i="51"/>
  <c r="EZ146" i="51"/>
  <c r="EZ147" i="51"/>
  <c r="EZ148" i="51"/>
  <c r="EZ149" i="51"/>
  <c r="EZ150" i="51"/>
  <c r="EZ153" i="51"/>
  <c r="EZ154" i="51"/>
  <c r="EZ156" i="51"/>
  <c r="EZ155" i="51" s="1"/>
  <c r="EZ158" i="51"/>
  <c r="EZ157" i="51" s="1"/>
  <c r="EZ160" i="51"/>
  <c r="EZ161" i="51"/>
  <c r="EZ164" i="51"/>
  <c r="EZ165" i="51"/>
  <c r="EZ166" i="51"/>
  <c r="EZ168" i="51"/>
  <c r="EZ167" i="51" s="1"/>
  <c r="EZ170" i="51"/>
  <c r="EZ169" i="51" s="1"/>
  <c r="EZ173" i="51"/>
  <c r="EZ172" i="51" s="1"/>
  <c r="EZ175" i="51"/>
  <c r="EZ176" i="51"/>
  <c r="EZ179" i="51"/>
  <c r="EZ180" i="51"/>
  <c r="EZ181" i="51"/>
  <c r="EZ182" i="51"/>
  <c r="EZ183" i="51"/>
  <c r="EZ185" i="51"/>
  <c r="EZ186" i="51"/>
  <c r="EZ187" i="51"/>
  <c r="EZ190" i="51"/>
  <c r="EZ191" i="51"/>
  <c r="EZ193" i="51"/>
  <c r="EZ194" i="51"/>
  <c r="EZ195" i="51"/>
  <c r="EZ196" i="51"/>
  <c r="EZ198" i="51"/>
  <c r="EZ199" i="51"/>
  <c r="EZ200" i="51"/>
  <c r="EZ202" i="51"/>
  <c r="EZ203" i="51"/>
  <c r="EZ204" i="51"/>
  <c r="EZ206" i="51"/>
  <c r="EZ207" i="51"/>
  <c r="EZ208" i="51"/>
  <c r="EZ209" i="51"/>
  <c r="EZ210" i="51"/>
  <c r="EZ212" i="51"/>
  <c r="EZ213" i="51"/>
  <c r="EZ215" i="51"/>
  <c r="EZ216" i="51"/>
  <c r="EZ218" i="51"/>
  <c r="EZ219" i="51"/>
  <c r="EZ220" i="51"/>
  <c r="EZ222" i="51"/>
  <c r="EZ223" i="51"/>
  <c r="EZ224" i="51"/>
  <c r="EZ225" i="51"/>
  <c r="EZ227" i="51"/>
  <c r="EZ228" i="51"/>
  <c r="EZ231" i="51"/>
  <c r="EZ232" i="51"/>
  <c r="EZ235" i="51"/>
  <c r="EZ234" i="51" s="1"/>
  <c r="EZ237" i="51"/>
  <c r="EZ239" i="51"/>
  <c r="EZ238" i="51" s="1"/>
  <c r="EZ242" i="51"/>
  <c r="EZ243" i="51"/>
  <c r="EZ244" i="51"/>
  <c r="EZ246" i="51"/>
  <c r="EZ245" i="51" s="1"/>
  <c r="EZ248" i="51"/>
  <c r="EZ249" i="51"/>
  <c r="EZ250" i="51"/>
  <c r="EZ252" i="51"/>
  <c r="EZ253" i="51"/>
  <c r="EZ255" i="51"/>
  <c r="EZ256" i="51"/>
  <c r="EZ259" i="51"/>
  <c r="EZ260" i="51"/>
  <c r="EZ261" i="51"/>
  <c r="EZ366"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3" i="51"/>
  <c r="EX172" i="51" s="1"/>
  <c r="EX175" i="51"/>
  <c r="EX176" i="51"/>
  <c r="EX179" i="51"/>
  <c r="EX180" i="51"/>
  <c r="EX181" i="51"/>
  <c r="EX182" i="51"/>
  <c r="EX183" i="51"/>
  <c r="EX185" i="51"/>
  <c r="EX186" i="51"/>
  <c r="EX187" i="51"/>
  <c r="EX190" i="51"/>
  <c r="EX191" i="51"/>
  <c r="EX193"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GY372" i="51"/>
  <c r="GY371" i="51"/>
  <c r="GY375" i="51"/>
  <c r="GY376" i="51"/>
  <c r="GY377" i="51"/>
  <c r="GY378" i="51"/>
  <c r="GY379" i="51"/>
  <c r="GY380" i="51"/>
  <c r="GY382" i="51"/>
  <c r="GY381" i="51" s="1"/>
  <c r="GX88" i="51"/>
  <c r="GX89" i="51"/>
  <c r="GX90" i="51"/>
  <c r="GX91" i="51"/>
  <c r="GX92" i="51"/>
  <c r="GX93" i="51"/>
  <c r="GX94" i="51"/>
  <c r="GV88" i="51"/>
  <c r="GV89" i="51"/>
  <c r="GV90" i="51"/>
  <c r="GV91" i="51"/>
  <c r="GV92" i="51"/>
  <c r="GV93" i="51"/>
  <c r="GV94" i="51"/>
  <c r="GY264" i="51"/>
  <c r="GY265" i="51"/>
  <c r="GY270" i="51"/>
  <c r="GY269" i="51" s="1"/>
  <c r="GY272" i="51"/>
  <c r="GY38" i="51"/>
  <c r="GY39" i="51"/>
  <c r="GY40" i="51"/>
  <c r="GY41" i="51"/>
  <c r="GY43" i="51"/>
  <c r="GY44" i="51"/>
  <c r="GY45" i="51"/>
  <c r="GY46" i="51"/>
  <c r="GY47" i="51"/>
  <c r="GY48" i="51"/>
  <c r="GY50" i="51"/>
  <c r="GY51" i="51"/>
  <c r="GY52" i="51"/>
  <c r="GY53" i="51"/>
  <c r="GY55" i="51"/>
  <c r="GY56" i="51"/>
  <c r="GY57" i="51"/>
  <c r="GY59" i="51"/>
  <c r="GY60" i="51"/>
  <c r="GY61" i="51"/>
  <c r="GY62" i="51"/>
  <c r="GY63" i="51"/>
  <c r="GY65" i="51"/>
  <c r="GY66" i="51"/>
  <c r="GY67" i="51"/>
  <c r="GY68" i="51"/>
  <c r="GY70" i="51"/>
  <c r="GY71" i="51"/>
  <c r="GY72" i="51"/>
  <c r="GY75" i="51"/>
  <c r="GY76" i="51"/>
  <c r="GY78" i="51"/>
  <c r="GY77" i="51" s="1"/>
  <c r="GY80" i="51"/>
  <c r="GY79" i="51" s="1"/>
  <c r="GY83" i="51"/>
  <c r="GY84" i="51"/>
  <c r="GY85" i="51"/>
  <c r="GY87" i="51"/>
  <c r="GY88" i="51"/>
  <c r="GY89" i="51"/>
  <c r="GY90" i="51"/>
  <c r="GY91" i="51"/>
  <c r="GY92" i="51"/>
  <c r="GY93" i="51"/>
  <c r="GY94" i="51"/>
  <c r="GY98" i="51"/>
  <c r="GY99" i="51"/>
  <c r="GY100" i="51"/>
  <c r="GY102" i="51"/>
  <c r="GY103" i="51"/>
  <c r="GY104" i="51"/>
  <c r="GY105" i="51"/>
  <c r="GY106" i="51"/>
  <c r="GY107" i="51"/>
  <c r="GY109" i="51"/>
  <c r="GY108" i="51" s="1"/>
  <c r="GY112" i="51"/>
  <c r="GY113" i="51"/>
  <c r="GY114" i="51"/>
  <c r="GY115" i="51"/>
  <c r="GY116" i="51"/>
  <c r="GY117" i="51"/>
  <c r="GY118" i="51"/>
  <c r="GY119" i="51"/>
  <c r="GY121" i="51"/>
  <c r="GY122" i="51"/>
  <c r="GY123" i="51"/>
  <c r="GY124" i="51"/>
  <c r="GY125" i="51"/>
  <c r="GY126" i="51"/>
  <c r="GY127" i="51"/>
  <c r="GY128" i="51"/>
  <c r="GY129" i="51"/>
  <c r="GY130" i="51"/>
  <c r="GY132" i="51"/>
  <c r="GY133" i="51"/>
  <c r="GY134" i="51"/>
  <c r="GY135" i="51"/>
  <c r="GY137" i="51"/>
  <c r="GY136" i="51" s="1"/>
  <c r="GY140" i="51"/>
  <c r="GY141" i="51"/>
  <c r="GY142" i="51"/>
  <c r="GY143" i="51"/>
  <c r="GY144" i="51"/>
  <c r="GY146" i="51"/>
  <c r="GY147" i="51"/>
  <c r="GY148" i="51"/>
  <c r="GY149" i="51"/>
  <c r="GY150" i="51"/>
  <c r="GY153" i="51"/>
  <c r="GY154" i="51"/>
  <c r="GY156" i="51"/>
  <c r="GY155" i="51" s="1"/>
  <c r="GY158" i="51"/>
  <c r="GY157" i="51" s="1"/>
  <c r="GY160" i="51"/>
  <c r="GY161" i="51"/>
  <c r="GY164" i="51"/>
  <c r="GY165" i="51"/>
  <c r="GY166" i="51"/>
  <c r="GY168" i="51"/>
  <c r="GY167" i="51" s="1"/>
  <c r="GY170" i="51"/>
  <c r="GY169" i="51" s="1"/>
  <c r="GY173" i="51"/>
  <c r="GY172" i="51" s="1"/>
  <c r="GY175" i="51"/>
  <c r="GY176" i="51"/>
  <c r="GY179" i="51"/>
  <c r="GY180" i="51"/>
  <c r="GY181" i="51"/>
  <c r="GY182" i="51"/>
  <c r="GY183" i="51"/>
  <c r="GY185" i="51"/>
  <c r="GY186" i="51"/>
  <c r="GY187" i="51"/>
  <c r="GY190" i="51"/>
  <c r="GY191" i="51"/>
  <c r="GY193" i="51"/>
  <c r="GY194" i="51"/>
  <c r="GY195" i="51"/>
  <c r="GY196" i="51"/>
  <c r="GY198" i="51"/>
  <c r="GY199" i="51"/>
  <c r="GY200" i="51"/>
  <c r="GY202" i="51"/>
  <c r="GY203" i="51"/>
  <c r="GY204" i="51"/>
  <c r="GY206" i="51"/>
  <c r="GY207" i="51"/>
  <c r="GY208" i="51"/>
  <c r="GY209" i="51"/>
  <c r="GY210" i="51"/>
  <c r="GY212" i="51"/>
  <c r="GY213" i="51"/>
  <c r="GY215" i="51"/>
  <c r="GY216" i="51"/>
  <c r="GY218" i="51"/>
  <c r="GY219" i="51"/>
  <c r="GY220" i="51"/>
  <c r="GY222" i="51"/>
  <c r="GY223" i="51"/>
  <c r="GY224" i="51"/>
  <c r="GY225" i="51"/>
  <c r="GY227" i="51"/>
  <c r="GY228" i="51"/>
  <c r="GY230" i="51"/>
  <c r="GY231" i="51"/>
  <c r="GY232" i="51"/>
  <c r="GY235" i="51"/>
  <c r="GY234" i="51" s="1"/>
  <c r="GY237" i="51"/>
  <c r="GY236" i="51" s="1"/>
  <c r="GY239" i="51"/>
  <c r="GY238" i="51" s="1"/>
  <c r="GY242" i="51"/>
  <c r="GY243" i="51"/>
  <c r="GY244" i="51"/>
  <c r="GY246" i="51"/>
  <c r="GY245" i="51" s="1"/>
  <c r="GY248" i="51"/>
  <c r="GY249" i="51"/>
  <c r="GY250" i="51"/>
  <c r="GY252" i="51"/>
  <c r="GY253" i="51"/>
  <c r="GY255" i="51"/>
  <c r="GY256" i="51"/>
  <c r="GY259" i="51"/>
  <c r="GY260" i="51"/>
  <c r="GY261" i="51"/>
  <c r="GY267" i="51"/>
  <c r="GY266" i="51" s="1"/>
  <c r="GY273" i="51"/>
  <c r="GY274" i="51"/>
  <c r="GY276" i="51"/>
  <c r="GY277" i="51"/>
  <c r="GY278" i="51"/>
  <c r="GY280" i="51"/>
  <c r="GY279" i="51" s="1"/>
  <c r="GY283" i="51"/>
  <c r="GY284" i="51"/>
  <c r="GY286" i="51"/>
  <c r="GY287" i="51"/>
  <c r="GY289" i="51"/>
  <c r="GY288" i="51" s="1"/>
  <c r="GY291" i="51"/>
  <c r="GY290" i="51" s="1"/>
  <c r="GY293" i="51"/>
  <c r="GY292" i="51" s="1"/>
  <c r="GY296" i="51"/>
  <c r="GY297" i="51"/>
  <c r="GY298" i="51"/>
  <c r="GY299" i="51"/>
  <c r="GY302" i="51"/>
  <c r="GY303" i="51"/>
  <c r="GY305" i="51"/>
  <c r="GY304" i="51" s="1"/>
  <c r="GY307" i="51"/>
  <c r="GY306" i="51" s="1"/>
  <c r="GY309" i="51"/>
  <c r="GY310" i="51"/>
  <c r="GY311" i="51"/>
  <c r="GY314" i="51"/>
  <c r="GY315" i="51"/>
  <c r="GY316" i="51"/>
  <c r="GY318" i="51"/>
  <c r="GY317" i="51" s="1"/>
  <c r="GY321" i="51"/>
  <c r="GY320" i="51" s="1"/>
  <c r="GY319" i="51" s="1"/>
  <c r="GY325" i="51"/>
  <c r="GY326" i="51"/>
  <c r="GY327" i="51"/>
  <c r="GY328" i="51"/>
  <c r="GY329" i="51"/>
  <c r="GY331" i="51"/>
  <c r="GY332" i="51"/>
  <c r="GY333" i="51"/>
  <c r="GY334" i="51"/>
  <c r="GY336" i="51"/>
  <c r="GY337" i="51"/>
  <c r="GY338" i="51"/>
  <c r="GY341" i="51"/>
  <c r="GY342" i="51"/>
  <c r="GY343" i="51"/>
  <c r="GY344" i="51"/>
  <c r="GY345" i="51"/>
  <c r="GY347" i="51"/>
  <c r="GY348" i="51"/>
  <c r="GY349" i="51"/>
  <c r="GY351" i="51"/>
  <c r="GY352" i="51"/>
  <c r="GY355" i="51"/>
  <c r="GY356" i="51"/>
  <c r="GY357" i="51"/>
  <c r="GY358" i="51"/>
  <c r="GY359" i="51"/>
  <c r="GY361" i="51"/>
  <c r="GY362" i="51"/>
  <c r="GY366" i="51"/>
  <c r="GY367" i="51"/>
  <c r="GY368" i="51"/>
  <c r="GY369" i="51"/>
  <c r="GY385" i="51"/>
  <c r="GY386" i="51"/>
  <c r="GY387" i="51"/>
  <c r="GY388" i="51"/>
  <c r="GY389" i="51"/>
  <c r="GY390" i="51"/>
  <c r="GY391" i="51"/>
  <c r="GY392" i="51"/>
  <c r="GY393" i="51"/>
  <c r="GY394" i="51"/>
  <c r="GY395" i="51"/>
  <c r="GY396" i="51"/>
  <c r="GY397" i="51"/>
  <c r="GY398" i="51"/>
  <c r="GY399" i="51"/>
  <c r="GY400" i="51"/>
  <c r="GY401" i="51"/>
  <c r="GY402" i="51"/>
  <c r="GY403" i="51"/>
  <c r="GY405" i="51"/>
  <c r="GY406" i="51"/>
  <c r="GY407" i="51"/>
  <c r="GY408" i="51"/>
  <c r="GY409" i="51"/>
  <c r="GY411" i="51"/>
  <c r="GY412" i="51"/>
  <c r="GY413" i="51"/>
  <c r="GY414" i="51"/>
  <c r="GY415" i="51"/>
  <c r="GY416" i="51"/>
  <c r="GY417" i="51"/>
  <c r="GY418" i="51"/>
  <c r="GY419" i="51"/>
  <c r="GY420" i="51"/>
  <c r="GX264" i="51"/>
  <c r="GX265" i="51"/>
  <c r="GX270" i="51"/>
  <c r="GX269" i="51" s="1"/>
  <c r="GX272" i="51"/>
  <c r="GX83" i="51"/>
  <c r="GX84" i="51"/>
  <c r="GX85" i="51"/>
  <c r="GX87" i="51"/>
  <c r="GX98" i="51"/>
  <c r="GX99" i="51"/>
  <c r="GX100" i="51"/>
  <c r="GX102" i="51"/>
  <c r="GX103" i="51"/>
  <c r="GX104" i="51"/>
  <c r="GX105" i="51"/>
  <c r="GX106" i="51"/>
  <c r="GX107" i="51"/>
  <c r="GX109" i="51"/>
  <c r="GX108" i="51" s="1"/>
  <c r="GX112"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2" i="51" s="1"/>
  <c r="GX175" i="51"/>
  <c r="GX176" i="51"/>
  <c r="GX179" i="51"/>
  <c r="GX180" i="51"/>
  <c r="GX181" i="51"/>
  <c r="GX182" i="51"/>
  <c r="GX183" i="51"/>
  <c r="GX185" i="51"/>
  <c r="GX186" i="51"/>
  <c r="GX187" i="51"/>
  <c r="GX190" i="51"/>
  <c r="GX191" i="51"/>
  <c r="GX193" i="51"/>
  <c r="GX194" i="51"/>
  <c r="GX195" i="51"/>
  <c r="GX196" i="51"/>
  <c r="GX198" i="51"/>
  <c r="GX199" i="51"/>
  <c r="GX200" i="51"/>
  <c r="GX202" i="51"/>
  <c r="GX203" i="51"/>
  <c r="GX204" i="51"/>
  <c r="GX206" i="51"/>
  <c r="GX207" i="51"/>
  <c r="GX208" i="51"/>
  <c r="GX209" i="51"/>
  <c r="GX210" i="51"/>
  <c r="GX212" i="51"/>
  <c r="GX213" i="51"/>
  <c r="GX215" i="51"/>
  <c r="GX216" i="51"/>
  <c r="GX218" i="51"/>
  <c r="GX219" i="51"/>
  <c r="GX220" i="51"/>
  <c r="GX222" i="51"/>
  <c r="GX223" i="51"/>
  <c r="GX224" i="51"/>
  <c r="GX225" i="51"/>
  <c r="GX227" i="51"/>
  <c r="GX228" i="51"/>
  <c r="GX230" i="51"/>
  <c r="GX231" i="51"/>
  <c r="GX232" i="51"/>
  <c r="GX235" i="51"/>
  <c r="GX237" i="51"/>
  <c r="GX236" i="51" s="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I26" i="56" s="1"/>
  <c r="GX325" i="51"/>
  <c r="GX326" i="51"/>
  <c r="GX327" i="51"/>
  <c r="GX328" i="51"/>
  <c r="GX329" i="51"/>
  <c r="GX331" i="51"/>
  <c r="GX332" i="51"/>
  <c r="GX333" i="51"/>
  <c r="GX334" i="51"/>
  <c r="GX336" i="51"/>
  <c r="GX337" i="51"/>
  <c r="GX338" i="51"/>
  <c r="GX341" i="51"/>
  <c r="GX342" i="51"/>
  <c r="GX343" i="51"/>
  <c r="GX344" i="51"/>
  <c r="GX345" i="51"/>
  <c r="GX347" i="51"/>
  <c r="GX348" i="51"/>
  <c r="GX349" i="51"/>
  <c r="GX351" i="51"/>
  <c r="GX352" i="51"/>
  <c r="GX355" i="51"/>
  <c r="GX356" i="51"/>
  <c r="GX357" i="51"/>
  <c r="GX358" i="51"/>
  <c r="GX359" i="51"/>
  <c r="GX361" i="51"/>
  <c r="GX362" i="51"/>
  <c r="GV264" i="51"/>
  <c r="GV265" i="51"/>
  <c r="GV270" i="51"/>
  <c r="GV269" i="51" s="1"/>
  <c r="GV272" i="51"/>
  <c r="GV83" i="51"/>
  <c r="GV84" i="51"/>
  <c r="GV85" i="51"/>
  <c r="GV87"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5" i="51"/>
  <c r="GV166" i="51"/>
  <c r="GV168" i="51"/>
  <c r="GV167" i="51" s="1"/>
  <c r="GV170" i="51"/>
  <c r="GV169" i="51" s="1"/>
  <c r="GV173" i="51"/>
  <c r="GV172" i="51" s="1"/>
  <c r="GV175" i="51"/>
  <c r="GV176" i="51"/>
  <c r="GV179" i="51"/>
  <c r="GV180" i="51"/>
  <c r="GV181" i="51"/>
  <c r="GV182" i="51"/>
  <c r="GV183" i="51"/>
  <c r="GV185" i="51"/>
  <c r="GV186" i="51"/>
  <c r="GV187" i="51"/>
  <c r="GV190" i="51"/>
  <c r="GV191" i="51"/>
  <c r="GV193" i="51"/>
  <c r="GV194" i="51"/>
  <c r="GV195" i="51"/>
  <c r="GV196" i="51"/>
  <c r="GV198" i="51"/>
  <c r="GV199" i="51"/>
  <c r="GV200" i="51"/>
  <c r="GV202" i="51"/>
  <c r="GV203" i="51"/>
  <c r="GV204" i="51"/>
  <c r="GV206" i="51"/>
  <c r="GV207" i="51"/>
  <c r="GV208" i="51"/>
  <c r="GV209" i="51"/>
  <c r="GV210" i="51"/>
  <c r="GV212" i="51"/>
  <c r="GV213" i="51"/>
  <c r="GV215" i="51"/>
  <c r="GV216" i="51"/>
  <c r="GV218" i="51"/>
  <c r="GV219" i="51"/>
  <c r="GV220" i="51"/>
  <c r="GV222" i="51"/>
  <c r="GV223" i="51"/>
  <c r="GV224" i="51"/>
  <c r="GV225" i="51"/>
  <c r="GV227" i="51"/>
  <c r="GV228" i="51"/>
  <c r="GV230" i="51"/>
  <c r="GV231" i="51"/>
  <c r="GV232" i="51"/>
  <c r="GV235" i="51"/>
  <c r="GV237" i="51"/>
  <c r="GV236" i="51" s="1"/>
  <c r="GV239" i="51"/>
  <c r="GV238" i="51" s="1"/>
  <c r="GV242" i="51"/>
  <c r="GV243" i="51"/>
  <c r="GV244" i="51"/>
  <c r="GV246" i="51"/>
  <c r="GV245" i="51" s="1"/>
  <c r="GV248" i="51"/>
  <c r="GV249" i="51"/>
  <c r="GV250" i="51"/>
  <c r="GV252" i="51"/>
  <c r="GV253" i="51"/>
  <c r="GV255" i="51"/>
  <c r="GV256" i="51"/>
  <c r="GV259" i="51"/>
  <c r="GV260" i="51"/>
  <c r="GV261" i="51"/>
  <c r="GV267" i="51"/>
  <c r="GV266" i="51" s="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E26" i="56" s="1"/>
  <c r="E25" i="63" s="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1"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1" i="51"/>
  <c r="FK304" i="51"/>
  <c r="FK306" i="51"/>
  <c r="FK308" i="51"/>
  <c r="FK313" i="51"/>
  <c r="FK317" i="51"/>
  <c r="FK320" i="51"/>
  <c r="FK319" i="51" s="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1"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97" i="51"/>
  <c r="GT101" i="51"/>
  <c r="GT108" i="51"/>
  <c r="GT111" i="51"/>
  <c r="GT120" i="51"/>
  <c r="GT131" i="51"/>
  <c r="GT136" i="51"/>
  <c r="GT139" i="51"/>
  <c r="GT145" i="51"/>
  <c r="GT152" i="51"/>
  <c r="GT155" i="51"/>
  <c r="GT157" i="51"/>
  <c r="GT159" i="51"/>
  <c r="GT163" i="51"/>
  <c r="GT167" i="51"/>
  <c r="GT169" i="51"/>
  <c r="GT172" i="51"/>
  <c r="GT174" i="51"/>
  <c r="GT178" i="51"/>
  <c r="GT184" i="51"/>
  <c r="GT189" i="51"/>
  <c r="GT192" i="51"/>
  <c r="GT197" i="51"/>
  <c r="GT201" i="51"/>
  <c r="GT205" i="51"/>
  <c r="GT211" i="51"/>
  <c r="GT214" i="51"/>
  <c r="GT217" i="51"/>
  <c r="GT221" i="51"/>
  <c r="GT226" i="51"/>
  <c r="GT229" i="51"/>
  <c r="GT234" i="51"/>
  <c r="GT236" i="51"/>
  <c r="GT238" i="51"/>
  <c r="GT241" i="51"/>
  <c r="GT245" i="51"/>
  <c r="GT247" i="51"/>
  <c r="GT251" i="51"/>
  <c r="GT254" i="51"/>
  <c r="GT258" i="51"/>
  <c r="GT257" i="51" s="1"/>
  <c r="GT263" i="51"/>
  <c r="GT266" i="51"/>
  <c r="GT269" i="51"/>
  <c r="GT271" i="51"/>
  <c r="GT275" i="51"/>
  <c r="GT279" i="51"/>
  <c r="GT282" i="51"/>
  <c r="GT285" i="51"/>
  <c r="GT288" i="51"/>
  <c r="GT290" i="51"/>
  <c r="GT292" i="51"/>
  <c r="GT295" i="51"/>
  <c r="GT294" i="51" s="1"/>
  <c r="GT301" i="51"/>
  <c r="GT304" i="51"/>
  <c r="GT306" i="51"/>
  <c r="GT308" i="51"/>
  <c r="GT313" i="51"/>
  <c r="GT317" i="51"/>
  <c r="GT320" i="51"/>
  <c r="GT319" i="51" s="1"/>
  <c r="GU185" i="51"/>
  <c r="GU186" i="51"/>
  <c r="GU187" i="51"/>
  <c r="GU190" i="51"/>
  <c r="GU87" i="51"/>
  <c r="GU88" i="51"/>
  <c r="GU89" i="51"/>
  <c r="GU91" i="51"/>
  <c r="GU92" i="51"/>
  <c r="GU94" i="51"/>
  <c r="GU102"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4" i="51"/>
  <c r="GU165" i="51"/>
  <c r="GU166" i="51"/>
  <c r="GU168" i="51"/>
  <c r="GU167" i="51" s="1"/>
  <c r="GU170" i="51"/>
  <c r="GU169" i="51" s="1"/>
  <c r="GU173" i="51"/>
  <c r="GU172" i="51" s="1"/>
  <c r="GU175" i="51"/>
  <c r="GU176" i="51"/>
  <c r="GU179" i="51"/>
  <c r="GU180" i="51"/>
  <c r="GU181" i="51"/>
  <c r="GU182" i="51"/>
  <c r="GU183"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4" i="51"/>
  <c r="GU265" i="51"/>
  <c r="GU267" i="51"/>
  <c r="GU266" i="51" s="1"/>
  <c r="GU270" i="51"/>
  <c r="GU269" i="51" s="1"/>
  <c r="GU272" i="5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5" i="51"/>
  <c r="GU304" i="51" s="1"/>
  <c r="GU307" i="51"/>
  <c r="GU306" i="51" s="1"/>
  <c r="GU309" i="51"/>
  <c r="GU310" i="51"/>
  <c r="GU311" i="51"/>
  <c r="GU314" i="51"/>
  <c r="GU315" i="51"/>
  <c r="GU316" i="51"/>
  <c r="GU318" i="51"/>
  <c r="GU317" i="51" s="1"/>
  <c r="GU321" i="51"/>
  <c r="GU320" i="51" s="1"/>
  <c r="GU319" i="51" s="1"/>
  <c r="GW185" i="51"/>
  <c r="GW186" i="51"/>
  <c r="GW187" i="51"/>
  <c r="GW190" i="51"/>
  <c r="GW87" i="51"/>
  <c r="GW88" i="51"/>
  <c r="GW89" i="51"/>
  <c r="GW90" i="51"/>
  <c r="GW91" i="51"/>
  <c r="GW92" i="51"/>
  <c r="GW93" i="51"/>
  <c r="GW94" i="51"/>
  <c r="GW98" i="51"/>
  <c r="GW99" i="51"/>
  <c r="GW100" i="51"/>
  <c r="GW102" i="51"/>
  <c r="GW103" i="51"/>
  <c r="GW104" i="51"/>
  <c r="GW105" i="51"/>
  <c r="GW106" i="51"/>
  <c r="GW107" i="51"/>
  <c r="GW109" i="51"/>
  <c r="GW108" i="51" s="1"/>
  <c r="GW112"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2" i="51" s="1"/>
  <c r="GW175" i="51"/>
  <c r="GW176" i="51"/>
  <c r="GW179" i="51"/>
  <c r="GW180" i="51"/>
  <c r="GW181" i="51"/>
  <c r="GW182" i="51"/>
  <c r="GW183" i="51"/>
  <c r="GW191" i="51"/>
  <c r="GW193" i="51"/>
  <c r="GW194" i="51"/>
  <c r="GW195" i="51"/>
  <c r="GW196" i="51"/>
  <c r="GW198" i="51"/>
  <c r="GW199" i="51"/>
  <c r="GW200" i="51"/>
  <c r="GW202" i="51"/>
  <c r="GW203" i="51"/>
  <c r="GW204" i="51"/>
  <c r="GW206" i="51"/>
  <c r="GW207" i="51"/>
  <c r="GW208" i="51"/>
  <c r="GW209" i="51"/>
  <c r="GW210" i="51"/>
  <c r="GW212" i="51"/>
  <c r="GW213" i="51"/>
  <c r="GW215" i="51"/>
  <c r="GW216" i="51"/>
  <c r="GW218" i="51"/>
  <c r="GW219" i="51"/>
  <c r="GW220" i="51"/>
  <c r="GW222" i="51"/>
  <c r="GW223" i="51"/>
  <c r="GW224" i="51"/>
  <c r="GW225" i="51"/>
  <c r="GW227" i="51"/>
  <c r="GW228" i="51"/>
  <c r="GW230" i="51"/>
  <c r="GW231" i="51"/>
  <c r="GW232" i="51"/>
  <c r="GW235" i="51"/>
  <c r="GW237" i="51"/>
  <c r="GW236" i="51" s="1"/>
  <c r="GW239" i="51"/>
  <c r="GW238" i="51" s="1"/>
  <c r="GW242" i="51"/>
  <c r="GW243" i="51"/>
  <c r="GW244" i="51"/>
  <c r="GW246" i="51"/>
  <c r="GW245" i="51" s="1"/>
  <c r="GW248" i="51"/>
  <c r="GW249" i="51"/>
  <c r="GW250" i="51"/>
  <c r="GW252" i="51"/>
  <c r="GW253" i="51"/>
  <c r="GW255" i="51"/>
  <c r="GW256" i="51"/>
  <c r="GW259" i="51"/>
  <c r="GW260" i="51"/>
  <c r="GW261" i="51"/>
  <c r="GW264" i="51"/>
  <c r="GW265" i="51"/>
  <c r="GW267" i="51"/>
  <c r="GW266" i="51" s="1"/>
  <c r="GW270" i="51"/>
  <c r="GW269" i="51" s="1"/>
  <c r="GW272" i="5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G26" i="56" s="1"/>
  <c r="FH97" i="51"/>
  <c r="FH101" i="51"/>
  <c r="FH108" i="51"/>
  <c r="FH111" i="51"/>
  <c r="FH120" i="51"/>
  <c r="FH131" i="51"/>
  <c r="FH136" i="51"/>
  <c r="FH139" i="51"/>
  <c r="FH145" i="51"/>
  <c r="FH152" i="51"/>
  <c r="FH155" i="51"/>
  <c r="FH157" i="51"/>
  <c r="FH159"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A189" i="51"/>
  <c r="FA192" i="51"/>
  <c r="FA197" i="51"/>
  <c r="FA201" i="51"/>
  <c r="FA205" i="51"/>
  <c r="FA211" i="51"/>
  <c r="FA214" i="51"/>
  <c r="FA217" i="51"/>
  <c r="FA221" i="51"/>
  <c r="FA227" i="51"/>
  <c r="FA229" i="51"/>
  <c r="FA234" i="51"/>
  <c r="FA236" i="51"/>
  <c r="FA238" i="51"/>
  <c r="FA241" i="51"/>
  <c r="FA245" i="51"/>
  <c r="FA250" i="51"/>
  <c r="FA247" i="51" s="1"/>
  <c r="FA251" i="51"/>
  <c r="FA254" i="51"/>
  <c r="FA258" i="51"/>
  <c r="FA257" i="51" s="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Q189" i="51"/>
  <c r="EQ192" i="51"/>
  <c r="EQ197" i="51"/>
  <c r="EQ201" i="51"/>
  <c r="EQ205" i="51"/>
  <c r="EQ211" i="51"/>
  <c r="EQ214" i="51"/>
  <c r="EQ217" i="51"/>
  <c r="EQ221" i="51"/>
  <c r="EQ226"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7" i="51"/>
  <c r="EO201" i="51"/>
  <c r="EO205" i="51"/>
  <c r="EO211" i="51"/>
  <c r="EO214" i="51"/>
  <c r="EO217" i="51"/>
  <c r="EO221" i="51"/>
  <c r="EO226" i="51"/>
  <c r="EO234" i="51"/>
  <c r="EO236" i="51"/>
  <c r="EO238" i="51"/>
  <c r="EO241" i="51"/>
  <c r="EO245" i="51"/>
  <c r="EO247" i="51"/>
  <c r="EO251" i="51"/>
  <c r="EO254" i="51"/>
  <c r="EO258" i="51"/>
  <c r="EO257" i="51" s="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D189" i="51"/>
  <c r="ED192" i="51"/>
  <c r="ED197" i="51"/>
  <c r="ED201" i="51"/>
  <c r="ED205" i="51"/>
  <c r="ED211" i="51"/>
  <c r="ED214" i="51"/>
  <c r="ED217" i="51"/>
  <c r="ED221" i="51"/>
  <c r="ED226" i="51"/>
  <c r="ED229" i="51"/>
  <c r="ED234" i="51"/>
  <c r="ED236" i="51"/>
  <c r="ED238" i="51"/>
  <c r="ED241" i="51"/>
  <c r="ED245" i="51"/>
  <c r="ED247" i="51"/>
  <c r="ED251" i="51"/>
  <c r="ED254" i="51"/>
  <c r="ED258" i="51"/>
  <c r="ED257" i="51" s="1"/>
  <c r="EC189" i="51"/>
  <c r="EC192" i="51"/>
  <c r="EC197" i="51"/>
  <c r="EC201" i="51"/>
  <c r="EC205" i="51"/>
  <c r="EC211" i="51"/>
  <c r="EC214" i="51"/>
  <c r="EC217" i="51"/>
  <c r="EC221" i="51"/>
  <c r="EC226" i="51"/>
  <c r="EC229" i="51"/>
  <c r="EC234" i="51"/>
  <c r="EC236" i="51"/>
  <c r="EC238" i="51"/>
  <c r="EC241" i="51"/>
  <c r="EC245" i="51"/>
  <c r="EC247" i="51"/>
  <c r="EC251" i="51"/>
  <c r="EC254" i="51"/>
  <c r="EC258" i="51"/>
  <c r="EC257" i="51" s="1"/>
  <c r="EA197" i="51"/>
  <c r="EA201" i="51"/>
  <c r="EA205" i="51"/>
  <c r="EA211" i="51"/>
  <c r="EA214" i="51"/>
  <c r="EA217" i="51"/>
  <c r="EA221" i="51"/>
  <c r="EA226" i="51"/>
  <c r="EA229" i="51"/>
  <c r="EA234" i="51"/>
  <c r="EA236" i="51"/>
  <c r="EA238" i="51"/>
  <c r="EA241" i="51"/>
  <c r="EA245" i="51"/>
  <c r="EA247" i="51"/>
  <c r="EA251" i="51"/>
  <c r="EA254" i="51"/>
  <c r="EA258" i="51"/>
  <c r="EA257" i="51" s="1"/>
  <c r="DZ197" i="51"/>
  <c r="DZ201" i="51"/>
  <c r="DZ205" i="51"/>
  <c r="DZ211" i="51"/>
  <c r="DZ214" i="51"/>
  <c r="DZ217" i="51"/>
  <c r="DZ221" i="51"/>
  <c r="DZ226" i="51"/>
  <c r="DZ229" i="51"/>
  <c r="DZ234" i="51"/>
  <c r="DZ236" i="51"/>
  <c r="DZ238" i="51"/>
  <c r="DZ241" i="51"/>
  <c r="DZ245" i="51"/>
  <c r="DZ247" i="51"/>
  <c r="DZ251" i="51"/>
  <c r="DZ254" i="51"/>
  <c r="DZ258" i="51"/>
  <c r="DZ257" i="51" s="1"/>
  <c r="DY197" i="51"/>
  <c r="DY201" i="51"/>
  <c r="DY205" i="51"/>
  <c r="DY211" i="51"/>
  <c r="DY214" i="51"/>
  <c r="DY217" i="51"/>
  <c r="DY221" i="51"/>
  <c r="DY226" i="51"/>
  <c r="DY229" i="51"/>
  <c r="DY234" i="51"/>
  <c r="DY236" i="51"/>
  <c r="DY238" i="51"/>
  <c r="DY241" i="51"/>
  <c r="DY245" i="51"/>
  <c r="DY247" i="51"/>
  <c r="DY251" i="51"/>
  <c r="DY254" i="51"/>
  <c r="DY258" i="51"/>
  <c r="DY257" i="51" s="1"/>
  <c r="DW189" i="51"/>
  <c r="DW192" i="51"/>
  <c r="DW197" i="51"/>
  <c r="DW201" i="51"/>
  <c r="DW205" i="51"/>
  <c r="DW211" i="51"/>
  <c r="DW214" i="51"/>
  <c r="DW217" i="51"/>
  <c r="DW221" i="51"/>
  <c r="DW226" i="51"/>
  <c r="DW229" i="51"/>
  <c r="DW234" i="51"/>
  <c r="DW236" i="51"/>
  <c r="DW238" i="51"/>
  <c r="DW241" i="51"/>
  <c r="DW245" i="51"/>
  <c r="DW247" i="51"/>
  <c r="DW251" i="51"/>
  <c r="DW254" i="51"/>
  <c r="DW258" i="51"/>
  <c r="DW257" i="51" s="1"/>
  <c r="DV189" i="51"/>
  <c r="DV192" i="51"/>
  <c r="DV197" i="51"/>
  <c r="DV201" i="51"/>
  <c r="DV205" i="51"/>
  <c r="DV211" i="51"/>
  <c r="DV214" i="51"/>
  <c r="DV217" i="51"/>
  <c r="DV221" i="51"/>
  <c r="DV226" i="51"/>
  <c r="DV229" i="51"/>
  <c r="DV234" i="51"/>
  <c r="DV236" i="51"/>
  <c r="DV238" i="51"/>
  <c r="DV241" i="51"/>
  <c r="DV245" i="51"/>
  <c r="DV247" i="51"/>
  <c r="DV251" i="51"/>
  <c r="DV254" i="51"/>
  <c r="DV258" i="51"/>
  <c r="DV257" i="51" s="1"/>
  <c r="DU189" i="51"/>
  <c r="DU192" i="51"/>
  <c r="DU197" i="51"/>
  <c r="DU201" i="51"/>
  <c r="DU205" i="51"/>
  <c r="DU211" i="51"/>
  <c r="DU214" i="51"/>
  <c r="DU217" i="51"/>
  <c r="DU221" i="51"/>
  <c r="DU226" i="51"/>
  <c r="DU229" i="51"/>
  <c r="DU234" i="51"/>
  <c r="DU236" i="51"/>
  <c r="DU238" i="51"/>
  <c r="DU241" i="51"/>
  <c r="DU245" i="51"/>
  <c r="DU247" i="51"/>
  <c r="DU251" i="51"/>
  <c r="DU254" i="51"/>
  <c r="DU258" i="51"/>
  <c r="DU257" i="51" s="1"/>
  <c r="DT189" i="51"/>
  <c r="DT192" i="51"/>
  <c r="DT197" i="51"/>
  <c r="DT201" i="51"/>
  <c r="DT205" i="51"/>
  <c r="DT211" i="51"/>
  <c r="DT214" i="51"/>
  <c r="DT217" i="51"/>
  <c r="DT221" i="51"/>
  <c r="DT226" i="51"/>
  <c r="DT229" i="51"/>
  <c r="DT234" i="51"/>
  <c r="DT236" i="51"/>
  <c r="DT238" i="51"/>
  <c r="DT241" i="51"/>
  <c r="DT245" i="51"/>
  <c r="DT247" i="51"/>
  <c r="DT251" i="51"/>
  <c r="DT254" i="51"/>
  <c r="DT258" i="51"/>
  <c r="DT257" i="51" s="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FF101" i="51"/>
  <c r="FF108" i="51"/>
  <c r="FF111" i="51"/>
  <c r="FF120" i="51"/>
  <c r="FF131" i="51"/>
  <c r="FF136" i="51"/>
  <c r="FF139" i="51"/>
  <c r="FF145" i="51"/>
  <c r="FF152" i="51"/>
  <c r="FF155" i="51"/>
  <c r="FF157" i="51"/>
  <c r="FF159" i="51"/>
  <c r="FF163" i="51"/>
  <c r="FF167" i="51"/>
  <c r="FF169" i="51"/>
  <c r="FF172" i="51"/>
  <c r="FF174" i="51"/>
  <c r="FF178" i="51"/>
  <c r="FF184" i="51"/>
  <c r="FF263" i="51"/>
  <c r="FF266" i="51"/>
  <c r="FE101" i="51"/>
  <c r="FE108" i="51"/>
  <c r="FE111" i="51"/>
  <c r="FE120" i="51"/>
  <c r="FE131" i="51"/>
  <c r="FE136" i="51"/>
  <c r="FE139" i="51"/>
  <c r="FE145" i="51"/>
  <c r="FE152" i="51"/>
  <c r="FE155" i="51"/>
  <c r="FE157" i="51"/>
  <c r="FE159" i="51"/>
  <c r="FE163" i="51"/>
  <c r="FE167" i="51"/>
  <c r="FE169" i="51"/>
  <c r="FE172" i="51"/>
  <c r="FE174" i="51"/>
  <c r="FE178" i="51"/>
  <c r="FE184" i="51"/>
  <c r="FE263" i="51"/>
  <c r="FE266" i="51"/>
  <c r="FC101" i="51"/>
  <c r="FC108" i="51"/>
  <c r="FC111" i="51"/>
  <c r="FC120" i="51"/>
  <c r="FC131" i="51"/>
  <c r="FC136" i="51"/>
  <c r="FC139" i="51"/>
  <c r="FC145" i="51"/>
  <c r="FC152" i="51"/>
  <c r="FC155" i="51"/>
  <c r="FC157" i="51"/>
  <c r="FC159" i="51"/>
  <c r="FC163" i="51"/>
  <c r="FC167" i="51"/>
  <c r="FC169" i="51"/>
  <c r="FC172" i="51"/>
  <c r="FC174" i="51"/>
  <c r="FC178" i="51"/>
  <c r="FC184" i="51"/>
  <c r="FC263" i="51"/>
  <c r="FC266" i="51"/>
  <c r="FA101" i="51"/>
  <c r="FA108" i="51"/>
  <c r="FA111" i="51"/>
  <c r="FA120" i="51"/>
  <c r="FA131" i="51"/>
  <c r="FA136" i="51"/>
  <c r="FA139" i="51"/>
  <c r="FA145" i="51"/>
  <c r="FA152" i="51"/>
  <c r="FA155" i="51"/>
  <c r="FA157" i="51"/>
  <c r="FA159" i="51"/>
  <c r="FA163" i="51"/>
  <c r="FA167" i="51"/>
  <c r="FA169" i="51"/>
  <c r="FA172" i="51"/>
  <c r="FA174" i="51"/>
  <c r="FA178" i="51"/>
  <c r="FA184" i="51"/>
  <c r="FA263" i="51"/>
  <c r="FA266" i="51"/>
  <c r="EQ230" i="51"/>
  <c r="EZ230" i="51" s="1"/>
  <c r="EP230" i="51"/>
  <c r="EY230" i="51" s="1"/>
  <c r="EO230" i="51"/>
  <c r="EX230" i="51" s="1"/>
  <c r="ER101" i="51"/>
  <c r="ER108" i="51"/>
  <c r="ER111" i="51"/>
  <c r="ER120" i="51"/>
  <c r="ER131" i="51"/>
  <c r="ER136" i="51"/>
  <c r="ER139" i="51"/>
  <c r="ER145" i="51"/>
  <c r="ER152" i="51"/>
  <c r="ER155" i="51"/>
  <c r="ER157" i="51"/>
  <c r="ER159" i="51"/>
  <c r="ER163" i="51"/>
  <c r="ER167" i="51"/>
  <c r="ER169" i="51"/>
  <c r="ER172" i="51"/>
  <c r="ER174" i="51"/>
  <c r="ER178" i="51"/>
  <c r="ER184" i="51"/>
  <c r="ER263" i="51"/>
  <c r="ER266" i="5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M101" i="51"/>
  <c r="EM108" i="51"/>
  <c r="EM111" i="51"/>
  <c r="EM120" i="51"/>
  <c r="EM131" i="51"/>
  <c r="EM136" i="51"/>
  <c r="EM139" i="51"/>
  <c r="EM145" i="51"/>
  <c r="EM152" i="51"/>
  <c r="EM155" i="51"/>
  <c r="EM157" i="51"/>
  <c r="EM159" i="51"/>
  <c r="EM163" i="51"/>
  <c r="EM167" i="51"/>
  <c r="EM169" i="51"/>
  <c r="EM172" i="51"/>
  <c r="EM174" i="51"/>
  <c r="EM178" i="51"/>
  <c r="EM184" i="51"/>
  <c r="EM263" i="51"/>
  <c r="EM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I101" i="51"/>
  <c r="EI108" i="51"/>
  <c r="EI111" i="51"/>
  <c r="EI120" i="51"/>
  <c r="EI131" i="51"/>
  <c r="EI136" i="51"/>
  <c r="EI139" i="51"/>
  <c r="EI145" i="51"/>
  <c r="EI152" i="51"/>
  <c r="EI155" i="51"/>
  <c r="EI157" i="51"/>
  <c r="EI159" i="51"/>
  <c r="EI163" i="51"/>
  <c r="EI167" i="51"/>
  <c r="EI169" i="51"/>
  <c r="EI172" i="51"/>
  <c r="EI174" i="51"/>
  <c r="EI178" i="51"/>
  <c r="EI184" i="51"/>
  <c r="EI263" i="51"/>
  <c r="EI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E101" i="51"/>
  <c r="EE108" i="51"/>
  <c r="EE111" i="51"/>
  <c r="EE120" i="51"/>
  <c r="EE131" i="51"/>
  <c r="EE136" i="51"/>
  <c r="EE139" i="51"/>
  <c r="EE145" i="51"/>
  <c r="EE152" i="51"/>
  <c r="EE155" i="51"/>
  <c r="EE157" i="51"/>
  <c r="EE159" i="51"/>
  <c r="EE163" i="51"/>
  <c r="EE167" i="51"/>
  <c r="EE169" i="51"/>
  <c r="EE172" i="51"/>
  <c r="EE174" i="51"/>
  <c r="EE178" i="51"/>
  <c r="EE184" i="51"/>
  <c r="EE263" i="51"/>
  <c r="EE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A101" i="51"/>
  <c r="EA108" i="51"/>
  <c r="EA111" i="51"/>
  <c r="EA120" i="51"/>
  <c r="EA131" i="51"/>
  <c r="EA136" i="51"/>
  <c r="EA139" i="51"/>
  <c r="EA145" i="51"/>
  <c r="EA152" i="51"/>
  <c r="EA155" i="51"/>
  <c r="EA157" i="51"/>
  <c r="EA159" i="51"/>
  <c r="EA163" i="51"/>
  <c r="EA167" i="51"/>
  <c r="EA169" i="51"/>
  <c r="EA172" i="51"/>
  <c r="EA174" i="51"/>
  <c r="EA178" i="51"/>
  <c r="EA184" i="51"/>
  <c r="EA263" i="51"/>
  <c r="EA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W101" i="51"/>
  <c r="DW108" i="51"/>
  <c r="DW111" i="51"/>
  <c r="DW120" i="51"/>
  <c r="DW131" i="51"/>
  <c r="DW136" i="51"/>
  <c r="DW139" i="51"/>
  <c r="DW145" i="51"/>
  <c r="DW152" i="51"/>
  <c r="DW155" i="51"/>
  <c r="DW157" i="51"/>
  <c r="DW159" i="51"/>
  <c r="DW163" i="51"/>
  <c r="DW167" i="51"/>
  <c r="DW169" i="51"/>
  <c r="DW172" i="51"/>
  <c r="DW174" i="51"/>
  <c r="DW178" i="51"/>
  <c r="DW184" i="51"/>
  <c r="DW263" i="51"/>
  <c r="DW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R101" i="51"/>
  <c r="DR108" i="51"/>
  <c r="DR111" i="51"/>
  <c r="DR120" i="51"/>
  <c r="DR131" i="51"/>
  <c r="DR136" i="51"/>
  <c r="DR139" i="51"/>
  <c r="DR145" i="51"/>
  <c r="DR152" i="51"/>
  <c r="DR155" i="51"/>
  <c r="DR157" i="51"/>
  <c r="DR159" i="51"/>
  <c r="DR163" i="51"/>
  <c r="DR167" i="51"/>
  <c r="DR169" i="51"/>
  <c r="DR172" i="51"/>
  <c r="DR174" i="51"/>
  <c r="DR178" i="51"/>
  <c r="DR184" i="51"/>
  <c r="DR263" i="51"/>
  <c r="DR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72" i="51"/>
  <c r="DO174" i="51"/>
  <c r="DO178" i="51"/>
  <c r="DO184" i="51"/>
  <c r="DO263" i="51"/>
  <c r="DO266" i="51"/>
  <c r="DM101" i="51"/>
  <c r="DM108" i="51"/>
  <c r="DM111" i="51"/>
  <c r="DM120" i="51"/>
  <c r="DM131" i="51"/>
  <c r="DM136" i="51"/>
  <c r="DM139" i="51"/>
  <c r="DM145" i="51"/>
  <c r="DM152" i="51"/>
  <c r="DM155" i="51"/>
  <c r="DM157" i="51"/>
  <c r="DM159" i="51"/>
  <c r="DM163" i="51"/>
  <c r="DM167" i="51"/>
  <c r="DM169" i="51"/>
  <c r="DM172" i="51"/>
  <c r="DM174" i="51"/>
  <c r="DM178" i="51"/>
  <c r="DM184" i="51"/>
  <c r="DM263" i="51"/>
  <c r="DM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GJ19" i="51"/>
  <c r="GJ27" i="51"/>
  <c r="GJ37" i="51"/>
  <c r="GJ42" i="51"/>
  <c r="GJ49" i="51"/>
  <c r="GJ54" i="51"/>
  <c r="GJ58" i="51"/>
  <c r="GJ64" i="51"/>
  <c r="GJ69" i="51"/>
  <c r="GJ74" i="51"/>
  <c r="GJ77" i="51"/>
  <c r="GJ79" i="51"/>
  <c r="GJ82" i="51"/>
  <c r="GJ86" i="51"/>
  <c r="GJ324" i="51"/>
  <c r="GJ330" i="51"/>
  <c r="GJ335" i="51"/>
  <c r="GJ340" i="51"/>
  <c r="GJ346" i="51"/>
  <c r="GJ350" i="51"/>
  <c r="GJ354" i="51"/>
  <c r="GJ360" i="51"/>
  <c r="GJ365" i="51"/>
  <c r="GJ370" i="51"/>
  <c r="GJ374" i="51"/>
  <c r="GJ381" i="51"/>
  <c r="GJ384" i="51"/>
  <c r="GJ404" i="51"/>
  <c r="GJ410"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E19" i="51"/>
  <c r="GE27" i="51"/>
  <c r="GE37" i="51"/>
  <c r="GE42" i="51"/>
  <c r="GE49" i="51"/>
  <c r="GE54" i="51"/>
  <c r="GE58" i="51"/>
  <c r="GE64" i="51"/>
  <c r="GE69" i="51"/>
  <c r="GE74" i="51"/>
  <c r="GE77" i="51"/>
  <c r="GE79" i="51"/>
  <c r="GE82" i="51"/>
  <c r="GE86" i="51"/>
  <c r="GE324" i="51"/>
  <c r="GE330" i="51"/>
  <c r="GE335" i="51"/>
  <c r="GE340" i="51"/>
  <c r="GE346" i="51"/>
  <c r="GE350" i="51"/>
  <c r="GE354" i="51"/>
  <c r="GE360" i="51"/>
  <c r="GE365" i="51"/>
  <c r="GE370" i="51"/>
  <c r="GE374" i="51"/>
  <c r="GE381" i="51"/>
  <c r="GE384" i="51"/>
  <c r="GE404" i="51"/>
  <c r="GE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FZ19" i="51"/>
  <c r="FZ27" i="51"/>
  <c r="FZ37" i="51"/>
  <c r="FZ42" i="51"/>
  <c r="FZ49" i="51"/>
  <c r="FZ54" i="51"/>
  <c r="FZ58" i="51"/>
  <c r="FZ64" i="51"/>
  <c r="FZ69" i="51"/>
  <c r="FZ74" i="51"/>
  <c r="FZ77" i="51"/>
  <c r="FZ79" i="51"/>
  <c r="FZ82" i="51"/>
  <c r="FZ86" i="51"/>
  <c r="FZ324" i="51"/>
  <c r="FZ330" i="51"/>
  <c r="FZ335" i="51"/>
  <c r="FZ340" i="51"/>
  <c r="FZ346" i="51"/>
  <c r="FZ350" i="51"/>
  <c r="FZ354" i="51"/>
  <c r="FZ360" i="51"/>
  <c r="FZ365" i="51"/>
  <c r="FZ370" i="51"/>
  <c r="FZ374" i="51"/>
  <c r="FZ381" i="51"/>
  <c r="FZ384" i="51"/>
  <c r="FZ404" i="51"/>
  <c r="FZ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U19" i="51"/>
  <c r="FU27" i="51"/>
  <c r="FU37" i="51"/>
  <c r="FU42" i="51"/>
  <c r="FU49" i="51"/>
  <c r="FU54" i="51"/>
  <c r="FU58" i="51"/>
  <c r="FU64" i="51"/>
  <c r="FU69" i="51"/>
  <c r="FU74" i="51"/>
  <c r="FU77" i="51"/>
  <c r="FU79" i="51"/>
  <c r="FU82" i="51"/>
  <c r="FU86" i="51"/>
  <c r="FU324" i="51"/>
  <c r="FU330" i="51"/>
  <c r="FU335" i="51"/>
  <c r="FU340" i="51"/>
  <c r="FU346" i="51"/>
  <c r="FU350" i="51"/>
  <c r="FU354" i="51"/>
  <c r="FU360" i="51"/>
  <c r="FU365" i="51"/>
  <c r="FU370" i="51"/>
  <c r="FU374" i="51"/>
  <c r="FU381" i="51"/>
  <c r="FU384" i="51"/>
  <c r="FU404" i="51"/>
  <c r="FU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P19" i="51"/>
  <c r="FP27" i="51"/>
  <c r="FP37" i="51"/>
  <c r="FP42" i="51"/>
  <c r="FP49" i="51"/>
  <c r="FP54" i="51"/>
  <c r="FP58" i="51"/>
  <c r="FP64" i="51"/>
  <c r="FP69" i="51"/>
  <c r="FP74" i="51"/>
  <c r="FP77" i="51"/>
  <c r="FP79" i="51"/>
  <c r="FP82" i="51"/>
  <c r="FP86" i="51"/>
  <c r="FP324" i="51"/>
  <c r="FP330" i="51"/>
  <c r="FP335" i="51"/>
  <c r="FP340" i="51"/>
  <c r="FP346" i="51"/>
  <c r="FP350" i="51"/>
  <c r="FP354" i="51"/>
  <c r="FP360" i="51"/>
  <c r="FP365" i="51"/>
  <c r="FP370" i="51"/>
  <c r="FP374" i="51"/>
  <c r="FP381" i="51"/>
  <c r="FP384" i="51"/>
  <c r="FP404" i="51"/>
  <c r="FP410" i="51"/>
  <c r="FO19" i="51"/>
  <c r="FO27" i="51"/>
  <c r="FO37" i="51"/>
  <c r="FO42" i="51"/>
  <c r="FO49" i="51"/>
  <c r="FO54" i="51"/>
  <c r="FO58"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49" i="51"/>
  <c r="FN54" i="51"/>
  <c r="FN58"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49" i="51"/>
  <c r="FM54" i="51"/>
  <c r="FM58" i="51"/>
  <c r="FM64" i="51"/>
  <c r="FM69" i="51"/>
  <c r="FM74" i="51"/>
  <c r="FM77" i="51"/>
  <c r="GV80" i="51"/>
  <c r="GV79" i="51" s="1"/>
  <c r="FM82" i="51"/>
  <c r="FM86" i="51"/>
  <c r="FM324" i="51"/>
  <c r="FM330" i="51"/>
  <c r="FM335" i="51"/>
  <c r="FM340" i="51"/>
  <c r="FM346" i="51"/>
  <c r="FM350" i="51"/>
  <c r="FM354" i="51"/>
  <c r="FM360" i="51"/>
  <c r="FM365" i="51"/>
  <c r="FM370" i="51"/>
  <c r="FM374" i="51"/>
  <c r="FM381" i="51"/>
  <c r="FM384" i="51"/>
  <c r="FM404" i="51"/>
  <c r="FM410" i="51"/>
  <c r="FK19" i="51"/>
  <c r="FK27" i="51"/>
  <c r="FK37" i="51"/>
  <c r="FK42" i="51"/>
  <c r="FK49" i="51"/>
  <c r="FK54" i="51"/>
  <c r="FK58" i="51"/>
  <c r="FK64" i="51"/>
  <c r="FK69" i="51"/>
  <c r="FK74" i="51"/>
  <c r="FK77" i="51"/>
  <c r="FK79" i="51"/>
  <c r="FK82" i="51"/>
  <c r="FK86" i="51"/>
  <c r="FK324" i="51"/>
  <c r="FK330" i="51"/>
  <c r="FK335" i="51"/>
  <c r="FK340" i="51"/>
  <c r="FK346" i="51"/>
  <c r="FK350" i="51"/>
  <c r="FK354" i="51"/>
  <c r="FK360" i="51"/>
  <c r="FK365" i="51"/>
  <c r="FK370" i="51"/>
  <c r="FK374" i="51"/>
  <c r="FK381" i="51"/>
  <c r="FK384" i="51"/>
  <c r="FK404" i="51"/>
  <c r="FK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79" i="51"/>
  <c r="FH82" i="51"/>
  <c r="FH86" i="51"/>
  <c r="FH164" i="51"/>
  <c r="FH163" i="51" s="1"/>
  <c r="FH324" i="51"/>
  <c r="FH330" i="51"/>
  <c r="FH335" i="51"/>
  <c r="FH340" i="51"/>
  <c r="FH346" i="51"/>
  <c r="FH350" i="51"/>
  <c r="FH354" i="51"/>
  <c r="FH360" i="51"/>
  <c r="FH365" i="51"/>
  <c r="FH370" i="51"/>
  <c r="FH374" i="51"/>
  <c r="FH381" i="51"/>
  <c r="FH384" i="51"/>
  <c r="FH404" i="51"/>
  <c r="FH410" i="51"/>
  <c r="FF19" i="51"/>
  <c r="FF27" i="51"/>
  <c r="FF37" i="51"/>
  <c r="FF42" i="51"/>
  <c r="FF49" i="51"/>
  <c r="FF54" i="51"/>
  <c r="FF58" i="51"/>
  <c r="FF64" i="51"/>
  <c r="FF69" i="51"/>
  <c r="FF74" i="51"/>
  <c r="FF77" i="51"/>
  <c r="FF79" i="51"/>
  <c r="FF82" i="51"/>
  <c r="FF86" i="51"/>
  <c r="FF97" i="51"/>
  <c r="FF269" i="51"/>
  <c r="FF271" i="51"/>
  <c r="FF275" i="51"/>
  <c r="FF279" i="51"/>
  <c r="FF282" i="51"/>
  <c r="FF285" i="51"/>
  <c r="FF288" i="51"/>
  <c r="FF290" i="51"/>
  <c r="FF292" i="51"/>
  <c r="FF295" i="51"/>
  <c r="FF294" i="51" s="1"/>
  <c r="FF301" i="51"/>
  <c r="FF304" i="51"/>
  <c r="FF306" i="51"/>
  <c r="FF308" i="51"/>
  <c r="FF313" i="51"/>
  <c r="FF317" i="51"/>
  <c r="FF320" i="51"/>
  <c r="FF319" i="51" s="1"/>
  <c r="FF324" i="51"/>
  <c r="FF330" i="51"/>
  <c r="FF335" i="51"/>
  <c r="FF340" i="51"/>
  <c r="FF346" i="51"/>
  <c r="FF350" i="51"/>
  <c r="FF354" i="51"/>
  <c r="FF360" i="51"/>
  <c r="FF365" i="51"/>
  <c r="FF370" i="51"/>
  <c r="FF374" i="51"/>
  <c r="FF381" i="51"/>
  <c r="FF384" i="51"/>
  <c r="FF404" i="51"/>
  <c r="FF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101" i="51"/>
  <c r="FD108" i="51"/>
  <c r="FD111" i="51"/>
  <c r="FD120" i="51"/>
  <c r="FD131" i="51"/>
  <c r="FD136" i="51"/>
  <c r="FD139" i="51"/>
  <c r="FD145" i="51"/>
  <c r="FD152" i="51"/>
  <c r="FD155" i="51"/>
  <c r="FD157" i="51"/>
  <c r="FD159" i="51"/>
  <c r="FD163" i="51"/>
  <c r="FD167" i="51"/>
  <c r="FD169" i="51"/>
  <c r="FD172" i="51"/>
  <c r="FD174" i="51"/>
  <c r="FD178" i="51"/>
  <c r="FD184" i="5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D263" i="51"/>
  <c r="FD266"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GO19" i="51"/>
  <c r="GO27" i="51"/>
  <c r="GO37" i="51"/>
  <c r="GO42" i="51"/>
  <c r="GO49" i="51"/>
  <c r="GO54" i="51"/>
  <c r="GO58" i="51"/>
  <c r="GO64" i="51"/>
  <c r="GO69" i="51"/>
  <c r="GO74" i="51"/>
  <c r="GO77" i="51"/>
  <c r="GO79" i="51"/>
  <c r="GO82" i="51"/>
  <c r="GO86" i="51"/>
  <c r="GO324" i="51"/>
  <c r="GO330" i="51"/>
  <c r="GO335" i="51"/>
  <c r="GO340" i="51"/>
  <c r="GO346" i="51"/>
  <c r="GO350" i="51"/>
  <c r="GO354" i="51"/>
  <c r="GO360" i="51"/>
  <c r="GO365" i="51"/>
  <c r="GO370" i="51"/>
  <c r="GO374" i="51"/>
  <c r="GO381" i="51"/>
  <c r="GO384" i="51"/>
  <c r="GO404" i="51"/>
  <c r="GO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Y13" i="51"/>
  <c r="GY14" i="51"/>
  <c r="GY15" i="51"/>
  <c r="GY16" i="51"/>
  <c r="GY17" i="51"/>
  <c r="GY18" i="51"/>
  <c r="GY20" i="51"/>
  <c r="GY21" i="51"/>
  <c r="GY22" i="51"/>
  <c r="GY23" i="51"/>
  <c r="GY24" i="51"/>
  <c r="GY25" i="51"/>
  <c r="GY26" i="51"/>
  <c r="GY28" i="51"/>
  <c r="GY29" i="51"/>
  <c r="GY30" i="51"/>
  <c r="GY31" i="51"/>
  <c r="GY32" i="51"/>
  <c r="GY33" i="51"/>
  <c r="GY34" i="51"/>
  <c r="GX13" i="51"/>
  <c r="GX14" i="51"/>
  <c r="GX15" i="51"/>
  <c r="GX16" i="51"/>
  <c r="GX17" i="51"/>
  <c r="GX18" i="51"/>
  <c r="GX20" i="51"/>
  <c r="GX21" i="51"/>
  <c r="GX22" i="51"/>
  <c r="GX23" i="51"/>
  <c r="GX24" i="51"/>
  <c r="GX25" i="51"/>
  <c r="GX26" i="51"/>
  <c r="GX28" i="51"/>
  <c r="GX29" i="51"/>
  <c r="GX30" i="51"/>
  <c r="GX31" i="51"/>
  <c r="GX32" i="51"/>
  <c r="GX33" i="51"/>
  <c r="GX34"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366" i="51"/>
  <c r="GX367" i="51"/>
  <c r="GX368" i="51"/>
  <c r="GX369" i="51"/>
  <c r="GX371" i="51"/>
  <c r="GX372" i="51"/>
  <c r="GX375" i="51"/>
  <c r="GX376" i="51"/>
  <c r="GX377" i="51"/>
  <c r="GX378" i="51"/>
  <c r="GX379" i="51"/>
  <c r="GX380" i="51"/>
  <c r="GX382" i="51"/>
  <c r="GX381" i="51" s="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9" i="51"/>
  <c r="GX420"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3" i="51"/>
  <c r="GW84" i="51"/>
  <c r="GW85" i="51"/>
  <c r="GW325" i="51"/>
  <c r="GW326" i="51"/>
  <c r="GW327" i="51"/>
  <c r="GW328" i="51"/>
  <c r="GW329" i="51"/>
  <c r="GW331" i="51"/>
  <c r="GW332" i="51"/>
  <c r="GW333" i="51"/>
  <c r="GW334" i="51"/>
  <c r="GW336" i="51"/>
  <c r="GW337" i="51"/>
  <c r="GW338" i="51"/>
  <c r="GW341" i="51"/>
  <c r="GW342" i="51"/>
  <c r="GW343" i="51"/>
  <c r="GW344" i="51"/>
  <c r="GW345" i="51"/>
  <c r="GW347" i="51"/>
  <c r="GW348" i="51"/>
  <c r="GW349" i="51"/>
  <c r="GW351" i="51"/>
  <c r="GW352" i="51"/>
  <c r="GW355" i="51"/>
  <c r="GW356" i="51"/>
  <c r="GW357" i="51"/>
  <c r="GW358" i="51"/>
  <c r="GW359" i="51"/>
  <c r="GW361" i="51"/>
  <c r="GW362" i="51"/>
  <c r="GW366" i="51"/>
  <c r="GW367" i="51"/>
  <c r="GW368" i="51"/>
  <c r="GW369" i="51"/>
  <c r="GW371"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366" i="5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3" i="51"/>
  <c r="GV414" i="51"/>
  <c r="GV415" i="51"/>
  <c r="GV416" i="51"/>
  <c r="GV417" i="51"/>
  <c r="GV418" i="51"/>
  <c r="GV419" i="51"/>
  <c r="GV420" i="51"/>
  <c r="AN351" i="51"/>
  <c r="BP351" i="51" s="1"/>
  <c r="BN351" i="51"/>
  <c r="S90" i="51"/>
  <c r="V90" i="51"/>
  <c r="S89" i="51"/>
  <c r="V89" i="51"/>
  <c r="S87" i="51"/>
  <c r="Z23" i="51"/>
  <c r="BP391" i="51"/>
  <c r="BM391" i="51"/>
  <c r="BP387" i="51"/>
  <c r="BM387" i="51"/>
  <c r="N183" i="51"/>
  <c r="S83" i="51"/>
  <c r="V83" i="5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80" i="51"/>
  <c r="GU79" i="51" s="1"/>
  <c r="GU83" i="51"/>
  <c r="GU84" i="51"/>
  <c r="GU85" i="51"/>
  <c r="GU13" i="51"/>
  <c r="GU14" i="51"/>
  <c r="GU15" i="51"/>
  <c r="GU16" i="51"/>
  <c r="GU17" i="51"/>
  <c r="GU18" i="51"/>
  <c r="GU20" i="51"/>
  <c r="GU22" i="51"/>
  <c r="GU23" i="51"/>
  <c r="GU24" i="51"/>
  <c r="GU25" i="51"/>
  <c r="GU26" i="51"/>
  <c r="GU28" i="51"/>
  <c r="GU29" i="51"/>
  <c r="GU30" i="51"/>
  <c r="GU31" i="51"/>
  <c r="GU32" i="51"/>
  <c r="GU33" i="51"/>
  <c r="GU34" i="51"/>
  <c r="GT365" i="51"/>
  <c r="GT370" i="51"/>
  <c r="GT374" i="51"/>
  <c r="GT381" i="51"/>
  <c r="GT384" i="51"/>
  <c r="GT404" i="51"/>
  <c r="GT410" i="51"/>
  <c r="GT324" i="51"/>
  <c r="GT330" i="51"/>
  <c r="GT335" i="51"/>
  <c r="GT340" i="51"/>
  <c r="GT346" i="51"/>
  <c r="GT350" i="51"/>
  <c r="GT354" i="51"/>
  <c r="GT360" i="51"/>
  <c r="GT37" i="51"/>
  <c r="GT42" i="51"/>
  <c r="GT49" i="51"/>
  <c r="GT54" i="51"/>
  <c r="GT58" i="51"/>
  <c r="GT64" i="51"/>
  <c r="GT69" i="51"/>
  <c r="GT74" i="51"/>
  <c r="GT77" i="51"/>
  <c r="GT79" i="51"/>
  <c r="GT82" i="51"/>
  <c r="GT86" i="51"/>
  <c r="GT12" i="51"/>
  <c r="GT19" i="51"/>
  <c r="GT27"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4" i="51"/>
  <c r="FG306" i="51"/>
  <c r="FG308" i="51"/>
  <c r="FG313" i="51"/>
  <c r="FG317" i="51"/>
  <c r="FG320" i="51"/>
  <c r="FG319" i="51" s="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s="1"/>
  <c r="FB320" i="51"/>
  <c r="FB319" i="51" s="1"/>
  <c r="FA320" i="51"/>
  <c r="FA319" i="51" s="1"/>
  <c r="FB317" i="51"/>
  <c r="FA317" i="51"/>
  <c r="FB313" i="51"/>
  <c r="FA313" i="51"/>
  <c r="FB308" i="51"/>
  <c r="FA308" i="51"/>
  <c r="FB306" i="51"/>
  <c r="FA306" i="51"/>
  <c r="FB304" i="51"/>
  <c r="FA304" i="51"/>
  <c r="FB301" i="51"/>
  <c r="FA301" i="51"/>
  <c r="FB295" i="51"/>
  <c r="FB294" i="51" s="1"/>
  <c r="FA295" i="51"/>
  <c r="FA294" i="51" s="1"/>
  <c r="FB292" i="51"/>
  <c r="FA292" i="51"/>
  <c r="FB290" i="51"/>
  <c r="FA290" i="51"/>
  <c r="FB288" i="51"/>
  <c r="FA288" i="51"/>
  <c r="FB285" i="51"/>
  <c r="FA285" i="51"/>
  <c r="FA282" i="51"/>
  <c r="FB282" i="51"/>
  <c r="FB279" i="51"/>
  <c r="FA279" i="51"/>
  <c r="FB275" i="51"/>
  <c r="FA275" i="51"/>
  <c r="FB271" i="51"/>
  <c r="FA271" i="51"/>
  <c r="FB269" i="51"/>
  <c r="FA269" i="51"/>
  <c r="FB266" i="51"/>
  <c r="FB263" i="51"/>
  <c r="FB258" i="51"/>
  <c r="FB257" i="51" s="1"/>
  <c r="FB254" i="51"/>
  <c r="FB251" i="51"/>
  <c r="FB247" i="51"/>
  <c r="FB241" i="51"/>
  <c r="FB245" i="51"/>
  <c r="FB238" i="51"/>
  <c r="FB236" i="51"/>
  <c r="FB234" i="51"/>
  <c r="FB229" i="51"/>
  <c r="FB226" i="51"/>
  <c r="FB221" i="51"/>
  <c r="FB217" i="51"/>
  <c r="FB214" i="51"/>
  <c r="FB211" i="51"/>
  <c r="FB205" i="51"/>
  <c r="FB201" i="51"/>
  <c r="FB197" i="51"/>
  <c r="FB192" i="51"/>
  <c r="FB189" i="51"/>
  <c r="FB184" i="51"/>
  <c r="FB178" i="51"/>
  <c r="FB174" i="51"/>
  <c r="FB172" i="51"/>
  <c r="FB169" i="51"/>
  <c r="FB167" i="51"/>
  <c r="FB163" i="51"/>
  <c r="FB159" i="51"/>
  <c r="FB157" i="51"/>
  <c r="FB155" i="51"/>
  <c r="FB152" i="51"/>
  <c r="FB145" i="51"/>
  <c r="FB139" i="51"/>
  <c r="FB111" i="51"/>
  <c r="FB120" i="51"/>
  <c r="FB131" i="51"/>
  <c r="FB136" i="51"/>
  <c r="FB97" i="51"/>
  <c r="FB101" i="51"/>
  <c r="FB108" i="51"/>
  <c r="FA97" i="51"/>
  <c r="FB82" i="51"/>
  <c r="FA87" i="51"/>
  <c r="FA90" i="51"/>
  <c r="FB74" i="51"/>
  <c r="FB77" i="51"/>
  <c r="FB79" i="51"/>
  <c r="FA74" i="51"/>
  <c r="FA77" i="51"/>
  <c r="FA79" i="51"/>
  <c r="FB37" i="51"/>
  <c r="FB42" i="51"/>
  <c r="FB49" i="51"/>
  <c r="FB54" i="51"/>
  <c r="FB58" i="51"/>
  <c r="FB64" i="51"/>
  <c r="FB69" i="51"/>
  <c r="FA37" i="51"/>
  <c r="FA43" i="51"/>
  <c r="FA42" i="51" s="1"/>
  <c r="FA49" i="51"/>
  <c r="FA54" i="51"/>
  <c r="FA58" i="51"/>
  <c r="FA64" i="51"/>
  <c r="FA69"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X379"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s="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L373" i="51" s="1"/>
  <c r="BJ374" i="51"/>
  <c r="BH374" i="51"/>
  <c r="BH373" i="51" s="1"/>
  <c r="BG374" i="51"/>
  <c r="BG373" i="51" s="1"/>
  <c r="BF374" i="51"/>
  <c r="BF373" i="51" s="1"/>
  <c r="BD374" i="51"/>
  <c r="BC374" i="51"/>
  <c r="BB374" i="51"/>
  <c r="AZ374" i="51"/>
  <c r="AZ373" i="51" s="1"/>
  <c r="AY374" i="51"/>
  <c r="AY373" i="51" s="1"/>
  <c r="AX374" i="51"/>
  <c r="AX373" i="51" s="1"/>
  <c r="AV374" i="51"/>
  <c r="AT374" i="51"/>
  <c r="AR374" i="51"/>
  <c r="AQ374" i="51"/>
  <c r="AP374" i="51"/>
  <c r="AN374" i="51"/>
  <c r="AM374" i="51"/>
  <c r="AL374" i="51"/>
  <c r="AL373" i="51" s="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L353" i="51" s="1"/>
  <c r="BK354" i="51"/>
  <c r="BK353" i="51" s="1"/>
  <c r="BJ354" i="51"/>
  <c r="BJ353" i="51" s="1"/>
  <c r="BI354" i="51"/>
  <c r="BI353" i="51" s="1"/>
  <c r="BH354" i="51"/>
  <c r="BH353" i="51" s="1"/>
  <c r="BG354" i="51"/>
  <c r="BG353" i="51" s="1"/>
  <c r="BF354" i="51"/>
  <c r="BF353" i="51" s="1"/>
  <c r="BE354" i="51"/>
  <c r="BE353" i="51" s="1"/>
  <c r="BD354" i="51"/>
  <c r="BD353" i="51" s="1"/>
  <c r="BC354" i="51"/>
  <c r="BC353" i="51" s="1"/>
  <c r="BB354" i="51"/>
  <c r="BB353" i="51" s="1"/>
  <c r="BA354" i="51"/>
  <c r="AZ354" i="51"/>
  <c r="AY354" i="51"/>
  <c r="AX354" i="51"/>
  <c r="AW354" i="51"/>
  <c r="AW353" i="51" s="1"/>
  <c r="AV354" i="51"/>
  <c r="AV353" i="51" s="1"/>
  <c r="AU354" i="51"/>
  <c r="AT354" i="51"/>
  <c r="AT353" i="51" s="1"/>
  <c r="AS354" i="51"/>
  <c r="AS353" i="51" s="1"/>
  <c r="AR354" i="51"/>
  <c r="AR353" i="51" s="1"/>
  <c r="AQ354" i="51"/>
  <c r="AP354" i="51"/>
  <c r="AP353" i="51" s="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I339" i="51" s="1"/>
  <c r="BG340" i="51"/>
  <c r="BF340" i="51"/>
  <c r="BE340" i="51"/>
  <c r="BC340" i="51"/>
  <c r="BA340" i="51"/>
  <c r="AY340" i="51"/>
  <c r="AX340" i="51"/>
  <c r="AX339" i="51" s="1"/>
  <c r="AW340"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s="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K313" i="51"/>
  <c r="BK312" i="51" s="1"/>
  <c r="BJ313" i="51"/>
  <c r="BJ312" i="51" s="1"/>
  <c r="BI313" i="51"/>
  <c r="BI312" i="51" s="1"/>
  <c r="BH313" i="51"/>
  <c r="BG313" i="51"/>
  <c r="BG312" i="51" s="1"/>
  <c r="BF313" i="51"/>
  <c r="BF312" i="51" s="1"/>
  <c r="BE313" i="51"/>
  <c r="BE312" i="51" s="1"/>
  <c r="BD313" i="51"/>
  <c r="BC313" i="51"/>
  <c r="BC312" i="51" s="1"/>
  <c r="BB313" i="51"/>
  <c r="BB312" i="51" s="1"/>
  <c r="BA313" i="51"/>
  <c r="BA312" i="51" s="1"/>
  <c r="AZ313" i="51"/>
  <c r="AZ312" i="51" s="1"/>
  <c r="AY313" i="51"/>
  <c r="AY312" i="51" s="1"/>
  <c r="AX313" i="51"/>
  <c r="AX312" i="51" s="1"/>
  <c r="AW313" i="51"/>
  <c r="AW312" i="51" s="1"/>
  <c r="AV313" i="51"/>
  <c r="AV312" i="51" s="1"/>
  <c r="AU313" i="51"/>
  <c r="AT313" i="51"/>
  <c r="AT312" i="51" s="1"/>
  <c r="AS313" i="51"/>
  <c r="AS312" i="51" s="1"/>
  <c r="AR313" i="51"/>
  <c r="AQ313" i="51"/>
  <c r="AP313" i="51"/>
  <c r="AP312" i="51" s="1"/>
  <c r="AO313" i="51"/>
  <c r="AO312" i="51" s="1"/>
  <c r="AN313" i="51"/>
  <c r="AN312" i="51" s="1"/>
  <c r="AM313" i="51"/>
  <c r="AM312" i="51" s="1"/>
  <c r="AL313" i="51"/>
  <c r="AK313" i="51"/>
  <c r="AK312" i="51" s="1"/>
  <c r="AJ313" i="51"/>
  <c r="AI313" i="51"/>
  <c r="AI312" i="51" s="1"/>
  <c r="AH313" i="51"/>
  <c r="AH312" i="51" s="1"/>
  <c r="AG313" i="51"/>
  <c r="AG312" i="51" s="1"/>
  <c r="AF313" i="51"/>
  <c r="AE313" i="51"/>
  <c r="AE312" i="51" s="1"/>
  <c r="AD313" i="51"/>
  <c r="AD312" i="51" s="1"/>
  <c r="AC313" i="51"/>
  <c r="AC312" i="51" s="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s="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J295" i="51"/>
  <c r="AJ294" i="51" s="1"/>
  <c r="AI295" i="51"/>
  <c r="AI294" i="51" s="1"/>
  <c r="AH295" i="51"/>
  <c r="AH294" i="51" s="1"/>
  <c r="AG295" i="51"/>
  <c r="AG294" i="51" s="1"/>
  <c r="AF295" i="51"/>
  <c r="AF294" i="51" s="1"/>
  <c r="AE295" i="51"/>
  <c r="AE294" i="51" s="1"/>
  <c r="AD295" i="51"/>
  <c r="AD294" i="51" s="1"/>
  <c r="AC295" i="51"/>
  <c r="AC294" i="51" s="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s="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L177" i="51" s="1"/>
  <c r="BK178" i="51"/>
  <c r="BK177" i="51" s="1"/>
  <c r="BJ178" i="51"/>
  <c r="BJ177" i="51" s="1"/>
  <c r="BI178" i="51"/>
  <c r="BI177" i="51" s="1"/>
  <c r="BH178" i="51"/>
  <c r="BH177" i="51" s="1"/>
  <c r="BG178" i="51"/>
  <c r="BG177" i="51" s="1"/>
  <c r="BF178" i="51"/>
  <c r="BF177" i="51" s="1"/>
  <c r="BE178" i="51"/>
  <c r="BE177" i="51" s="1"/>
  <c r="BD178" i="51"/>
  <c r="BD177" i="51" s="1"/>
  <c r="BC178" i="51"/>
  <c r="BC177" i="51" s="1"/>
  <c r="BB178" i="51"/>
  <c r="BB177" i="51" s="1"/>
  <c r="BA178" i="51"/>
  <c r="AZ178" i="51"/>
  <c r="AZ177" i="51" s="1"/>
  <c r="AY178" i="51"/>
  <c r="AY177" i="51" s="1"/>
  <c r="AX178" i="51"/>
  <c r="AX177" i="51" s="1"/>
  <c r="AW178" i="51"/>
  <c r="AV178" i="51"/>
  <c r="AV177" i="51" s="1"/>
  <c r="AU178" i="51"/>
  <c r="AU177" i="51" s="1"/>
  <c r="AT178" i="51"/>
  <c r="AT177" i="51" s="1"/>
  <c r="AS178" i="51"/>
  <c r="AR178" i="51"/>
  <c r="AQ178" i="51"/>
  <c r="AQ177" i="51" s="1"/>
  <c r="AP178" i="51"/>
  <c r="AP177" i="51" s="1"/>
  <c r="AO178" i="51"/>
  <c r="AN178" i="51"/>
  <c r="AM178" i="51"/>
  <c r="AM177" i="51" s="1"/>
  <c r="AL178" i="51"/>
  <c r="AL177" i="51" s="1"/>
  <c r="AK178" i="51"/>
  <c r="AK177" i="51" s="1"/>
  <c r="AJ178" i="51"/>
  <c r="AI178" i="51"/>
  <c r="AI177" i="51" s="1"/>
  <c r="AH178" i="51"/>
  <c r="AH177" i="51" s="1"/>
  <c r="AG178" i="51"/>
  <c r="AG177" i="51" s="1"/>
  <c r="AF178" i="51"/>
  <c r="AE178" i="51"/>
  <c r="AE177" i="51" s="1"/>
  <c r="AD178" i="51"/>
  <c r="AD177" i="51" s="1"/>
  <c r="AC178" i="51"/>
  <c r="AC177" i="51" s="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s="1"/>
  <c r="AL172" i="51"/>
  <c r="AK172" i="51"/>
  <c r="AK171" i="51" s="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H138" i="51" s="1"/>
  <c r="BG139" i="51"/>
  <c r="BG138" i="51" s="1"/>
  <c r="BF139" i="51"/>
  <c r="BF138" i="51" s="1"/>
  <c r="BE139" i="51"/>
  <c r="BD139" i="51"/>
  <c r="BD138" i="51" s="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I97" i="51"/>
  <c r="AI96" i="51" s="1"/>
  <c r="AH97" i="51"/>
  <c r="AH96" i="51" s="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F81" i="51" s="1"/>
  <c r="AE82" i="51"/>
  <c r="AE81" i="51" s="1"/>
  <c r="AD82" i="51"/>
  <c r="AC82" i="51"/>
  <c r="AC81" i="51" s="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R410" i="51"/>
  <c r="EQ410" i="51"/>
  <c r="EP410" i="51"/>
  <c r="EO410" i="51"/>
  <c r="EM410" i="51"/>
  <c r="EL410" i="51"/>
  <c r="EK410" i="51"/>
  <c r="EI410" i="51"/>
  <c r="EH410" i="51"/>
  <c r="EG410" i="51"/>
  <c r="EE410" i="51"/>
  <c r="ED410" i="51"/>
  <c r="EC410" i="51"/>
  <c r="EA410" i="51"/>
  <c r="DZ410" i="51"/>
  <c r="DY410" i="51"/>
  <c r="DW410" i="51"/>
  <c r="DV410" i="51"/>
  <c r="DU410" i="51"/>
  <c r="DT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R404" i="51"/>
  <c r="EQ404" i="51"/>
  <c r="EP404" i="51"/>
  <c r="EO404" i="51"/>
  <c r="EM404" i="51"/>
  <c r="EL404" i="51"/>
  <c r="EK404" i="51"/>
  <c r="EI404" i="51"/>
  <c r="EH404" i="51"/>
  <c r="EG404" i="51"/>
  <c r="EE404" i="51"/>
  <c r="ED404" i="51"/>
  <c r="EC404" i="51"/>
  <c r="EA404" i="51"/>
  <c r="DZ404" i="51"/>
  <c r="DY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R384" i="51"/>
  <c r="EQ384" i="51"/>
  <c r="EP384" i="51"/>
  <c r="EO384" i="51"/>
  <c r="EM384" i="51"/>
  <c r="EL384" i="51"/>
  <c r="EK384" i="51"/>
  <c r="EI384" i="51"/>
  <c r="EH384" i="51"/>
  <c r="EG384" i="51"/>
  <c r="EE384" i="51"/>
  <c r="ED384" i="51"/>
  <c r="EC384" i="51"/>
  <c r="EA384" i="51"/>
  <c r="DZ384" i="51"/>
  <c r="DY384" i="51"/>
  <c r="DW384" i="51"/>
  <c r="DW365" i="51"/>
  <c r="DW370" i="51"/>
  <c r="DW374" i="51"/>
  <c r="DW381" i="51"/>
  <c r="DU384" i="51"/>
  <c r="DT384" i="51"/>
  <c r="DR384" i="51"/>
  <c r="DQ384" i="51"/>
  <c r="DP384" i="51"/>
  <c r="DO384" i="51"/>
  <c r="DN384" i="51"/>
  <c r="DM384" i="51"/>
  <c r="DL384" i="51"/>
  <c r="DK384" i="51"/>
  <c r="DJ384" i="51"/>
  <c r="DI384" i="51"/>
  <c r="DD384" i="51"/>
  <c r="DC384" i="51"/>
  <c r="CZ384" i="51"/>
  <c r="CY384" i="51"/>
  <c r="CX384" i="51"/>
  <c r="CW384" i="51"/>
  <c r="CV384" i="51"/>
  <c r="CU384" i="51"/>
  <c r="CT384" i="51"/>
  <c r="CS384" i="51"/>
  <c r="CR384" i="51"/>
  <c r="CQ384" i="51"/>
  <c r="CP384" i="51"/>
  <c r="CO384" i="51"/>
  <c r="CN384" i="51"/>
  <c r="CM384" i="51"/>
  <c r="CJ384" i="51"/>
  <c r="CI384" i="51"/>
  <c r="CH384" i="51"/>
  <c r="CG384" i="51"/>
  <c r="CF384" i="51"/>
  <c r="CE384" i="51"/>
  <c r="CD384" i="51"/>
  <c r="CC384" i="51"/>
  <c r="CB384" i="51"/>
  <c r="CA384" i="51"/>
  <c r="BZ384" i="51"/>
  <c r="BY384" i="51"/>
  <c r="BX384" i="51"/>
  <c r="BW384" i="51"/>
  <c r="BV384" i="51"/>
  <c r="BU384" i="51"/>
  <c r="BT384" i="51"/>
  <c r="BS384" i="51"/>
  <c r="BR384" i="51"/>
  <c r="BQ384" i="51"/>
  <c r="ER381" i="51"/>
  <c r="EQ381" i="51"/>
  <c r="EP381" i="51"/>
  <c r="EO381" i="51"/>
  <c r="EM381" i="51"/>
  <c r="EL381" i="51"/>
  <c r="EK381" i="51"/>
  <c r="EI381" i="51"/>
  <c r="EH381" i="51"/>
  <c r="EG381" i="51"/>
  <c r="EE381" i="51"/>
  <c r="ED381" i="51"/>
  <c r="EC381" i="51"/>
  <c r="EA381" i="51"/>
  <c r="DZ381" i="51"/>
  <c r="DY381" i="51"/>
  <c r="DU381" i="51"/>
  <c r="DT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R374" i="51"/>
  <c r="ER373" i="51" s="1"/>
  <c r="EQ374" i="51"/>
  <c r="EQ373" i="51" s="1"/>
  <c r="EP374" i="51"/>
  <c r="EP373" i="51" s="1"/>
  <c r="EO374" i="51"/>
  <c r="EM374" i="51"/>
  <c r="EM373" i="51" s="1"/>
  <c r="EL374" i="51"/>
  <c r="EL373" i="51" s="1"/>
  <c r="EK374" i="51"/>
  <c r="EK373" i="51" s="1"/>
  <c r="EI374" i="51"/>
  <c r="EH374" i="51"/>
  <c r="EH373" i="51" s="1"/>
  <c r="EG374" i="51"/>
  <c r="EG373" i="51" s="1"/>
  <c r="EE374" i="51"/>
  <c r="ED374" i="51"/>
  <c r="ED373" i="51" s="1"/>
  <c r="EC374" i="51"/>
  <c r="EC373" i="51" s="1"/>
  <c r="EA374" i="51"/>
  <c r="EA373" i="51" s="1"/>
  <c r="DZ374" i="51"/>
  <c r="DZ373" i="51" s="1"/>
  <c r="DY374" i="51"/>
  <c r="DY373" i="51" s="1"/>
  <c r="DU374" i="51"/>
  <c r="DU373" i="51" s="1"/>
  <c r="DT374" i="51"/>
  <c r="DT373" i="51" s="1"/>
  <c r="DR374" i="51"/>
  <c r="DR373" i="51" s="1"/>
  <c r="DQ374" i="51"/>
  <c r="DQ373" i="51" s="1"/>
  <c r="DP374" i="51"/>
  <c r="DP373" i="51" s="1"/>
  <c r="DO374" i="51"/>
  <c r="DO373" i="51" s="1"/>
  <c r="DN374" i="51"/>
  <c r="DN373" i="51" s="1"/>
  <c r="DM374" i="51"/>
  <c r="DM373" i="51" s="1"/>
  <c r="DL374" i="51"/>
  <c r="DL373" i="51" s="1"/>
  <c r="DK374" i="51"/>
  <c r="DK373" i="51" s="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R370" i="51"/>
  <c r="EQ370" i="51"/>
  <c r="EP370" i="51"/>
  <c r="EO370" i="51"/>
  <c r="EM370" i="51"/>
  <c r="EL370" i="51"/>
  <c r="EK370" i="51"/>
  <c r="EI370" i="51"/>
  <c r="EH370" i="51"/>
  <c r="EG370" i="51"/>
  <c r="EE370" i="51"/>
  <c r="ED370" i="51"/>
  <c r="EC370" i="51"/>
  <c r="EA370" i="51"/>
  <c r="DZ370" i="51"/>
  <c r="DY370" i="51"/>
  <c r="DU370" i="51"/>
  <c r="DT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R364" i="51" s="1"/>
  <c r="EQ365" i="51"/>
  <c r="EP365" i="51"/>
  <c r="EP364" i="51" s="1"/>
  <c r="EO365" i="51"/>
  <c r="EO364" i="51" s="1"/>
  <c r="EN365" i="51"/>
  <c r="EM365" i="51"/>
  <c r="EL365" i="51"/>
  <c r="EK365" i="51"/>
  <c r="EJ365" i="51"/>
  <c r="EI365" i="51"/>
  <c r="EH365" i="51"/>
  <c r="EG365" i="51"/>
  <c r="EF365" i="51"/>
  <c r="EE365" i="51"/>
  <c r="ED365" i="51"/>
  <c r="EC365" i="51"/>
  <c r="EB365" i="51"/>
  <c r="EA365" i="51"/>
  <c r="EA364" i="51" s="1"/>
  <c r="DZ365" i="51"/>
  <c r="DZ364" i="51" s="1"/>
  <c r="DY365" i="51"/>
  <c r="DY364" i="51" s="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R360" i="51"/>
  <c r="EQ360" i="51"/>
  <c r="EP360" i="51"/>
  <c r="EO360" i="51"/>
  <c r="EM360" i="51"/>
  <c r="EL360" i="51"/>
  <c r="EK360" i="51"/>
  <c r="EI360" i="51"/>
  <c r="EH360" i="51"/>
  <c r="EG360" i="51"/>
  <c r="EE360" i="51"/>
  <c r="ED360" i="51"/>
  <c r="EC360" i="51"/>
  <c r="EA360" i="51"/>
  <c r="DZ360" i="51"/>
  <c r="DY360" i="51"/>
  <c r="DW360" i="51"/>
  <c r="DV360" i="51"/>
  <c r="DU360" i="51"/>
  <c r="DT360" i="51"/>
  <c r="DR360" i="51"/>
  <c r="DQ360" i="51"/>
  <c r="DP360" i="51"/>
  <c r="DO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R354" i="51"/>
  <c r="EQ354" i="51"/>
  <c r="EP354" i="51"/>
  <c r="EO354" i="51"/>
  <c r="EM354" i="51"/>
  <c r="EL354" i="51"/>
  <c r="EK354" i="51"/>
  <c r="EI354" i="51"/>
  <c r="EH354" i="51"/>
  <c r="EG354" i="51"/>
  <c r="EE354" i="51"/>
  <c r="ED354" i="51"/>
  <c r="EC354" i="51"/>
  <c r="EA354" i="51"/>
  <c r="DZ354" i="51"/>
  <c r="DY354" i="51"/>
  <c r="DW354" i="51"/>
  <c r="DV354" i="51"/>
  <c r="DU354" i="51"/>
  <c r="DT354" i="51"/>
  <c r="DR354" i="51"/>
  <c r="DQ354" i="51"/>
  <c r="DP354" i="51"/>
  <c r="DO354" i="51"/>
  <c r="DM354" i="51"/>
  <c r="DL354" i="51"/>
  <c r="DK354" i="51"/>
  <c r="DJ354" i="51"/>
  <c r="DI354" i="51"/>
  <c r="DD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ER350" i="51"/>
  <c r="EQ350" i="51"/>
  <c r="EP350" i="51"/>
  <c r="EO350" i="51"/>
  <c r="EM350" i="51"/>
  <c r="EL350" i="51"/>
  <c r="EK350" i="51"/>
  <c r="EI350" i="51"/>
  <c r="EH350" i="51"/>
  <c r="EG350" i="51"/>
  <c r="EE350" i="51"/>
  <c r="ED350" i="51"/>
  <c r="EC350" i="51"/>
  <c r="EA350" i="51"/>
  <c r="DZ350" i="51"/>
  <c r="DY350" i="51"/>
  <c r="DW350" i="51"/>
  <c r="DV350" i="51"/>
  <c r="DU350" i="51"/>
  <c r="DT350" i="51"/>
  <c r="DR350" i="51"/>
  <c r="DQ350" i="51"/>
  <c r="DP350" i="51"/>
  <c r="DO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R346" i="51"/>
  <c r="EQ346" i="51"/>
  <c r="EP346" i="51"/>
  <c r="EO346" i="51"/>
  <c r="EM346" i="51"/>
  <c r="EL346" i="51"/>
  <c r="EK346" i="51"/>
  <c r="EI346" i="51"/>
  <c r="EH346" i="51"/>
  <c r="EG346" i="51"/>
  <c r="EE346" i="51"/>
  <c r="ED346" i="51"/>
  <c r="EC346" i="51"/>
  <c r="EA346" i="51"/>
  <c r="DZ346" i="51"/>
  <c r="DY346" i="51"/>
  <c r="DW346" i="51"/>
  <c r="DV346" i="51"/>
  <c r="DU346" i="51"/>
  <c r="DT346" i="51"/>
  <c r="DR346" i="51"/>
  <c r="DQ346" i="51"/>
  <c r="DP346" i="51"/>
  <c r="DO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R340" i="51"/>
  <c r="EQ340" i="51"/>
  <c r="EP340" i="51"/>
  <c r="EO340" i="51"/>
  <c r="EM340" i="51"/>
  <c r="EL340" i="51"/>
  <c r="EK340" i="51"/>
  <c r="EI340" i="51"/>
  <c r="EH340" i="51"/>
  <c r="EG340" i="51"/>
  <c r="EE340" i="51"/>
  <c r="ED340" i="51"/>
  <c r="EC340" i="51"/>
  <c r="EA340" i="51"/>
  <c r="DZ340" i="51"/>
  <c r="DY340" i="51"/>
  <c r="DW340" i="51"/>
  <c r="DV340" i="51"/>
  <c r="DU340" i="51"/>
  <c r="DT340" i="51"/>
  <c r="DR340" i="51"/>
  <c r="DQ340" i="51"/>
  <c r="DP340" i="51"/>
  <c r="DO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R335" i="51"/>
  <c r="EQ335" i="51"/>
  <c r="EP335" i="51"/>
  <c r="EO335" i="51"/>
  <c r="EM335" i="51"/>
  <c r="EL335" i="51"/>
  <c r="EK335" i="51"/>
  <c r="EI335" i="51"/>
  <c r="EH335" i="51"/>
  <c r="EG335" i="51"/>
  <c r="EE335" i="51"/>
  <c r="ED335" i="51"/>
  <c r="EC335" i="51"/>
  <c r="EA335" i="51"/>
  <c r="DZ335" i="51"/>
  <c r="DY335" i="51"/>
  <c r="DW335" i="51"/>
  <c r="DV335" i="51"/>
  <c r="DU335" i="51"/>
  <c r="DT335" i="51"/>
  <c r="DR335" i="51"/>
  <c r="DQ335" i="51"/>
  <c r="DP335" i="51"/>
  <c r="DO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R330" i="51"/>
  <c r="EQ330" i="51"/>
  <c r="EP330" i="51"/>
  <c r="EO330" i="51"/>
  <c r="EM330" i="51"/>
  <c r="EL330" i="51"/>
  <c r="EK330" i="51"/>
  <c r="EI330" i="51"/>
  <c r="EH330" i="51"/>
  <c r="EG330" i="51"/>
  <c r="EE330" i="51"/>
  <c r="ED330" i="51"/>
  <c r="EC330" i="51"/>
  <c r="EA330" i="51"/>
  <c r="DZ330" i="51"/>
  <c r="DY330" i="51"/>
  <c r="DW330" i="51"/>
  <c r="DV330" i="51"/>
  <c r="DU330" i="51"/>
  <c r="DT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R324" i="51"/>
  <c r="EQ324" i="51"/>
  <c r="EP324" i="51"/>
  <c r="EO324" i="51"/>
  <c r="EM324" i="51"/>
  <c r="EL324" i="51"/>
  <c r="EK324" i="51"/>
  <c r="EI324" i="51"/>
  <c r="EH324" i="51"/>
  <c r="EG324" i="51"/>
  <c r="EE324" i="51"/>
  <c r="ED324" i="51"/>
  <c r="EC324" i="51"/>
  <c r="EA324" i="51"/>
  <c r="DZ324" i="51"/>
  <c r="DY324" i="51"/>
  <c r="DW324" i="51"/>
  <c r="DV324" i="51"/>
  <c r="DU324" i="51"/>
  <c r="DT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S324" i="51"/>
  <c r="BS323" i="51" s="1"/>
  <c r="BR324" i="51"/>
  <c r="BR323" i="51" s="1"/>
  <c r="BQ324" i="51"/>
  <c r="BQ323" i="51" s="1"/>
  <c r="ER320" i="51"/>
  <c r="ER319" i="51" s="1"/>
  <c r="EQ320" i="51"/>
  <c r="EQ319" i="51" s="1"/>
  <c r="EP320" i="51"/>
  <c r="EP319" i="51" s="1"/>
  <c r="EO320" i="51"/>
  <c r="EO319" i="51" s="1"/>
  <c r="EM320" i="51"/>
  <c r="EM319" i="51" s="1"/>
  <c r="EL320" i="51"/>
  <c r="EL319" i="51" s="1"/>
  <c r="EK320" i="51"/>
  <c r="EK319" i="51" s="1"/>
  <c r="EI320" i="51"/>
  <c r="EI319" i="51" s="1"/>
  <c r="EH320" i="51"/>
  <c r="EH319" i="51" s="1"/>
  <c r="EG320" i="51"/>
  <c r="EG319" i="51" s="1"/>
  <c r="EE320" i="51"/>
  <c r="EE319" i="51" s="1"/>
  <c r="ED320" i="51"/>
  <c r="ED319" i="51" s="1"/>
  <c r="EC320" i="51"/>
  <c r="EC319" i="51" s="1"/>
  <c r="EA320" i="51"/>
  <c r="EA319" i="51" s="1"/>
  <c r="DZ320" i="51"/>
  <c r="DZ319" i="51" s="1"/>
  <c r="DY320" i="51"/>
  <c r="DY319" i="51" s="1"/>
  <c r="DW320" i="51"/>
  <c r="DW319" i="51" s="1"/>
  <c r="DV320" i="51"/>
  <c r="DV319" i="51" s="1"/>
  <c r="DU320" i="51"/>
  <c r="DU319" i="51" s="1"/>
  <c r="DT320" i="51"/>
  <c r="DT319" i="51" s="1"/>
  <c r="DR320" i="51"/>
  <c r="DR319" i="51" s="1"/>
  <c r="DQ320" i="51"/>
  <c r="DQ319" i="51" s="1"/>
  <c r="DP320" i="51"/>
  <c r="DP319" i="51" s="1"/>
  <c r="DO320" i="51"/>
  <c r="DO319" i="51" s="1"/>
  <c r="DM320" i="51"/>
  <c r="DM319" i="51" s="1"/>
  <c r="DL320" i="51"/>
  <c r="DL319" i="51" s="1"/>
  <c r="DK320" i="51"/>
  <c r="DK319" i="51" s="1"/>
  <c r="DJ320" i="51"/>
  <c r="DJ319" i="51" s="1"/>
  <c r="DI320" i="51"/>
  <c r="DI319" i="51" s="1"/>
  <c r="DD320" i="51"/>
  <c r="DD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U320" i="51"/>
  <c r="BU319" i="51" s="1"/>
  <c r="BT320" i="51"/>
  <c r="BT319" i="51" s="1"/>
  <c r="BS320" i="51"/>
  <c r="BS319" i="51" s="1"/>
  <c r="BR320" i="51"/>
  <c r="BR319" i="51" s="1"/>
  <c r="BQ320" i="51"/>
  <c r="BQ319" i="51" s="1"/>
  <c r="ER317" i="51"/>
  <c r="EQ317" i="51"/>
  <c r="EP317" i="51"/>
  <c r="EO317" i="51"/>
  <c r="EM317" i="51"/>
  <c r="EL317" i="51"/>
  <c r="EK317" i="51"/>
  <c r="EI317" i="51"/>
  <c r="EH317" i="51"/>
  <c r="EG317" i="51"/>
  <c r="EE317" i="51"/>
  <c r="ED317" i="51"/>
  <c r="EC317" i="51"/>
  <c r="EA317" i="51"/>
  <c r="DZ317" i="51"/>
  <c r="DY317" i="51"/>
  <c r="DW317" i="51"/>
  <c r="DV317" i="51"/>
  <c r="DU317" i="51"/>
  <c r="DT317" i="51"/>
  <c r="DR317" i="51"/>
  <c r="DQ317" i="51"/>
  <c r="DP317" i="51"/>
  <c r="DO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R313" i="51"/>
  <c r="EQ313" i="51"/>
  <c r="EP313" i="51"/>
  <c r="EO313" i="51"/>
  <c r="EM313" i="51"/>
  <c r="EL313" i="51"/>
  <c r="EK313" i="51"/>
  <c r="EI313" i="51"/>
  <c r="EH313" i="51"/>
  <c r="EG313" i="51"/>
  <c r="EE313" i="51"/>
  <c r="ED313" i="51"/>
  <c r="EC313" i="51"/>
  <c r="EA313" i="51"/>
  <c r="DZ313" i="51"/>
  <c r="DY313" i="51"/>
  <c r="DW313" i="51"/>
  <c r="DV313" i="51"/>
  <c r="DU313" i="51"/>
  <c r="DT313" i="51"/>
  <c r="DR313" i="51"/>
  <c r="DQ313" i="51"/>
  <c r="DP313" i="51"/>
  <c r="DO313" i="51"/>
  <c r="DM313" i="51"/>
  <c r="DL313" i="51"/>
  <c r="DK313" i="51"/>
  <c r="DJ313" i="51"/>
  <c r="DI313" i="51"/>
  <c r="DD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ER308" i="51"/>
  <c r="EQ308" i="51"/>
  <c r="EP308" i="51"/>
  <c r="EO308" i="51"/>
  <c r="EM308" i="51"/>
  <c r="EL308" i="51"/>
  <c r="EK308" i="51"/>
  <c r="EI308" i="51"/>
  <c r="EH308" i="51"/>
  <c r="EG308" i="51"/>
  <c r="EE308" i="51"/>
  <c r="ED308" i="51"/>
  <c r="EC308" i="51"/>
  <c r="EA308" i="51"/>
  <c r="DZ308" i="51"/>
  <c r="DY308" i="51"/>
  <c r="DW308" i="51"/>
  <c r="DV308" i="51"/>
  <c r="DU308" i="51"/>
  <c r="DT308" i="51"/>
  <c r="DR308" i="51"/>
  <c r="DQ308" i="51"/>
  <c r="DP308" i="51"/>
  <c r="DO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R306" i="51"/>
  <c r="EQ306" i="51"/>
  <c r="EP306" i="51"/>
  <c r="EO306" i="51"/>
  <c r="EM306" i="51"/>
  <c r="EL306" i="51"/>
  <c r="EK306" i="51"/>
  <c r="EI306" i="51"/>
  <c r="EH306" i="51"/>
  <c r="EG306" i="51"/>
  <c r="EE306" i="51"/>
  <c r="ED306" i="51"/>
  <c r="EC306" i="51"/>
  <c r="EA306" i="51"/>
  <c r="DZ306" i="51"/>
  <c r="DY306" i="51"/>
  <c r="DW306" i="51"/>
  <c r="DV306" i="51"/>
  <c r="DU306" i="51"/>
  <c r="DT306" i="51"/>
  <c r="DR306" i="51"/>
  <c r="DQ306" i="51"/>
  <c r="DP306" i="51"/>
  <c r="DO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R304" i="51"/>
  <c r="EQ304" i="51"/>
  <c r="EP304" i="51"/>
  <c r="EO304" i="51"/>
  <c r="EM304" i="51"/>
  <c r="EL304" i="51"/>
  <c r="EK304" i="51"/>
  <c r="EI304" i="51"/>
  <c r="EH304" i="51"/>
  <c r="EG304" i="51"/>
  <c r="EE304" i="51"/>
  <c r="ED304" i="51"/>
  <c r="EC304" i="51"/>
  <c r="EA304" i="51"/>
  <c r="DZ304" i="51"/>
  <c r="DY304" i="51"/>
  <c r="DW304" i="51"/>
  <c r="DV304" i="51"/>
  <c r="DU304" i="51"/>
  <c r="DT304" i="51"/>
  <c r="DR304" i="51"/>
  <c r="DQ304" i="51"/>
  <c r="DP304" i="51"/>
  <c r="DO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R301" i="51"/>
  <c r="EQ301" i="51"/>
  <c r="EP301" i="51"/>
  <c r="EO301" i="51"/>
  <c r="EM301" i="51"/>
  <c r="EL301" i="51"/>
  <c r="EK301" i="51"/>
  <c r="EI301" i="51"/>
  <c r="EH301" i="51"/>
  <c r="EG301" i="51"/>
  <c r="EE301" i="51"/>
  <c r="ED301" i="51"/>
  <c r="EC301" i="51"/>
  <c r="EA301" i="51"/>
  <c r="DZ301" i="51"/>
  <c r="DY301" i="51"/>
  <c r="DW301" i="51"/>
  <c r="DV301" i="51"/>
  <c r="DU301" i="51"/>
  <c r="DT301" i="51"/>
  <c r="DR301" i="51"/>
  <c r="DQ301" i="51"/>
  <c r="DP301" i="51"/>
  <c r="DO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R295" i="51"/>
  <c r="ER294" i="51" s="1"/>
  <c r="EQ295" i="51"/>
  <c r="EQ294" i="51" s="1"/>
  <c r="EP295" i="51"/>
  <c r="EP294" i="51" s="1"/>
  <c r="EO295" i="51"/>
  <c r="EO294" i="51" s="1"/>
  <c r="EM295" i="51"/>
  <c r="EM294" i="51" s="1"/>
  <c r="EL295" i="51"/>
  <c r="EL294" i="51" s="1"/>
  <c r="EK295" i="51"/>
  <c r="EK294" i="51" s="1"/>
  <c r="EI295" i="51"/>
  <c r="EI294" i="51" s="1"/>
  <c r="EH295" i="51"/>
  <c r="EH294" i="51" s="1"/>
  <c r="EG295" i="51"/>
  <c r="EG294" i="51" s="1"/>
  <c r="EE295" i="51"/>
  <c r="EE294" i="51" s="1"/>
  <c r="ED295" i="51"/>
  <c r="ED294" i="51" s="1"/>
  <c r="EC295" i="51"/>
  <c r="EC294" i="51" s="1"/>
  <c r="EA295" i="51"/>
  <c r="EA294" i="51" s="1"/>
  <c r="DZ295" i="51"/>
  <c r="DZ294" i="51" s="1"/>
  <c r="DY295" i="51"/>
  <c r="DY294" i="51" s="1"/>
  <c r="DW295" i="51"/>
  <c r="DW294" i="51" s="1"/>
  <c r="DV295" i="51"/>
  <c r="DV294" i="51" s="1"/>
  <c r="DU295" i="51"/>
  <c r="DU294" i="51" s="1"/>
  <c r="DT295" i="51"/>
  <c r="DT294" i="51" s="1"/>
  <c r="DR295" i="51"/>
  <c r="DR294" i="51" s="1"/>
  <c r="DQ295" i="51"/>
  <c r="DQ294" i="51" s="1"/>
  <c r="DP295" i="51"/>
  <c r="DP294" i="51" s="1"/>
  <c r="DO295" i="51"/>
  <c r="DO294" i="51" s="1"/>
  <c r="DM295" i="51"/>
  <c r="DM294" i="51" s="1"/>
  <c r="DL295" i="51"/>
  <c r="DL294" i="51" s="1"/>
  <c r="DK295" i="51"/>
  <c r="DK294" i="51" s="1"/>
  <c r="DJ295" i="51"/>
  <c r="DJ294" i="51" s="1"/>
  <c r="DI295" i="51"/>
  <c r="DI294" i="51" s="1"/>
  <c r="DD295" i="51"/>
  <c r="DD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T295" i="51"/>
  <c r="BT294" i="51" s="1"/>
  <c r="BS295" i="51"/>
  <c r="BS294" i="51" s="1"/>
  <c r="BR295" i="51"/>
  <c r="BR294" i="51" s="1"/>
  <c r="BQ295" i="51"/>
  <c r="BQ294" i="51" s="1"/>
  <c r="ER292" i="51"/>
  <c r="EQ292" i="51"/>
  <c r="EP292" i="51"/>
  <c r="EO292" i="51"/>
  <c r="EM292" i="51"/>
  <c r="EL292" i="51"/>
  <c r="EK292" i="51"/>
  <c r="EI292" i="51"/>
  <c r="EH292" i="51"/>
  <c r="EG292" i="51"/>
  <c r="EE292" i="51"/>
  <c r="ED292" i="51"/>
  <c r="EC292" i="51"/>
  <c r="EA292" i="51"/>
  <c r="DZ292" i="51"/>
  <c r="DY292" i="51"/>
  <c r="DW292" i="51"/>
  <c r="DV292" i="51"/>
  <c r="DU292" i="51"/>
  <c r="DT292" i="51"/>
  <c r="DR292" i="51"/>
  <c r="DQ292" i="51"/>
  <c r="DP292" i="51"/>
  <c r="DO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R290" i="51"/>
  <c r="EQ290" i="51"/>
  <c r="EP290" i="51"/>
  <c r="EO290" i="51"/>
  <c r="EM290" i="51"/>
  <c r="EL290" i="51"/>
  <c r="EK290" i="51"/>
  <c r="EI290" i="51"/>
  <c r="EH290" i="51"/>
  <c r="EG290" i="51"/>
  <c r="EE290" i="51"/>
  <c r="ED290" i="51"/>
  <c r="EC290" i="51"/>
  <c r="EA290" i="51"/>
  <c r="DZ290" i="51"/>
  <c r="DY290" i="51"/>
  <c r="DW290" i="51"/>
  <c r="DV290" i="51"/>
  <c r="DU290" i="51"/>
  <c r="DT290" i="51"/>
  <c r="DR290" i="51"/>
  <c r="DQ290" i="51"/>
  <c r="DP290" i="51"/>
  <c r="DO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R288" i="51"/>
  <c r="EQ288" i="51"/>
  <c r="EP288" i="51"/>
  <c r="EO288" i="51"/>
  <c r="EM288" i="51"/>
  <c r="EL288" i="51"/>
  <c r="EK288" i="51"/>
  <c r="EI288" i="51"/>
  <c r="EH288" i="51"/>
  <c r="EG288" i="51"/>
  <c r="EE288" i="51"/>
  <c r="ED288" i="51"/>
  <c r="EC288" i="51"/>
  <c r="EA288" i="51"/>
  <c r="DZ288" i="51"/>
  <c r="DY288" i="51"/>
  <c r="DW288" i="51"/>
  <c r="DV288" i="51"/>
  <c r="DU288" i="51"/>
  <c r="DT288" i="51"/>
  <c r="DR288" i="51"/>
  <c r="DQ288" i="51"/>
  <c r="DP288" i="51"/>
  <c r="DO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R285" i="51"/>
  <c r="EQ285" i="51"/>
  <c r="EP285" i="51"/>
  <c r="EO285" i="51"/>
  <c r="EM285" i="51"/>
  <c r="EL285" i="51"/>
  <c r="EK285" i="51"/>
  <c r="EI285" i="51"/>
  <c r="EH285" i="51"/>
  <c r="EH282" i="51"/>
  <c r="EG285" i="51"/>
  <c r="EE285" i="51"/>
  <c r="ED285" i="51"/>
  <c r="EC285" i="51"/>
  <c r="EA285" i="51"/>
  <c r="DZ285" i="51"/>
  <c r="DY285" i="51"/>
  <c r="DW285" i="51"/>
  <c r="DV285" i="51"/>
  <c r="DU285" i="51"/>
  <c r="DT285" i="51"/>
  <c r="DR285" i="51"/>
  <c r="DQ285" i="51"/>
  <c r="DP285" i="51"/>
  <c r="DO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R282" i="51"/>
  <c r="EQ282" i="51"/>
  <c r="EP282" i="51"/>
  <c r="EO282" i="51"/>
  <c r="EM282" i="51"/>
  <c r="EL282" i="51"/>
  <c r="EK282" i="51"/>
  <c r="EI282" i="51"/>
  <c r="EG282" i="51"/>
  <c r="EE282" i="51"/>
  <c r="ED282" i="51"/>
  <c r="EC282" i="51"/>
  <c r="EA282" i="51"/>
  <c r="DZ282" i="51"/>
  <c r="DY282" i="51"/>
  <c r="DW282" i="51"/>
  <c r="DV282" i="51"/>
  <c r="DU282" i="51"/>
  <c r="DT282" i="51"/>
  <c r="DR282" i="51"/>
  <c r="DQ282" i="51"/>
  <c r="DP282" i="51"/>
  <c r="DO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R279" i="51"/>
  <c r="EQ279" i="51"/>
  <c r="EP279" i="51"/>
  <c r="EO279" i="51"/>
  <c r="EM279" i="51"/>
  <c r="EL279" i="51"/>
  <c r="EK279" i="51"/>
  <c r="EI279" i="51"/>
  <c r="EH279" i="51"/>
  <c r="EG279" i="51"/>
  <c r="EE279" i="51"/>
  <c r="ED279" i="51"/>
  <c r="EC279" i="51"/>
  <c r="EA279" i="51"/>
  <c r="DZ279" i="51"/>
  <c r="DY279" i="51"/>
  <c r="DW279" i="51"/>
  <c r="DV279" i="51"/>
  <c r="DU279" i="51"/>
  <c r="DT279" i="51"/>
  <c r="DR279" i="51"/>
  <c r="DQ279" i="51"/>
  <c r="DP279" i="51"/>
  <c r="DO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R275" i="51"/>
  <c r="EQ275" i="51"/>
  <c r="EP275" i="51"/>
  <c r="EO275" i="51"/>
  <c r="EM275" i="51"/>
  <c r="EL275" i="51"/>
  <c r="EK275" i="51"/>
  <c r="EI275" i="51"/>
  <c r="EH275" i="51"/>
  <c r="EG275" i="51"/>
  <c r="EE275" i="51"/>
  <c r="ED275" i="51"/>
  <c r="EC275" i="51"/>
  <c r="EA275" i="51"/>
  <c r="DZ275" i="51"/>
  <c r="DY275" i="51"/>
  <c r="DW275" i="51"/>
  <c r="DV275" i="51"/>
  <c r="DU275" i="51"/>
  <c r="DT275" i="51"/>
  <c r="DR275" i="51"/>
  <c r="DQ275" i="51"/>
  <c r="DP275" i="51"/>
  <c r="DO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R271" i="51"/>
  <c r="EQ271" i="51"/>
  <c r="EP271" i="51"/>
  <c r="EO271" i="51"/>
  <c r="EM271" i="51"/>
  <c r="EL271" i="51"/>
  <c r="EK271" i="51"/>
  <c r="EI271" i="51"/>
  <c r="EH271" i="51"/>
  <c r="EG271" i="51"/>
  <c r="EE271" i="51"/>
  <c r="ED271" i="51"/>
  <c r="EC271" i="51"/>
  <c r="EA271" i="51"/>
  <c r="DZ271" i="51"/>
  <c r="DY271" i="51"/>
  <c r="DW271" i="51"/>
  <c r="DV271" i="51"/>
  <c r="DU271" i="51"/>
  <c r="DT271" i="51"/>
  <c r="DR271" i="51"/>
  <c r="DQ271" i="51"/>
  <c r="DP271" i="51"/>
  <c r="DO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R269" i="51"/>
  <c r="EQ269" i="51"/>
  <c r="EP269" i="51"/>
  <c r="EO269" i="51"/>
  <c r="EM269" i="51"/>
  <c r="EL269" i="51"/>
  <c r="EK269" i="51"/>
  <c r="EI269" i="51"/>
  <c r="EH269" i="51"/>
  <c r="EG269" i="51"/>
  <c r="EE269" i="51"/>
  <c r="ED269" i="51"/>
  <c r="EC269" i="51"/>
  <c r="EA269" i="51"/>
  <c r="DZ269" i="51"/>
  <c r="DY269" i="51"/>
  <c r="DW269" i="51"/>
  <c r="DV269" i="51"/>
  <c r="DU269" i="51"/>
  <c r="DT269" i="51"/>
  <c r="DR269" i="51"/>
  <c r="DQ269" i="51"/>
  <c r="DP269" i="51"/>
  <c r="DO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DJ263" i="51"/>
  <c r="DI263" i="51"/>
  <c r="DD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DJ258" i="51"/>
  <c r="DJ257" i="51" s="1"/>
  <c r="DI258" i="51"/>
  <c r="DI257" i="51" s="1"/>
  <c r="DD258" i="51"/>
  <c r="DD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B172" i="51"/>
  <c r="CA172" i="51"/>
  <c r="BZ172" i="51"/>
  <c r="BY172" i="51"/>
  <c r="BX172" i="51"/>
  <c r="BW172" i="51"/>
  <c r="BV172" i="51"/>
  <c r="BU172" i="51"/>
  <c r="BT172" i="51"/>
  <c r="BS172" i="51"/>
  <c r="BR172" i="51"/>
  <c r="BQ172"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W163" i="51"/>
  <c r="BU163" i="51"/>
  <c r="BT163" i="51"/>
  <c r="BS163" i="51"/>
  <c r="BR163" i="51"/>
  <c r="BQ163"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DJ139" i="51"/>
  <c r="DI139" i="51"/>
  <c r="DD139" i="51"/>
  <c r="DD138" i="51" s="1"/>
  <c r="DC139" i="51"/>
  <c r="DC138" i="51" s="1"/>
  <c r="DB139" i="51"/>
  <c r="DB138" i="51" s="1"/>
  <c r="DA139" i="51"/>
  <c r="DA138" i="51" s="1"/>
  <c r="CZ139" i="51"/>
  <c r="CZ138" i="51" s="1"/>
  <c r="CY139" i="51"/>
  <c r="CY138" i="51" s="1"/>
  <c r="CX139" i="51"/>
  <c r="CW139" i="51"/>
  <c r="CW138" i="51" s="1"/>
  <c r="CV139" i="51"/>
  <c r="CV138" i="51" s="1"/>
  <c r="CU139" i="51"/>
  <c r="CU138" i="51" s="1"/>
  <c r="CT139" i="51"/>
  <c r="CS139" i="51"/>
  <c r="CR139" i="51"/>
  <c r="CR138" i="51" s="1"/>
  <c r="CQ139" i="5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DK97"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R97" i="51"/>
  <c r="EQ97" i="51"/>
  <c r="EP97" i="51"/>
  <c r="EO97" i="51"/>
  <c r="EM97" i="51"/>
  <c r="EL97" i="51"/>
  <c r="EK97" i="51"/>
  <c r="EI97" i="51"/>
  <c r="EH97" i="51"/>
  <c r="EG97" i="51"/>
  <c r="EE97" i="51"/>
  <c r="ED97" i="51"/>
  <c r="EC97" i="51"/>
  <c r="EA97" i="51"/>
  <c r="DZ97" i="51"/>
  <c r="DY97" i="51"/>
  <c r="DW97" i="51"/>
  <c r="DV97" i="51"/>
  <c r="DU97" i="51"/>
  <c r="DT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R86" i="51"/>
  <c r="EQ86" i="51"/>
  <c r="EP86" i="51"/>
  <c r="EP82" i="51"/>
  <c r="EO86" i="51"/>
  <c r="EM86" i="51"/>
  <c r="EL86" i="51"/>
  <c r="EK86" i="51"/>
  <c r="EI86" i="51"/>
  <c r="EH86" i="51"/>
  <c r="EG86" i="51"/>
  <c r="EE86" i="51"/>
  <c r="ED86" i="51"/>
  <c r="EC86" i="51"/>
  <c r="EA86" i="51"/>
  <c r="DZ86" i="51"/>
  <c r="DY86" i="51"/>
  <c r="DW86" i="51"/>
  <c r="DV86" i="51"/>
  <c r="DU86" i="51"/>
  <c r="DT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V81" i="51" s="1"/>
  <c r="EU82" i="51"/>
  <c r="EU81" i="51" s="1"/>
  <c r="ET82" i="51"/>
  <c r="ET81" i="51" s="1"/>
  <c r="ES82" i="51"/>
  <c r="ER82" i="51"/>
  <c r="EQ82" i="51"/>
  <c r="EO82" i="51"/>
  <c r="EN82" i="51"/>
  <c r="EM82" i="51"/>
  <c r="EM81" i="51" s="1"/>
  <c r="EL82" i="51"/>
  <c r="EL81" i="51" s="1"/>
  <c r="EK82" i="51"/>
  <c r="EK81" i="51" s="1"/>
  <c r="EJ82" i="51"/>
  <c r="EI82" i="51"/>
  <c r="EH82" i="51"/>
  <c r="EG82" i="51"/>
  <c r="EF82" i="51"/>
  <c r="EE82" i="51"/>
  <c r="ED82" i="51"/>
  <c r="EC82" i="51"/>
  <c r="EB82" i="51"/>
  <c r="EA82" i="51"/>
  <c r="DZ82" i="51"/>
  <c r="DY82" i="51"/>
  <c r="DX82" i="51"/>
  <c r="DW82" i="51"/>
  <c r="DW81" i="51" s="1"/>
  <c r="DV82" i="51"/>
  <c r="DV81" i="51" s="1"/>
  <c r="DU82" i="51"/>
  <c r="DU81" i="51" s="1"/>
  <c r="DT82" i="51"/>
  <c r="DS82" i="51"/>
  <c r="DN82" i="51"/>
  <c r="DM82" i="51"/>
  <c r="DL82" i="51"/>
  <c r="DK82" i="51"/>
  <c r="DI82" i="51"/>
  <c r="DD82" i="51"/>
  <c r="DC82" i="51"/>
  <c r="DB82" i="51"/>
  <c r="DA82" i="51"/>
  <c r="CZ82" i="51"/>
  <c r="CY82" i="51"/>
  <c r="CY81" i="51" s="1"/>
  <c r="CX82" i="51"/>
  <c r="CX81" i="51" s="1"/>
  <c r="CV82" i="51"/>
  <c r="CU82" i="51"/>
  <c r="CT82" i="51"/>
  <c r="CS82" i="51"/>
  <c r="CR82" i="51"/>
  <c r="CQ82" i="51"/>
  <c r="CP82" i="51"/>
  <c r="CO82" i="51"/>
  <c r="CN82" i="51"/>
  <c r="CM82" i="51"/>
  <c r="CL82" i="51"/>
  <c r="CK82" i="51"/>
  <c r="CJ82" i="51"/>
  <c r="CI82" i="51"/>
  <c r="CH82" i="51"/>
  <c r="CG82" i="51"/>
  <c r="CF82" i="51"/>
  <c r="CE82" i="51"/>
  <c r="CD82" i="51"/>
  <c r="CB82" i="51"/>
  <c r="CB81" i="51" s="1"/>
  <c r="CA82" i="51"/>
  <c r="CA81" i="51" s="1"/>
  <c r="BZ82" i="51"/>
  <c r="BY82" i="51"/>
  <c r="BY81" i="51" s="1"/>
  <c r="BU82" i="51"/>
  <c r="BS82" i="51"/>
  <c r="BR82" i="51"/>
  <c r="BQ82" i="51"/>
  <c r="BQ81" i="51" s="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I11" i="51" s="1"/>
  <c r="DI10" i="51" s="1"/>
  <c r="DD12" i="51"/>
  <c r="DB12" i="51"/>
  <c r="DA12" i="51"/>
  <c r="CZ12" i="51"/>
  <c r="CX12" i="51"/>
  <c r="CW12" i="51"/>
  <c r="CV12" i="51"/>
  <c r="CT12" i="51"/>
  <c r="CS12" i="51"/>
  <c r="CR12" i="51"/>
  <c r="CP12" i="51"/>
  <c r="CO12" i="51"/>
  <c r="CO11" i="51" s="1"/>
  <c r="CO10" i="51" s="1"/>
  <c r="CN12" i="51"/>
  <c r="CN11" i="51" s="1"/>
  <c r="CN10" i="51" s="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s="1"/>
  <c r="AA35" i="51" s="1"/>
  <c r="AB37" i="51"/>
  <c r="AB36" i="51" s="1"/>
  <c r="AB35" i="51" s="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s="1"/>
  <c r="DP89" i="51"/>
  <c r="EY89" i="51" s="1"/>
  <c r="DP87" i="51"/>
  <c r="EY87" i="51" s="1"/>
  <c r="DP83" i="51"/>
  <c r="EY83" i="51" s="1"/>
  <c r="DQ89" i="51"/>
  <c r="EZ89" i="51" s="1"/>
  <c r="DO89" i="51"/>
  <c r="EX89" i="51" s="1"/>
  <c r="DO87" i="51"/>
  <c r="EX87" i="51" s="1"/>
  <c r="DQ87" i="51"/>
  <c r="EZ87" i="51" s="1"/>
  <c r="DQ83" i="51"/>
  <c r="EZ83" i="51" s="1"/>
  <c r="DO83" i="51"/>
  <c r="EX83" i="51" s="1"/>
  <c r="EX34" i="51"/>
  <c r="EX33" i="51"/>
  <c r="EX32" i="51"/>
  <c r="EX31" i="51"/>
  <c r="EX30" i="51"/>
  <c r="EX29" i="51"/>
  <c r="EX28" i="51"/>
  <c r="EX26" i="51"/>
  <c r="EX25" i="51"/>
  <c r="EX24" i="51"/>
  <c r="EX23" i="51"/>
  <c r="EX22" i="51"/>
  <c r="EX21" i="51"/>
  <c r="EX20" i="51"/>
  <c r="EX18" i="51"/>
  <c r="EX17" i="51"/>
  <c r="EX16" i="51"/>
  <c r="EX15" i="51"/>
  <c r="EX14" i="51"/>
  <c r="EX13" i="51"/>
  <c r="DO170" i="51"/>
  <c r="DO169" i="51" s="1"/>
  <c r="EO194" i="51"/>
  <c r="EX194" i="51" s="1"/>
  <c r="FG333" i="51"/>
  <c r="FG330" i="51" s="1"/>
  <c r="FG325" i="51"/>
  <c r="FG324" i="51" s="1"/>
  <c r="FL303" i="51"/>
  <c r="FG303" i="51"/>
  <c r="FL302" i="51"/>
  <c r="FG302" i="51"/>
  <c r="GF103" i="51"/>
  <c r="GF101" i="51" s="1"/>
  <c r="FL103" i="51"/>
  <c r="FL101" i="51" s="1"/>
  <c r="FG100" i="51"/>
  <c r="FG99" i="51"/>
  <c r="GU99" i="51" s="1"/>
  <c r="FG98" i="51"/>
  <c r="GU98" i="51" s="1"/>
  <c r="FG93" i="51"/>
  <c r="FB93" i="51"/>
  <c r="FB90" i="51"/>
  <c r="GU90" i="51" s="1"/>
  <c r="GA21" i="51"/>
  <c r="GU21" i="51" s="1"/>
  <c r="DR84" i="51"/>
  <c r="FA84" i="51" s="1"/>
  <c r="DS409" i="51"/>
  <c r="DS404" i="51" s="1"/>
  <c r="DS369" i="51"/>
  <c r="EW369" i="51" s="1"/>
  <c r="DS134" i="51"/>
  <c r="EW134" i="51" s="1"/>
  <c r="DN333" i="51"/>
  <c r="DN330" i="51" s="1"/>
  <c r="DN329" i="51"/>
  <c r="EW329" i="51" s="1"/>
  <c r="DN325" i="51"/>
  <c r="DN299" i="51"/>
  <c r="EW299" i="51" s="1"/>
  <c r="DN298" i="51"/>
  <c r="DN100" i="51"/>
  <c r="EW100" i="51" s="1"/>
  <c r="DN98" i="51"/>
  <c r="DN89" i="51"/>
  <c r="DN86" i="51" s="1"/>
  <c r="ES128" i="51"/>
  <c r="EW128" i="51" s="1"/>
  <c r="T183" i="51"/>
  <c r="U355" i="51"/>
  <c r="U417" i="51"/>
  <c r="X133" i="51"/>
  <c r="U133" i="51"/>
  <c r="X61" i="51"/>
  <c r="DI106" i="51"/>
  <c r="DI101" i="51" s="1"/>
  <c r="DI147" i="51"/>
  <c r="DI145" i="51" s="1"/>
  <c r="DI375" i="51"/>
  <c r="DI374" i="51" s="1"/>
  <c r="DI87" i="51"/>
  <c r="DI86" i="51" s="1"/>
  <c r="DI113" i="51"/>
  <c r="DI111" i="51" s="1"/>
  <c r="DI227" i="51"/>
  <c r="DI226" i="51" s="1"/>
  <c r="DI243" i="51"/>
  <c r="DI241" i="51" s="1"/>
  <c r="BV99" i="51"/>
  <c r="CR99" i="51"/>
  <c r="CR97" i="51" s="1"/>
  <c r="CS99" i="51"/>
  <c r="CS97" i="51" s="1"/>
  <c r="CT99" i="51"/>
  <c r="CT97" i="51" s="1"/>
  <c r="CC99" i="51"/>
  <c r="CC97" i="51" s="1"/>
  <c r="CB99" i="51"/>
  <c r="CA99" i="51"/>
  <c r="N12" i="66"/>
  <c r="L12" i="66"/>
  <c r="J12" i="66"/>
  <c r="H12" i="66"/>
  <c r="F12" i="66"/>
  <c r="D8" i="66"/>
  <c r="I8" i="66" s="1"/>
  <c r="D9" i="66"/>
  <c r="I9" i="66" s="1"/>
  <c r="D10" i="66"/>
  <c r="G10" i="66" s="1"/>
  <c r="D11" i="66"/>
  <c r="G11" i="66" s="1"/>
  <c r="D7" i="66"/>
  <c r="G7" i="66" s="1"/>
  <c r="EY13" i="51"/>
  <c r="EY14" i="51"/>
  <c r="EY15" i="51"/>
  <c r="EY16" i="51"/>
  <c r="EY17" i="51"/>
  <c r="EY18" i="51"/>
  <c r="EY20" i="51"/>
  <c r="EY21" i="51"/>
  <c r="EY22" i="51"/>
  <c r="EY23" i="51"/>
  <c r="EY24" i="51"/>
  <c r="EY25" i="51"/>
  <c r="EY26" i="51"/>
  <c r="EY28" i="51"/>
  <c r="EY29" i="51"/>
  <c r="EY30" i="51"/>
  <c r="EY31" i="51"/>
  <c r="EY32" i="51"/>
  <c r="EY33" i="51"/>
  <c r="EY34" i="51"/>
  <c r="W183" i="51"/>
  <c r="CT109" i="51"/>
  <c r="CT108" i="51" s="1"/>
  <c r="CS109" i="51"/>
  <c r="DG109" i="51" s="1"/>
  <c r="DG108" i="51" s="1"/>
  <c r="BX407" i="51"/>
  <c r="BX404" i="51" s="1"/>
  <c r="BW407" i="51"/>
  <c r="BW404" i="51" s="1"/>
  <c r="BV407" i="51"/>
  <c r="BV404" i="51" s="1"/>
  <c r="BU333" i="51"/>
  <c r="DE333" i="51" s="1"/>
  <c r="BV327" i="51"/>
  <c r="BV324" i="51" s="1"/>
  <c r="BV321" i="51"/>
  <c r="BV320" i="51" s="1"/>
  <c r="BV319" i="51" s="1"/>
  <c r="BZ303" i="51"/>
  <c r="BU303" i="51"/>
  <c r="BZ302" i="51"/>
  <c r="BU302" i="51"/>
  <c r="BU299" i="51"/>
  <c r="DE299" i="51" s="1"/>
  <c r="BU298" i="51"/>
  <c r="DE298" i="51" s="1"/>
  <c r="CA250" i="51"/>
  <c r="CA247" i="51" s="1"/>
  <c r="CA237" i="51"/>
  <c r="CA236" i="51" s="1"/>
  <c r="BZ219" i="51"/>
  <c r="BZ164" i="51"/>
  <c r="BZ163" i="51" s="1"/>
  <c r="BV164" i="51"/>
  <c r="BV163" i="51" s="1"/>
  <c r="CQ160" i="51"/>
  <c r="CQ159" i="51" s="1"/>
  <c r="CA160" i="51"/>
  <c r="CA159" i="51" s="1"/>
  <c r="CQ150" i="51"/>
  <c r="DE150" i="51" s="1"/>
  <c r="CA149" i="51"/>
  <c r="DF149" i="51" s="1"/>
  <c r="CA148" i="51"/>
  <c r="DF148" i="51" s="1"/>
  <c r="BZ134" i="51"/>
  <c r="DE134" i="51" s="1"/>
  <c r="CQ109" i="51"/>
  <c r="CQ108" i="51" s="1"/>
  <c r="CB98" i="51"/>
  <c r="CA98" i="51"/>
  <c r="BW98" i="51"/>
  <c r="BW97" i="51" s="1"/>
  <c r="BV98" i="51"/>
  <c r="BU93" i="51"/>
  <c r="DE93" i="51" s="1"/>
  <c r="BX83" i="51"/>
  <c r="DH83" i="51" s="1"/>
  <c r="BW83" i="51"/>
  <c r="BW82" i="51" s="1"/>
  <c r="BV83" i="51"/>
  <c r="BV82" i="51" s="1"/>
  <c r="BV80" i="51"/>
  <c r="BV79" i="51" s="1"/>
  <c r="BX63" i="51"/>
  <c r="BX58" i="51" s="1"/>
  <c r="CM23" i="51"/>
  <c r="DE23" i="51" s="1"/>
  <c r="CM22" i="51"/>
  <c r="DE22" i="51" s="1"/>
  <c r="DF13" i="51"/>
  <c r="E9" i="65"/>
  <c r="DG179" i="51"/>
  <c r="DG180" i="51"/>
  <c r="DG181" i="51"/>
  <c r="DG182" i="51"/>
  <c r="DG183" i="51"/>
  <c r="DG185" i="51"/>
  <c r="DG186" i="51"/>
  <c r="DG187" i="51"/>
  <c r="DF179" i="51"/>
  <c r="DF180" i="51"/>
  <c r="DF181" i="51"/>
  <c r="DF182" i="51"/>
  <c r="DF183" i="51"/>
  <c r="DF185" i="51"/>
  <c r="DF186" i="51"/>
  <c r="DF187" i="51"/>
  <c r="DG173" i="51"/>
  <c r="DG172" i="51" s="1"/>
  <c r="DG175" i="51"/>
  <c r="DG176" i="51"/>
  <c r="DF173" i="51"/>
  <c r="DF172" i="51" s="1"/>
  <c r="DF175" i="51"/>
  <c r="DF176" i="51"/>
  <c r="DG164" i="51"/>
  <c r="DG165" i="51"/>
  <c r="DG166" i="51"/>
  <c r="DG168" i="51"/>
  <c r="DG167" i="51" s="1"/>
  <c r="DG170" i="51"/>
  <c r="DG169" i="51" s="1"/>
  <c r="DF165" i="51"/>
  <c r="DF166" i="51"/>
  <c r="DF168" i="51"/>
  <c r="DF167" i="51" s="1"/>
  <c r="DF170" i="51"/>
  <c r="DF169" i="51" s="1"/>
  <c r="DG153" i="51"/>
  <c r="DG154" i="51"/>
  <c r="DG156" i="51"/>
  <c r="DG155" i="51" s="1"/>
  <c r="DG158" i="51"/>
  <c r="DG157" i="51" s="1"/>
  <c r="DG160" i="51"/>
  <c r="DG161" i="51"/>
  <c r="DF153" i="51"/>
  <c r="DF154" i="51"/>
  <c r="DF156" i="51"/>
  <c r="DF155" i="51" s="1"/>
  <c r="DF158" i="51"/>
  <c r="DF157" i="51" s="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G100" i="51"/>
  <c r="DG102" i="51"/>
  <c r="DG103" i="51"/>
  <c r="DG104" i="51"/>
  <c r="DG105" i="51"/>
  <c r="DG106" i="51"/>
  <c r="DG107" i="51"/>
  <c r="DF100" i="51"/>
  <c r="DF102" i="51"/>
  <c r="DF103" i="51"/>
  <c r="DF104" i="51"/>
  <c r="DF105" i="51"/>
  <c r="DF106" i="51"/>
  <c r="DF107" i="51"/>
  <c r="DF109" i="51"/>
  <c r="DF108" i="51" s="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s="1"/>
  <c r="DG80" i="51"/>
  <c r="DG79" i="51" s="1"/>
  <c r="DF75" i="51"/>
  <c r="DF76" i="51"/>
  <c r="DF78" i="51"/>
  <c r="DF77" i="51" s="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9" i="51"/>
  <c r="DF238" i="51" s="1"/>
  <c r="DF242" i="51"/>
  <c r="DF243" i="51"/>
  <c r="DF244" i="51"/>
  <c r="DF246" i="51"/>
  <c r="DF245" i="51" s="1"/>
  <c r="DF248" i="51"/>
  <c r="DF249"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H164" i="51"/>
  <c r="DH165" i="51"/>
  <c r="DH166" i="51"/>
  <c r="DH168" i="51"/>
  <c r="DH167" i="51" s="1"/>
  <c r="DH170" i="51"/>
  <c r="DH169" i="51" s="1"/>
  <c r="DH173" i="51"/>
  <c r="DH172" i="51" s="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s="1"/>
  <c r="DH140" i="51"/>
  <c r="DH141" i="51"/>
  <c r="DH142" i="51"/>
  <c r="DH143" i="51"/>
  <c r="DH144" i="51"/>
  <c r="DH146" i="51"/>
  <c r="DH147" i="51"/>
  <c r="DH148" i="51"/>
  <c r="DH149" i="51"/>
  <c r="DH150" i="51"/>
  <c r="DH153" i="51"/>
  <c r="DH154" i="51"/>
  <c r="DH156" i="51"/>
  <c r="DH155" i="51" s="1"/>
  <c r="DH158" i="51"/>
  <c r="DH157" i="51" s="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s="1"/>
  <c r="DH237" i="51"/>
  <c r="DH236" i="51" s="1"/>
  <c r="DH239" i="51"/>
  <c r="DH238" i="51" s="1"/>
  <c r="DH242" i="51"/>
  <c r="DH243" i="51"/>
  <c r="DH244" i="51"/>
  <c r="DH246" i="51"/>
  <c r="DH245" i="51" s="1"/>
  <c r="DH248" i="51"/>
  <c r="DH249" i="51"/>
  <c r="DH250" i="51"/>
  <c r="DH252" i="51"/>
  <c r="DH253" i="51"/>
  <c r="DH255" i="51"/>
  <c r="DH256" i="51"/>
  <c r="DH259" i="51"/>
  <c r="DH260" i="51"/>
  <c r="DH261" i="51"/>
  <c r="DH264" i="51"/>
  <c r="DH265" i="51"/>
  <c r="DH267" i="51"/>
  <c r="DH266" i="51" s="1"/>
  <c r="DH270" i="51"/>
  <c r="DH269" i="51" s="1"/>
  <c r="DH272" i="51"/>
  <c r="DH273" i="51"/>
  <c r="DH274" i="51"/>
  <c r="DH276" i="51"/>
  <c r="DH277" i="51"/>
  <c r="DH278" i="51"/>
  <c r="DH280" i="51"/>
  <c r="DH279" i="51" s="1"/>
  <c r="DH283" i="51"/>
  <c r="DH284" i="51"/>
  <c r="DH286" i="51"/>
  <c r="DH287" i="51"/>
  <c r="DH289" i="51"/>
  <c r="DH288" i="51" s="1"/>
  <c r="DH291" i="51"/>
  <c r="DH290" i="51" s="1"/>
  <c r="DH293" i="51"/>
  <c r="DH292" i="51" s="1"/>
  <c r="DH296" i="51"/>
  <c r="DH297" i="51"/>
  <c r="DH298" i="51"/>
  <c r="DH299" i="51"/>
  <c r="DH302" i="51"/>
  <c r="DH303" i="51"/>
  <c r="DH305" i="51"/>
  <c r="DH304" i="51" s="1"/>
  <c r="DH307" i="51"/>
  <c r="DH306" i="51" s="1"/>
  <c r="DH309" i="51"/>
  <c r="DH310" i="51"/>
  <c r="DH311" i="51"/>
  <c r="DH314" i="51"/>
  <c r="DH315" i="51"/>
  <c r="DH316" i="51"/>
  <c r="DH318" i="51"/>
  <c r="DH317" i="51" s="1"/>
  <c r="DH321" i="51"/>
  <c r="DH320" i="51" s="1"/>
  <c r="DH319" i="51" s="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s="1"/>
  <c r="DH80" i="51"/>
  <c r="DH79" i="51" s="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5" i="51"/>
  <c r="DH376" i="51"/>
  <c r="DH377" i="51"/>
  <c r="DH378" i="51"/>
  <c r="DH379" i="51"/>
  <c r="DH380" i="51"/>
  <c r="DH382" i="51"/>
  <c r="DH381" i="51" s="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29" i="64"/>
  <c r="DF427" i="64"/>
  <c r="DF428" i="64"/>
  <c r="DE428" i="64"/>
  <c r="AK366" i="51"/>
  <c r="AK365" i="51" s="1"/>
  <c r="DE366" i="51"/>
  <c r="BM367" i="51"/>
  <c r="DE367" i="51"/>
  <c r="BM368" i="51"/>
  <c r="DE368" i="51"/>
  <c r="BM369" i="51"/>
  <c r="DE369" i="51"/>
  <c r="BM371" i="51"/>
  <c r="DE371" i="51"/>
  <c r="BM372" i="51"/>
  <c r="DE372" i="51"/>
  <c r="BM375" i="51"/>
  <c r="DE375" i="51"/>
  <c r="BM376" i="51"/>
  <c r="DE376" i="51"/>
  <c r="BM377" i="51"/>
  <c r="DE377" i="51"/>
  <c r="BM378" i="51"/>
  <c r="DE378" i="51"/>
  <c r="BM379" i="51"/>
  <c r="DE379" i="51"/>
  <c r="BM380" i="51"/>
  <c r="DE380" i="51"/>
  <c r="AK382" i="51"/>
  <c r="AK381" i="51" s="1"/>
  <c r="DE382" i="51"/>
  <c r="DE381" i="51" s="1"/>
  <c r="BM385" i="51"/>
  <c r="DE385" i="51"/>
  <c r="BM386" i="51"/>
  <c r="DE386" i="51"/>
  <c r="DE387" i="51"/>
  <c r="BM388" i="51"/>
  <c r="DE388" i="51"/>
  <c r="BM389" i="51"/>
  <c r="DE389" i="51"/>
  <c r="BM390" i="51"/>
  <c r="DE390" i="51"/>
  <c r="DE391" i="51"/>
  <c r="BM392" i="51"/>
  <c r="DE392" i="51"/>
  <c r="BM393" i="51"/>
  <c r="DE393" i="51"/>
  <c r="BM394" i="51"/>
  <c r="DE394" i="51"/>
  <c r="BM395" i="51"/>
  <c r="DE395" i="51"/>
  <c r="BM396" i="51"/>
  <c r="DE396" i="51"/>
  <c r="BM397" i="51"/>
  <c r="DE397" i="51"/>
  <c r="BM398" i="51"/>
  <c r="DE398" i="51"/>
  <c r="BM399" i="51"/>
  <c r="DE399" i="51"/>
  <c r="BM400" i="51"/>
  <c r="DE400" i="51"/>
  <c r="BM401" i="51"/>
  <c r="DE401" i="51"/>
  <c r="BM402" i="51"/>
  <c r="DE402" i="51"/>
  <c r="BM403" i="51"/>
  <c r="DE403" i="51"/>
  <c r="BM405" i="51"/>
  <c r="DE405" i="51"/>
  <c r="BM406" i="51"/>
  <c r="DE406" i="51"/>
  <c r="BM407" i="51"/>
  <c r="DE407" i="51"/>
  <c r="BM408" i="51"/>
  <c r="DE408" i="51"/>
  <c r="BM409" i="51"/>
  <c r="DE409" i="51"/>
  <c r="BM411" i="51"/>
  <c r="DE411" i="51"/>
  <c r="BM412" i="51"/>
  <c r="DE412" i="51"/>
  <c r="BM413" i="51"/>
  <c r="DE413" i="51"/>
  <c r="BM414" i="51"/>
  <c r="DE414" i="51"/>
  <c r="BM415" i="51"/>
  <c r="DE415" i="51"/>
  <c r="BM416" i="51"/>
  <c r="DE416" i="51"/>
  <c r="BM417" i="51"/>
  <c r="DE417" i="51"/>
  <c r="BM418" i="51"/>
  <c r="DE418" i="51"/>
  <c r="AK419" i="51"/>
  <c r="AK410" i="51" s="1"/>
  <c r="DE419" i="51"/>
  <c r="BM420" i="51"/>
  <c r="DE420" i="51"/>
  <c r="AG325" i="51"/>
  <c r="BM325" i="51" s="1"/>
  <c r="DE325" i="51"/>
  <c r="BM326" i="51"/>
  <c r="DE326" i="51"/>
  <c r="BM327" i="51"/>
  <c r="DE327" i="51"/>
  <c r="BM328" i="51"/>
  <c r="DE328" i="51"/>
  <c r="BM329" i="51"/>
  <c r="DE329" i="51"/>
  <c r="BM331" i="51"/>
  <c r="DE331" i="51"/>
  <c r="BM332" i="51"/>
  <c r="DE332" i="51"/>
  <c r="BM333" i="51"/>
  <c r="BM334" i="51"/>
  <c r="DE334" i="51"/>
  <c r="BM336" i="51"/>
  <c r="DE336" i="51"/>
  <c r="BM337" i="51"/>
  <c r="DE337" i="51"/>
  <c r="BM338" i="51"/>
  <c r="DE338" i="51"/>
  <c r="BM341" i="51"/>
  <c r="DE341" i="51"/>
  <c r="BM342" i="51"/>
  <c r="DE342" i="51"/>
  <c r="BM343" i="51"/>
  <c r="DE343" i="51"/>
  <c r="BM344" i="51"/>
  <c r="DE344" i="51"/>
  <c r="BM345" i="51"/>
  <c r="DE345" i="51"/>
  <c r="BM347" i="51"/>
  <c r="DE347" i="51"/>
  <c r="BM348" i="51"/>
  <c r="DE348" i="51"/>
  <c r="AK349" i="51"/>
  <c r="AK346" i="51" s="1"/>
  <c r="DE349" i="51"/>
  <c r="AK351" i="51"/>
  <c r="BM351" i="51" s="1"/>
  <c r="DE351" i="51"/>
  <c r="AK352" i="51"/>
  <c r="BM352" i="51" s="1"/>
  <c r="DE352" i="51"/>
  <c r="BM355" i="51"/>
  <c r="DE355" i="51"/>
  <c r="AK356" i="51"/>
  <c r="BM356" i="51" s="1"/>
  <c r="DE356" i="51"/>
  <c r="AK357" i="51"/>
  <c r="BM357" i="51" s="1"/>
  <c r="DE357" i="51"/>
  <c r="BM358" i="51"/>
  <c r="DE358" i="51"/>
  <c r="AK359" i="51"/>
  <c r="BM359" i="51" s="1"/>
  <c r="DE359" i="51"/>
  <c r="BM361" i="51"/>
  <c r="DE361" i="51"/>
  <c r="BM362" i="51"/>
  <c r="DE362" i="51"/>
  <c r="AG98" i="51"/>
  <c r="AG97" i="51" s="1"/>
  <c r="AK98" i="51"/>
  <c r="AK97" i="51" s="1"/>
  <c r="DE98" i="51"/>
  <c r="BM99" i="51"/>
  <c r="DE99" i="51"/>
  <c r="BM100" i="51"/>
  <c r="DE100" i="51"/>
  <c r="BM102" i="51"/>
  <c r="DE102" i="51"/>
  <c r="BM103" i="51"/>
  <c r="DE103" i="51"/>
  <c r="BM104" i="51"/>
  <c r="DE104" i="51"/>
  <c r="BM105" i="51"/>
  <c r="DE105" i="51"/>
  <c r="BM106" i="51"/>
  <c r="DE106" i="51"/>
  <c r="BM107" i="51"/>
  <c r="DE107" i="51"/>
  <c r="BM109" i="51"/>
  <c r="BM108" i="51" s="1"/>
  <c r="BM112" i="51"/>
  <c r="DE112" i="51"/>
  <c r="BM113" i="51"/>
  <c r="DE113" i="51"/>
  <c r="BM114" i="51"/>
  <c r="DE114" i="51"/>
  <c r="BM115" i="51"/>
  <c r="DE115" i="51"/>
  <c r="BM116" i="51"/>
  <c r="DE116" i="51"/>
  <c r="BM117" i="51"/>
  <c r="DE117" i="51"/>
  <c r="BM118" i="51"/>
  <c r="DE118" i="51"/>
  <c r="BM119" i="51"/>
  <c r="DE119" i="51"/>
  <c r="BM121" i="51"/>
  <c r="DE121" i="51"/>
  <c r="BM122" i="51"/>
  <c r="DE122" i="51"/>
  <c r="BM123" i="51"/>
  <c r="DE123" i="51"/>
  <c r="BM124" i="51"/>
  <c r="DE124" i="51"/>
  <c r="BM125" i="51"/>
  <c r="DE125" i="51"/>
  <c r="BM126" i="51"/>
  <c r="DE126" i="51"/>
  <c r="BM127" i="51"/>
  <c r="DE127" i="51"/>
  <c r="BM128" i="51"/>
  <c r="DE128" i="51"/>
  <c r="BM129" i="51"/>
  <c r="DE129" i="51"/>
  <c r="BM130" i="51"/>
  <c r="DE130" i="51"/>
  <c r="BM132" i="51"/>
  <c r="DE132" i="51"/>
  <c r="BM133" i="51"/>
  <c r="DE133" i="51"/>
  <c r="BM134" i="51"/>
  <c r="BM135" i="51"/>
  <c r="DE135" i="51"/>
  <c r="BM137" i="51"/>
  <c r="DE137" i="51"/>
  <c r="DE136" i="51" s="1"/>
  <c r="BM140" i="51"/>
  <c r="DE140" i="51"/>
  <c r="BM141" i="51"/>
  <c r="DE141" i="51"/>
  <c r="BM142" i="51"/>
  <c r="DE142" i="51"/>
  <c r="BM143" i="51"/>
  <c r="DE143" i="51"/>
  <c r="BM144" i="51"/>
  <c r="DE144" i="51"/>
  <c r="BM146" i="51"/>
  <c r="DE146" i="51"/>
  <c r="BM147" i="51"/>
  <c r="DE147" i="51"/>
  <c r="BM148" i="51"/>
  <c r="DE148" i="51"/>
  <c r="BM149" i="51"/>
  <c r="DE149" i="51"/>
  <c r="BM150" i="51"/>
  <c r="BM153" i="51"/>
  <c r="DE153" i="51"/>
  <c r="BM154" i="51"/>
  <c r="DE154" i="51"/>
  <c r="BM156" i="51"/>
  <c r="BM155" i="51" s="1"/>
  <c r="Z156" i="51" s="1"/>
  <c r="DE156" i="51"/>
  <c r="DE155" i="51" s="1"/>
  <c r="BM158" i="51"/>
  <c r="DE158" i="51"/>
  <c r="DE157" i="51" s="1"/>
  <c r="BM160" i="51"/>
  <c r="BM161" i="51"/>
  <c r="DE161" i="51"/>
  <c r="AG164" i="51"/>
  <c r="AG163" i="51" s="1"/>
  <c r="BM165" i="51"/>
  <c r="DE165" i="51"/>
  <c r="BM166" i="51"/>
  <c r="DE166" i="51"/>
  <c r="BM168" i="51"/>
  <c r="BM167" i="51" s="1"/>
  <c r="DE168" i="51"/>
  <c r="DE167" i="51" s="1"/>
  <c r="BM170" i="51"/>
  <c r="BM169" i="51" s="1"/>
  <c r="DE170" i="51"/>
  <c r="DE169" i="51" s="1"/>
  <c r="BM173" i="51"/>
  <c r="BM172" i="51" s="1"/>
  <c r="Z173" i="51" s="1"/>
  <c r="DE173" i="51"/>
  <c r="DE172" i="51" s="1"/>
  <c r="BM175" i="51"/>
  <c r="DE175" i="51"/>
  <c r="BM176" i="51"/>
  <c r="DE176" i="51"/>
  <c r="BM179" i="51"/>
  <c r="DE179" i="51"/>
  <c r="BM180" i="51"/>
  <c r="DE180" i="51"/>
  <c r="BM181" i="51"/>
  <c r="DE181" i="51"/>
  <c r="BM182" i="51"/>
  <c r="DE182" i="51"/>
  <c r="BM183" i="51"/>
  <c r="DE183" i="51"/>
  <c r="BM185" i="51"/>
  <c r="BM186" i="51"/>
  <c r="BM187" i="51"/>
  <c r="DE185" i="51"/>
  <c r="DE186" i="51"/>
  <c r="DE187" i="51"/>
  <c r="BM190" i="51"/>
  <c r="DE190" i="51"/>
  <c r="BM191" i="51"/>
  <c r="DE191" i="51"/>
  <c r="BM193" i="51"/>
  <c r="DE193" i="51"/>
  <c r="BM194" i="51"/>
  <c r="DE194" i="51"/>
  <c r="BM195" i="51"/>
  <c r="DE195" i="51"/>
  <c r="BM196" i="51"/>
  <c r="DE196" i="51"/>
  <c r="BM198" i="51"/>
  <c r="DE198" i="51"/>
  <c r="DE199" i="51"/>
  <c r="DE200" i="51"/>
  <c r="BM199" i="51"/>
  <c r="BE200" i="51"/>
  <c r="BE197" i="51" s="1"/>
  <c r="BE202" i="51"/>
  <c r="BE201" i="51" s="1"/>
  <c r="DE202" i="51"/>
  <c r="BM203" i="51"/>
  <c r="BM204" i="51"/>
  <c r="DE203" i="51"/>
  <c r="DE204" i="51"/>
  <c r="BM206" i="51"/>
  <c r="DE206" i="51"/>
  <c r="BM207" i="51"/>
  <c r="DE207" i="51"/>
  <c r="BE208" i="51"/>
  <c r="BE205" i="51" s="1"/>
  <c r="DE208" i="51"/>
  <c r="BM209" i="51"/>
  <c r="DE209" i="51"/>
  <c r="BM210" i="51"/>
  <c r="BM212" i="51"/>
  <c r="BM213" i="51"/>
  <c r="DE212" i="51"/>
  <c r="DE213" i="51"/>
  <c r="BE215" i="51"/>
  <c r="BE214" i="51" s="1"/>
  <c r="DE215" i="51"/>
  <c r="BM216" i="51"/>
  <c r="DE216" i="51"/>
  <c r="BM218" i="51"/>
  <c r="DE218" i="51"/>
  <c r="BM219" i="51"/>
  <c r="BM220" i="51"/>
  <c r="DE220" i="51"/>
  <c r="BM222" i="51"/>
  <c r="DE222" i="51"/>
  <c r="BM223" i="51"/>
  <c r="DE223" i="51"/>
  <c r="BE224" i="51"/>
  <c r="BE221" i="51" s="1"/>
  <c r="DE224" i="51"/>
  <c r="DE225" i="51"/>
  <c r="BM225" i="51"/>
  <c r="BM227" i="51"/>
  <c r="DE227" i="51"/>
  <c r="BM228" i="51"/>
  <c r="DE228" i="51"/>
  <c r="BM230" i="51"/>
  <c r="DE230" i="51"/>
  <c r="DE231" i="51"/>
  <c r="DE232" i="51"/>
  <c r="BM231" i="51"/>
  <c r="BM232" i="51"/>
  <c r="BM235" i="51"/>
  <c r="BM234" i="51" s="1"/>
  <c r="Z235" i="51" s="1"/>
  <c r="DE235" i="51"/>
  <c r="DE234" i="51" s="1"/>
  <c r="BM237" i="51"/>
  <c r="DE237" i="51"/>
  <c r="DE236" i="51" s="1"/>
  <c r="BM239" i="51"/>
  <c r="DE239" i="51"/>
  <c r="DE238" i="51" s="1"/>
  <c r="BM242" i="51"/>
  <c r="DE242" i="51"/>
  <c r="AO243" i="51"/>
  <c r="AO241" i="51" s="1"/>
  <c r="DE243" i="51"/>
  <c r="BM244" i="51"/>
  <c r="DE244" i="51"/>
  <c r="BM246" i="51"/>
  <c r="BM245" i="51" s="1"/>
  <c r="DE246" i="51"/>
  <c r="DE245" i="51" s="1"/>
  <c r="BM248" i="51"/>
  <c r="DE248" i="51"/>
  <c r="BM249" i="51"/>
  <c r="DE249" i="51"/>
  <c r="BM250" i="51"/>
  <c r="DE250" i="51"/>
  <c r="BM252" i="51"/>
  <c r="DE252" i="51"/>
  <c r="BM253" i="51"/>
  <c r="DE253" i="51"/>
  <c r="AG255" i="51"/>
  <c r="AG254" i="51" s="1"/>
  <c r="DE255" i="51"/>
  <c r="BM256" i="51"/>
  <c r="DE256" i="51"/>
  <c r="BM259" i="51"/>
  <c r="DE259" i="51"/>
  <c r="BM260" i="51"/>
  <c r="DE260" i="51"/>
  <c r="BM261" i="51"/>
  <c r="DE261" i="51"/>
  <c r="BM264" i="51"/>
  <c r="DE264" i="51"/>
  <c r="BM265" i="51"/>
  <c r="DE265" i="51"/>
  <c r="BM267" i="51"/>
  <c r="BM266" i="51" s="1"/>
  <c r="DE267" i="51"/>
  <c r="DE266" i="51" s="1"/>
  <c r="AK270" i="51"/>
  <c r="AK269" i="51" s="1"/>
  <c r="DE270" i="51"/>
  <c r="DE269" i="51" s="1"/>
  <c r="AK272" i="51"/>
  <c r="AK271" i="51" s="1"/>
  <c r="DE272" i="51"/>
  <c r="BM273" i="51"/>
  <c r="DE273" i="51"/>
  <c r="BM274" i="51"/>
  <c r="DE274" i="51"/>
  <c r="BM276" i="51"/>
  <c r="DE276" i="51"/>
  <c r="AK277" i="51"/>
  <c r="AK275" i="51" s="1"/>
  <c r="DE277" i="51"/>
  <c r="BM278" i="51"/>
  <c r="DE278" i="51"/>
  <c r="AK280" i="51"/>
  <c r="AK279" i="51" s="1"/>
  <c r="DE280" i="51"/>
  <c r="DE279" i="51" s="1"/>
  <c r="BM283" i="51"/>
  <c r="DE283" i="51"/>
  <c r="BM284" i="51"/>
  <c r="DE284" i="51"/>
  <c r="BM286" i="51"/>
  <c r="DE286" i="51"/>
  <c r="AK287" i="51"/>
  <c r="AK285" i="51" s="1"/>
  <c r="DE287" i="51"/>
  <c r="BM289" i="51"/>
  <c r="DE289" i="51"/>
  <c r="DE288" i="51" s="1"/>
  <c r="AK291" i="51"/>
  <c r="BM291" i="51" s="1"/>
  <c r="DE291" i="51"/>
  <c r="DE290" i="51" s="1"/>
  <c r="BM293" i="51"/>
  <c r="DE293" i="51"/>
  <c r="DE292" i="51" s="1"/>
  <c r="AK296" i="51"/>
  <c r="AK295" i="51" s="1"/>
  <c r="AK294" i="51" s="1"/>
  <c r="DE296" i="51"/>
  <c r="BM297" i="51"/>
  <c r="DE297" i="51"/>
  <c r="BM298" i="51"/>
  <c r="BM299" i="51"/>
  <c r="AK302" i="51"/>
  <c r="BM302" i="51" s="1"/>
  <c r="AK303" i="51"/>
  <c r="BM303" i="51" s="1"/>
  <c r="BM305" i="51"/>
  <c r="BM304" i="51" s="1"/>
  <c r="Z305" i="51" s="1"/>
  <c r="DE305" i="51"/>
  <c r="DE304" i="51" s="1"/>
  <c r="BM307" i="51"/>
  <c r="DE307" i="51"/>
  <c r="DE306" i="51" s="1"/>
  <c r="BM309" i="51"/>
  <c r="DE309" i="51"/>
  <c r="BM310" i="51"/>
  <c r="DE310" i="51"/>
  <c r="BM311" i="51"/>
  <c r="DE311" i="51"/>
  <c r="BM314" i="51"/>
  <c r="DE314" i="51"/>
  <c r="DE315" i="51"/>
  <c r="DE316" i="51"/>
  <c r="DE318" i="51"/>
  <c r="DE317" i="51" s="1"/>
  <c r="BM315" i="51"/>
  <c r="BM316" i="51"/>
  <c r="BM318" i="51"/>
  <c r="BM317" i="51" s="1"/>
  <c r="BM321" i="51"/>
  <c r="DE321" i="51"/>
  <c r="DE320" i="51" s="1"/>
  <c r="DE319" i="51" s="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BM50" i="51" s="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EW78" i="51"/>
  <c r="EW77" i="51" s="1"/>
  <c r="BM80" i="51"/>
  <c r="DE80" i="51"/>
  <c r="DE79" i="51" s="1"/>
  <c r="EW80" i="51"/>
  <c r="EW79" i="51" s="1"/>
  <c r="AG83" i="51"/>
  <c r="AG82" i="51" s="1"/>
  <c r="DE83" i="51"/>
  <c r="BM84" i="51"/>
  <c r="DE84" i="51"/>
  <c r="BM85" i="51"/>
  <c r="DE85" i="51"/>
  <c r="BM87" i="51"/>
  <c r="DE87" i="51"/>
  <c r="BM88" i="51"/>
  <c r="DE88" i="51"/>
  <c r="BM89" i="51"/>
  <c r="DE89" i="51"/>
  <c r="BM90" i="51"/>
  <c r="DE90" i="51"/>
  <c r="BM91" i="51"/>
  <c r="DE91" i="51"/>
  <c r="BM92" i="51"/>
  <c r="DE92" i="51"/>
  <c r="AG93" i="51"/>
  <c r="AG86" i="51" s="1"/>
  <c r="BM94" i="51"/>
  <c r="DE94" i="51"/>
  <c r="BM13" i="51"/>
  <c r="DE13" i="51"/>
  <c r="EW13" i="51"/>
  <c r="BM14" i="51"/>
  <c r="DE14" i="51"/>
  <c r="EW14" i="51"/>
  <c r="BI15" i="51"/>
  <c r="BI12" i="51" s="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BM29" i="51" s="1"/>
  <c r="DE29" i="51"/>
  <c r="EW29" i="51"/>
  <c r="BM30" i="51"/>
  <c r="DE30" i="51"/>
  <c r="EW30" i="51"/>
  <c r="BM31" i="51"/>
  <c r="DE31" i="51"/>
  <c r="EW31" i="51"/>
  <c r="BM32" i="51"/>
  <c r="DE32" i="51"/>
  <c r="EW32" i="51"/>
  <c r="AK33" i="51"/>
  <c r="BM33" i="51" s="1"/>
  <c r="DE33" i="51"/>
  <c r="EW33" i="51"/>
  <c r="BM34" i="51"/>
  <c r="DE34" i="51"/>
  <c r="EW34" i="51"/>
  <c r="BP366" i="51"/>
  <c r="BP367" i="51"/>
  <c r="BP368" i="51"/>
  <c r="BP369" i="51"/>
  <c r="BP371" i="51"/>
  <c r="BP372" i="51"/>
  <c r="BP375" i="51"/>
  <c r="BP376" i="51"/>
  <c r="BP377" i="51"/>
  <c r="BP378" i="51"/>
  <c r="BP379" i="51"/>
  <c r="BP380" i="51"/>
  <c r="BP382"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40" i="51"/>
  <c r="BP141" i="51"/>
  <c r="BP142" i="51"/>
  <c r="BP143" i="51"/>
  <c r="BP144" i="51"/>
  <c r="BP146" i="51"/>
  <c r="BP147" i="51"/>
  <c r="BP148" i="51"/>
  <c r="BP149" i="51"/>
  <c r="BP150" i="51"/>
  <c r="BP153" i="51"/>
  <c r="BP154" i="51"/>
  <c r="BP156" i="51"/>
  <c r="BP158" i="51"/>
  <c r="BP160" i="51"/>
  <c r="BP161" i="51"/>
  <c r="BP164" i="51"/>
  <c r="BP165" i="51"/>
  <c r="BP166" i="51"/>
  <c r="BP168" i="51"/>
  <c r="BP170" i="51"/>
  <c r="BP173"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7" i="51"/>
  <c r="BP239" i="51"/>
  <c r="BP242" i="51"/>
  <c r="BP243" i="51"/>
  <c r="BP244" i="51"/>
  <c r="BP246" i="51"/>
  <c r="BP248" i="51"/>
  <c r="BP249" i="51"/>
  <c r="AM250" i="51"/>
  <c r="AN250" i="51" s="1"/>
  <c r="BP252" i="51"/>
  <c r="BP253" i="51"/>
  <c r="BP255" i="51"/>
  <c r="BP256" i="51"/>
  <c r="BP259" i="51"/>
  <c r="BP260" i="51"/>
  <c r="BP261" i="51"/>
  <c r="BP264" i="51"/>
  <c r="BP265" i="51"/>
  <c r="BP267" i="51"/>
  <c r="BP270" i="51"/>
  <c r="BP272" i="51"/>
  <c r="BP273" i="51"/>
  <c r="BP274" i="51"/>
  <c r="BP276" i="51"/>
  <c r="BP277" i="51"/>
  <c r="BP278" i="51"/>
  <c r="BP280" i="51"/>
  <c r="BP283" i="51"/>
  <c r="BP284" i="51"/>
  <c r="BP286" i="51"/>
  <c r="BP287" i="51"/>
  <c r="BP289" i="51"/>
  <c r="BP291" i="51"/>
  <c r="BP293" i="51"/>
  <c r="BP296" i="51"/>
  <c r="BP297" i="51"/>
  <c r="BP298" i="51"/>
  <c r="BP299" i="51"/>
  <c r="BP302" i="51"/>
  <c r="BP303" i="51"/>
  <c r="BP305" i="51"/>
  <c r="BP307" i="51"/>
  <c r="BP309" i="51"/>
  <c r="BP310" i="51"/>
  <c r="BP311" i="51"/>
  <c r="BP314" i="51"/>
  <c r="BP315" i="51"/>
  <c r="BP316" i="51"/>
  <c r="BP318" i="51"/>
  <c r="BP321"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80"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AM351" i="51"/>
  <c r="AM350" i="51" s="1"/>
  <c r="BO352" i="51"/>
  <c r="BO355" i="51"/>
  <c r="BO356" i="51"/>
  <c r="BO357" i="51"/>
  <c r="BO358" i="51"/>
  <c r="BO359" i="51"/>
  <c r="BO361" i="51"/>
  <c r="BO362" i="51"/>
  <c r="BO98" i="51"/>
  <c r="BO99" i="51"/>
  <c r="BO100" i="51"/>
  <c r="BO102" i="51"/>
  <c r="BO103" i="51"/>
  <c r="BO104" i="51"/>
  <c r="BO105" i="51"/>
  <c r="BO106" i="51"/>
  <c r="BO107" i="51"/>
  <c r="BO109"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40" i="51"/>
  <c r="BO141" i="51"/>
  <c r="BO142" i="51"/>
  <c r="BO143" i="51"/>
  <c r="BO144" i="51"/>
  <c r="BO146" i="51"/>
  <c r="BO147" i="51"/>
  <c r="BO148" i="51"/>
  <c r="BO149" i="51"/>
  <c r="BO150" i="51"/>
  <c r="BO153" i="51"/>
  <c r="BO154" i="51"/>
  <c r="BO156" i="51"/>
  <c r="BO158" i="51"/>
  <c r="BO160" i="51"/>
  <c r="BO161" i="51"/>
  <c r="BO164" i="51"/>
  <c r="BO165" i="51"/>
  <c r="BO166" i="51"/>
  <c r="BO168" i="51"/>
  <c r="BO170" i="51"/>
  <c r="BO173"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7" i="51"/>
  <c r="BO239" i="51"/>
  <c r="BO242" i="51"/>
  <c r="BO243" i="51"/>
  <c r="BO244" i="51"/>
  <c r="BO246" i="51"/>
  <c r="BO248" i="51"/>
  <c r="BO249" i="51"/>
  <c r="BO252" i="51"/>
  <c r="BO253" i="51"/>
  <c r="BO255" i="51"/>
  <c r="BO256" i="51"/>
  <c r="BO259" i="51"/>
  <c r="BO260" i="51"/>
  <c r="BO261" i="51"/>
  <c r="BO264" i="51"/>
  <c r="BO265" i="51"/>
  <c r="BO267" i="51"/>
  <c r="BO270" i="51"/>
  <c r="BO272" i="51"/>
  <c r="BO273" i="51"/>
  <c r="BO274" i="51"/>
  <c r="BO276" i="51"/>
  <c r="BO277" i="51"/>
  <c r="BO278" i="51"/>
  <c r="BO280" i="51"/>
  <c r="BO283" i="51"/>
  <c r="BO284" i="51"/>
  <c r="BO286" i="51"/>
  <c r="BO287" i="51"/>
  <c r="BO289" i="51"/>
  <c r="BO291" i="51"/>
  <c r="BO293" i="51"/>
  <c r="BO296" i="51"/>
  <c r="BO297" i="51"/>
  <c r="BO298" i="51"/>
  <c r="BO299" i="51"/>
  <c r="BO302" i="51"/>
  <c r="BO303" i="51"/>
  <c r="BO305" i="51"/>
  <c r="BO307" i="51"/>
  <c r="BO309" i="51"/>
  <c r="BO310" i="51"/>
  <c r="BO311" i="51"/>
  <c r="BO314" i="51"/>
  <c r="BO315" i="51"/>
  <c r="BO316" i="51"/>
  <c r="BO318" i="51"/>
  <c r="BO321"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80"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BN406" i="51" s="1"/>
  <c r="AH407" i="5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12" i="51"/>
  <c r="BN113" i="51"/>
  <c r="BN114" i="51"/>
  <c r="BN115" i="51"/>
  <c r="BN116" i="51"/>
  <c r="BN117" i="51"/>
  <c r="BN118" i="51"/>
  <c r="BN119" i="51"/>
  <c r="BN121" i="51"/>
  <c r="BN122" i="51"/>
  <c r="BN123" i="51"/>
  <c r="BN124" i="51"/>
  <c r="BN125" i="51"/>
  <c r="BN126" i="51"/>
  <c r="BN127" i="51"/>
  <c r="BN128" i="51"/>
  <c r="BN129" i="51"/>
  <c r="BN130" i="51"/>
  <c r="BN132" i="51"/>
  <c r="BB133" i="51"/>
  <c r="BB131" i="51" s="1"/>
  <c r="BN134" i="51"/>
  <c r="BN135" i="51"/>
  <c r="BN137" i="51"/>
  <c r="BN140" i="51"/>
  <c r="BN141" i="51"/>
  <c r="BN142" i="51"/>
  <c r="BN143" i="51"/>
  <c r="BN144" i="51"/>
  <c r="BN146" i="51"/>
  <c r="BN147" i="51"/>
  <c r="BN148" i="51"/>
  <c r="BN149" i="51"/>
  <c r="BN150" i="51"/>
  <c r="BN153" i="51"/>
  <c r="BN154" i="51"/>
  <c r="BN156" i="51"/>
  <c r="BN158" i="51"/>
  <c r="BN160" i="51"/>
  <c r="BN161" i="51"/>
  <c r="BN164" i="51"/>
  <c r="BN165" i="51"/>
  <c r="BN166" i="51"/>
  <c r="BN168" i="51"/>
  <c r="BN170" i="51"/>
  <c r="BN173" i="51"/>
  <c r="BN175" i="51"/>
  <c r="BN176" i="51"/>
  <c r="BN179" i="51"/>
  <c r="BN180" i="51"/>
  <c r="BN181" i="51"/>
  <c r="BN182" i="51"/>
  <c r="BN183" i="51"/>
  <c r="BN185" i="51"/>
  <c r="BN186" i="51"/>
  <c r="BN187" i="51"/>
  <c r="BN190" i="51"/>
  <c r="BN191" i="51"/>
  <c r="BN193" i="51"/>
  <c r="BN194" i="51"/>
  <c r="BN195" i="51"/>
  <c r="BN196" i="51"/>
  <c r="BN198" i="51"/>
  <c r="BN199" i="51"/>
  <c r="BN200" i="51"/>
  <c r="BF202" i="51"/>
  <c r="BF201" i="51" s="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7" i="51"/>
  <c r="BN239" i="51"/>
  <c r="BN242" i="51"/>
  <c r="BN243" i="51"/>
  <c r="BN244" i="51"/>
  <c r="BN246" i="51"/>
  <c r="BN248" i="51"/>
  <c r="BN249" i="51"/>
  <c r="BN250" i="51"/>
  <c r="BN252" i="51"/>
  <c r="BN253" i="51"/>
  <c r="BN255" i="51"/>
  <c r="BN256" i="51"/>
  <c r="BN259" i="51"/>
  <c r="BN260" i="51"/>
  <c r="BN261" i="51"/>
  <c r="BN264" i="51"/>
  <c r="BN265" i="51"/>
  <c r="BN267" i="51"/>
  <c r="BN270" i="51"/>
  <c r="BN272" i="51"/>
  <c r="BN273" i="51"/>
  <c r="BN274" i="51"/>
  <c r="BN276" i="51"/>
  <c r="BN277" i="51"/>
  <c r="BN278" i="51"/>
  <c r="BN280" i="51"/>
  <c r="BN283" i="51"/>
  <c r="BN284" i="51"/>
  <c r="AL286" i="51"/>
  <c r="AL285" i="51" s="1"/>
  <c r="BN287" i="51"/>
  <c r="BN289" i="51"/>
  <c r="BN291" i="51"/>
  <c r="BN293" i="51"/>
  <c r="BN296" i="51"/>
  <c r="BN297" i="51"/>
  <c r="BN298" i="51"/>
  <c r="BN299" i="51"/>
  <c r="BN302" i="51"/>
  <c r="BN303" i="51"/>
  <c r="BN305" i="51"/>
  <c r="BN307" i="51"/>
  <c r="BN309" i="51"/>
  <c r="BN310" i="51"/>
  <c r="BN311" i="51"/>
  <c r="BN314" i="51"/>
  <c r="BN315" i="51"/>
  <c r="BN316" i="51"/>
  <c r="BN318" i="51"/>
  <c r="BN321"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80" i="51"/>
  <c r="AH82" i="51"/>
  <c r="BN84" i="51"/>
  <c r="BN85" i="51"/>
  <c r="BN87" i="51"/>
  <c r="BN88" i="51"/>
  <c r="BN89" i="51"/>
  <c r="BN90" i="51"/>
  <c r="BN91" i="51"/>
  <c r="BN92" i="51"/>
  <c r="BN93" i="51"/>
  <c r="BN94" i="51"/>
  <c r="BN13" i="51"/>
  <c r="BN14" i="51"/>
  <c r="BN15" i="51"/>
  <c r="BN16" i="51"/>
  <c r="BN17" i="51"/>
  <c r="BN18" i="51"/>
  <c r="BN20" i="51"/>
  <c r="AL21" i="51"/>
  <c r="BN21" i="51" s="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GU325" i="51"/>
  <c r="DF160" i="51"/>
  <c r="BM83" i="51"/>
  <c r="DF237" i="51" l="1"/>
  <c r="DF236" i="51" s="1"/>
  <c r="BN286" i="51"/>
  <c r="DH109" i="51"/>
  <c r="DH108" i="51" s="1"/>
  <c r="DE303" i="51"/>
  <c r="DX81" i="51"/>
  <c r="EB81" i="51"/>
  <c r="EF81" i="51"/>
  <c r="EJ81" i="51"/>
  <c r="EN81" i="51"/>
  <c r="ES81" i="51"/>
  <c r="CA145" i="51"/>
  <c r="BM93" i="51"/>
  <c r="DE109" i="51"/>
  <c r="DE108" i="51" s="1"/>
  <c r="BZ301" i="51"/>
  <c r="BZ300" i="51" s="1"/>
  <c r="DF99" i="51"/>
  <c r="BM419" i="51"/>
  <c r="BM208" i="51"/>
  <c r="BM270" i="51"/>
  <c r="BM269" i="51" s="1"/>
  <c r="BM243" i="51"/>
  <c r="GZ243" i="51" s="1"/>
  <c r="DG98" i="51"/>
  <c r="AG324" i="51"/>
  <c r="DN97" i="51"/>
  <c r="DN96" i="51" s="1"/>
  <c r="DN324" i="51"/>
  <c r="DN323" i="51" s="1"/>
  <c r="DS365" i="51"/>
  <c r="DS364" i="51" s="1"/>
  <c r="BM15" i="51"/>
  <c r="GZ15" i="51" s="1"/>
  <c r="CQ145" i="51"/>
  <c r="CQ138" i="51" s="1"/>
  <c r="DF327" i="51"/>
  <c r="DF324" i="51" s="1"/>
  <c r="DG99" i="51"/>
  <c r="BM202" i="51"/>
  <c r="BM201" i="51" s="1"/>
  <c r="Z202" i="51" s="1"/>
  <c r="AK301" i="51"/>
  <c r="BM349" i="51"/>
  <c r="GZ349" i="51" s="1"/>
  <c r="CS108" i="51"/>
  <c r="CS96" i="51" s="1"/>
  <c r="BZ131" i="51"/>
  <c r="BU86" i="51"/>
  <c r="BU81" i="51" s="1"/>
  <c r="DF321" i="51"/>
  <c r="DF320" i="51" s="1"/>
  <c r="DF319" i="51" s="1"/>
  <c r="BU301" i="51"/>
  <c r="BU300" i="51" s="1"/>
  <c r="CA97" i="51"/>
  <c r="CA96" i="51" s="1"/>
  <c r="AK27" i="51"/>
  <c r="AK11" i="51" s="1"/>
  <c r="AK10" i="51" s="1"/>
  <c r="AK290" i="51"/>
  <c r="AK281" i="51" s="1"/>
  <c r="DF164" i="51"/>
  <c r="BM224" i="51"/>
  <c r="BM221" i="51" s="1"/>
  <c r="Z224" i="51" s="1"/>
  <c r="DF98" i="51"/>
  <c r="DF407" i="51"/>
  <c r="DF404" i="51" s="1"/>
  <c r="BN202" i="51"/>
  <c r="GU333" i="51"/>
  <c r="GU330" i="51" s="1"/>
  <c r="BV97" i="51"/>
  <c r="BV96" i="51" s="1"/>
  <c r="BM272" i="51"/>
  <c r="BM271" i="51" s="1"/>
  <c r="BM287" i="51"/>
  <c r="GZ287" i="51" s="1"/>
  <c r="DQ86" i="51"/>
  <c r="BM382" i="51"/>
  <c r="BM381" i="51" s="1"/>
  <c r="Z382" i="51" s="1"/>
  <c r="AK350" i="51"/>
  <c r="AK339" i="51" s="1"/>
  <c r="BM164" i="51"/>
  <c r="BM163" i="51" s="1"/>
  <c r="Z164" i="51" s="1"/>
  <c r="DG83" i="51"/>
  <c r="DG82" i="51" s="1"/>
  <c r="BM277" i="51"/>
  <c r="BM275" i="51" s="1"/>
  <c r="Z277" i="51" s="1"/>
  <c r="FB86" i="51"/>
  <c r="FB81" i="51" s="1"/>
  <c r="DE160" i="51"/>
  <c r="GZ160" i="51" s="1"/>
  <c r="DN295" i="51"/>
  <c r="DN294" i="51" s="1"/>
  <c r="GU303" i="51"/>
  <c r="GZ303" i="51" s="1"/>
  <c r="DO82" i="51"/>
  <c r="AN350" i="51"/>
  <c r="AN339" i="51" s="1"/>
  <c r="DE302" i="51"/>
  <c r="DE301" i="51" s="1"/>
  <c r="GA19" i="51"/>
  <c r="GA11" i="51" s="1"/>
  <c r="GA10" i="51" s="1"/>
  <c r="BU330" i="51"/>
  <c r="BU323" i="51" s="1"/>
  <c r="AK49" i="51"/>
  <c r="AK36" i="51" s="1"/>
  <c r="DF80" i="51"/>
  <c r="DF79" i="51" s="1"/>
  <c r="BN133" i="51"/>
  <c r="BN131" i="51" s="1"/>
  <c r="DF250" i="51"/>
  <c r="AH404" i="51"/>
  <c r="AK354" i="51"/>
  <c r="GU93" i="51"/>
  <c r="GU86" i="51" s="1"/>
  <c r="FG301" i="51"/>
  <c r="FG300" i="51" s="1"/>
  <c r="CB97" i="51"/>
  <c r="BM296" i="51"/>
  <c r="BM295" i="51" s="1"/>
  <c r="BU295" i="51"/>
  <c r="BU294" i="51" s="1"/>
  <c r="BM255" i="51"/>
  <c r="BM254" i="51" s="1"/>
  <c r="Z255" i="51" s="1"/>
  <c r="BN83" i="51"/>
  <c r="BN82" i="51" s="1"/>
  <c r="FG86" i="51"/>
  <c r="FG97" i="51"/>
  <c r="FG96" i="51" s="1"/>
  <c r="FL301" i="51"/>
  <c r="FL300" i="51" s="1"/>
  <c r="DP82" i="51"/>
  <c r="DZ11" i="51"/>
  <c r="DZ10" i="51" s="1"/>
  <c r="EI373" i="51"/>
  <c r="BT323" i="51"/>
  <c r="DS81" i="51"/>
  <c r="DI373" i="51"/>
  <c r="EW333" i="51"/>
  <c r="EW98" i="51"/>
  <c r="EW97" i="51" s="1"/>
  <c r="CM19" i="51"/>
  <c r="CM11" i="51" s="1"/>
  <c r="CM10" i="51" s="1"/>
  <c r="EO192" i="51"/>
  <c r="GU100" i="51"/>
  <c r="GZ100" i="51" s="1"/>
  <c r="EW298" i="51"/>
  <c r="EW295" i="51" s="1"/>
  <c r="EW294" i="51" s="1"/>
  <c r="DS131" i="51"/>
  <c r="DS110" i="51" s="1"/>
  <c r="DN81" i="51"/>
  <c r="BM215" i="51"/>
  <c r="GZ215" i="51" s="1"/>
  <c r="AL19" i="51"/>
  <c r="AL11" i="51" s="1"/>
  <c r="AL10" i="51" s="1"/>
  <c r="DP86" i="51"/>
  <c r="DQ82" i="51"/>
  <c r="DH63" i="51"/>
  <c r="DH58" i="51" s="1"/>
  <c r="BM366" i="51"/>
  <c r="GZ366" i="51" s="1"/>
  <c r="DO86" i="51"/>
  <c r="GU302" i="51"/>
  <c r="EW409" i="51"/>
  <c r="GZ409" i="51" s="1"/>
  <c r="EW352" i="51"/>
  <c r="GZ352" i="51" s="1"/>
  <c r="EW89" i="51"/>
  <c r="EW86" i="51" s="1"/>
  <c r="ES120" i="51"/>
  <c r="ES110" i="51" s="1"/>
  <c r="DH99" i="51"/>
  <c r="BM98" i="51"/>
  <c r="BM97" i="51" s="1"/>
  <c r="Z98" i="51" s="1"/>
  <c r="BM280" i="51"/>
  <c r="BM279" i="51" s="1"/>
  <c r="DF83" i="51"/>
  <c r="BX82" i="51"/>
  <c r="BX81" i="51" s="1"/>
  <c r="DE164" i="51"/>
  <c r="BM200" i="51"/>
  <c r="GZ200" i="51" s="1"/>
  <c r="GU103" i="51"/>
  <c r="GZ103" i="51" s="1"/>
  <c r="EW325" i="51"/>
  <c r="GZ325" i="51" s="1"/>
  <c r="BN234" i="51"/>
  <c r="BN381" i="51"/>
  <c r="BO79" i="51"/>
  <c r="BO279" i="51"/>
  <c r="BO238" i="51"/>
  <c r="BO381" i="51"/>
  <c r="BP108" i="51"/>
  <c r="BN288" i="51"/>
  <c r="BN236" i="51"/>
  <c r="BO266" i="51"/>
  <c r="BO245" i="51"/>
  <c r="BO167" i="51"/>
  <c r="BP79" i="51"/>
  <c r="BP279" i="51"/>
  <c r="BP266" i="51"/>
  <c r="BP155" i="51"/>
  <c r="BN77" i="51"/>
  <c r="BN320" i="51"/>
  <c r="BN319" i="51" s="1"/>
  <c r="BN306" i="51"/>
  <c r="BN292" i="51"/>
  <c r="BN279" i="51"/>
  <c r="BN266" i="51"/>
  <c r="BN79" i="51"/>
  <c r="BN269" i="51"/>
  <c r="BO136" i="51"/>
  <c r="BP169" i="51"/>
  <c r="BN317" i="51"/>
  <c r="BN304" i="51"/>
  <c r="BN290" i="51"/>
  <c r="BN245" i="51"/>
  <c r="BN238" i="51"/>
  <c r="BN169" i="51"/>
  <c r="BN155" i="51"/>
  <c r="BO317" i="51"/>
  <c r="BN167" i="51"/>
  <c r="BN136" i="51"/>
  <c r="BN108" i="51"/>
  <c r="BO288" i="51"/>
  <c r="BO269" i="51"/>
  <c r="BO169" i="51"/>
  <c r="BO155" i="51"/>
  <c r="BO108" i="51"/>
  <c r="BP288" i="51"/>
  <c r="BP269" i="51"/>
  <c r="BP234" i="51"/>
  <c r="BP172" i="51"/>
  <c r="BP157" i="51"/>
  <c r="GZ13" i="51"/>
  <c r="BN172" i="51"/>
  <c r="BN157" i="51"/>
  <c r="BO77" i="51"/>
  <c r="BO320" i="51"/>
  <c r="BO319" i="51" s="1"/>
  <c r="BO306" i="51"/>
  <c r="BO292" i="51"/>
  <c r="BO236" i="51"/>
  <c r="BP77" i="51"/>
  <c r="BP320" i="51"/>
  <c r="BP319" i="51" s="1"/>
  <c r="BP306" i="51"/>
  <c r="BP292" i="51"/>
  <c r="BP245" i="51"/>
  <c r="BP238" i="51"/>
  <c r="BP167" i="51"/>
  <c r="BP136" i="51"/>
  <c r="BO304" i="51"/>
  <c r="BO290" i="51"/>
  <c r="BO234" i="51"/>
  <c r="BO172" i="51"/>
  <c r="BO157" i="51"/>
  <c r="BP317" i="51"/>
  <c r="BP304" i="51"/>
  <c r="BP290" i="51"/>
  <c r="BP236" i="51"/>
  <c r="BP381" i="51"/>
  <c r="BO351" i="51"/>
  <c r="BE138" i="51"/>
  <c r="CS138" i="51"/>
  <c r="AW177" i="51"/>
  <c r="EO11" i="51"/>
  <c r="EO10" i="51" s="1"/>
  <c r="M7" i="66"/>
  <c r="O8" i="66"/>
  <c r="G8" i="66"/>
  <c r="K8" i="66"/>
  <c r="M8" i="66"/>
  <c r="O7" i="66"/>
  <c r="K11" i="66"/>
  <c r="AJ96" i="51"/>
  <c r="DC81" i="51"/>
  <c r="M10" i="66"/>
  <c r="DH407" i="51"/>
  <c r="DH404" i="51" s="1"/>
  <c r="AQ312" i="51"/>
  <c r="AU312" i="51"/>
  <c r="DJ373" i="51"/>
  <c r="DY11" i="51"/>
  <c r="DY10" i="51" s="1"/>
  <c r="AD81" i="51"/>
  <c r="AK96" i="51"/>
  <c r="AL171" i="51"/>
  <c r="EN11" i="51"/>
  <c r="EN10" i="51" s="1"/>
  <c r="M11" i="66"/>
  <c r="O11" i="66"/>
  <c r="I10" i="66"/>
  <c r="O10" i="66"/>
  <c r="K10" i="66"/>
  <c r="D12" i="66"/>
  <c r="O12" i="66" s="1"/>
  <c r="K9" i="66"/>
  <c r="G9" i="66"/>
  <c r="O9" i="66"/>
  <c r="M9" i="66"/>
  <c r="EP11" i="51"/>
  <c r="EP10" i="51" s="1"/>
  <c r="EE373" i="51"/>
  <c r="AS177" i="51"/>
  <c r="DG407" i="51"/>
  <c r="DG404" i="51" s="1"/>
  <c r="GW234" i="51"/>
  <c r="GW233" i="51" s="1"/>
  <c r="G17" i="56" s="1"/>
  <c r="G16" i="63" s="1"/>
  <c r="GV234" i="51"/>
  <c r="GV233" i="51" s="1"/>
  <c r="E17" i="56" s="1"/>
  <c r="GX234" i="51"/>
  <c r="GX233" i="51" s="1"/>
  <c r="I17" i="56" s="1"/>
  <c r="BN350" i="51"/>
  <c r="ES364" i="51"/>
  <c r="BL312" i="51"/>
  <c r="BD312" i="51"/>
  <c r="BH312" i="51"/>
  <c r="EQ364" i="51"/>
  <c r="AO177" i="51"/>
  <c r="BA177" i="51"/>
  <c r="FG81" i="51"/>
  <c r="DR82" i="51"/>
  <c r="DR81" i="51" s="1"/>
  <c r="EQ229" i="51"/>
  <c r="EQ188" i="51" s="1"/>
  <c r="FM79" i="51"/>
  <c r="FM73" i="51" s="1"/>
  <c r="EX170" i="51"/>
  <c r="EX169" i="51" s="1"/>
  <c r="EO229" i="51"/>
  <c r="CT138" i="51"/>
  <c r="CX138" i="51"/>
  <c r="GW80" i="51"/>
  <c r="GW79" i="51" s="1"/>
  <c r="GV164" i="51"/>
  <c r="DZ188" i="51"/>
  <c r="DY188" i="51"/>
  <c r="EA188" i="51"/>
  <c r="GV74" i="51"/>
  <c r="GV73" i="51" s="1"/>
  <c r="E7" i="56" s="1"/>
  <c r="EY236" i="51"/>
  <c r="EY233" i="51" s="1"/>
  <c r="EX236" i="51"/>
  <c r="EX233" i="51" s="1"/>
  <c r="EZ236" i="51"/>
  <c r="EZ233" i="51" s="1"/>
  <c r="GH373" i="51"/>
  <c r="GL364" i="51"/>
  <c r="GN353" i="51"/>
  <c r="FX373" i="51"/>
  <c r="FX81" i="51"/>
  <c r="FZ364" i="51"/>
  <c r="GC373" i="51"/>
  <c r="GC353" i="51"/>
  <c r="GJ364" i="51"/>
  <c r="ET364" i="51"/>
  <c r="EB364" i="51"/>
  <c r="EJ364" i="51"/>
  <c r="EU364" i="51"/>
  <c r="DP96" i="51"/>
  <c r="DU96" i="51"/>
  <c r="DZ96" i="51"/>
  <c r="EE96" i="51"/>
  <c r="EK96" i="51"/>
  <c r="EP96" i="51"/>
  <c r="DK96" i="51"/>
  <c r="GZ210" i="51"/>
  <c r="AK383" i="51"/>
  <c r="BL36" i="51"/>
  <c r="BH36" i="51"/>
  <c r="BD36" i="51"/>
  <c r="AZ36" i="51"/>
  <c r="AV36" i="51"/>
  <c r="AR36" i="51"/>
  <c r="AN36" i="51"/>
  <c r="AJ36" i="51"/>
  <c r="AF36" i="51"/>
  <c r="CI73" i="51"/>
  <c r="CQ73" i="51"/>
  <c r="CU73" i="51"/>
  <c r="CY73" i="51"/>
  <c r="CK96" i="51"/>
  <c r="BQ138" i="51"/>
  <c r="AF138" i="51"/>
  <c r="AJ138" i="51"/>
  <c r="AN138" i="51"/>
  <c r="AR138" i="51"/>
  <c r="AV138" i="51"/>
  <c r="AZ138" i="51"/>
  <c r="BJ138" i="51"/>
  <c r="AF151" i="51"/>
  <c r="AN151" i="51"/>
  <c r="AR151" i="51"/>
  <c r="BJ151" i="51"/>
  <c r="AK162" i="51"/>
  <c r="AO162" i="51"/>
  <c r="AS162" i="51"/>
  <c r="AW162" i="51"/>
  <c r="BI162" i="51"/>
  <c r="AC171" i="51"/>
  <c r="AG171" i="51"/>
  <c r="AQ171" i="51"/>
  <c r="AU171" i="51"/>
  <c r="AY171" i="51"/>
  <c r="BC171" i="51"/>
  <c r="BG171" i="51"/>
  <c r="EW82" i="51"/>
  <c r="GG11" i="51"/>
  <c r="GG10" i="51" s="1"/>
  <c r="DT81" i="51"/>
  <c r="EX37" i="51"/>
  <c r="GW74" i="51"/>
  <c r="GX74" i="51"/>
  <c r="GX73" i="51" s="1"/>
  <c r="I7" i="56" s="1"/>
  <c r="GN81" i="51"/>
  <c r="FD177" i="51"/>
  <c r="FJ364" i="51"/>
  <c r="FP364" i="51"/>
  <c r="BE162" i="51"/>
  <c r="BA162" i="51"/>
  <c r="FN11" i="51"/>
  <c r="FN10" i="51" s="1"/>
  <c r="AT373" i="51"/>
  <c r="DD81" i="51"/>
  <c r="BH383" i="51"/>
  <c r="FI81" i="51"/>
  <c r="GX370" i="51"/>
  <c r="GN373" i="51"/>
  <c r="FC364" i="51"/>
  <c r="FC81" i="51"/>
  <c r="FC96" i="51"/>
  <c r="BH110" i="51"/>
  <c r="AD138" i="51"/>
  <c r="AH138" i="51"/>
  <c r="AL138" i="51"/>
  <c r="AP138" i="51"/>
  <c r="AT138" i="51"/>
  <c r="AX138" i="51"/>
  <c r="BB138" i="51"/>
  <c r="BL138" i="51"/>
  <c r="AD151" i="51"/>
  <c r="AH151" i="51"/>
  <c r="AL151" i="51"/>
  <c r="AP151" i="51"/>
  <c r="AT151" i="51"/>
  <c r="BL151" i="51"/>
  <c r="BK171" i="51"/>
  <c r="AI233" i="51"/>
  <c r="AO233" i="51"/>
  <c r="AS233" i="51"/>
  <c r="AW233" i="51"/>
  <c r="BA233" i="51"/>
  <c r="BE233" i="51"/>
  <c r="BI233" i="51"/>
  <c r="AC233" i="51"/>
  <c r="AG233" i="51"/>
  <c r="AK233" i="51"/>
  <c r="AQ233" i="51"/>
  <c r="AU233" i="51"/>
  <c r="AY233" i="51"/>
  <c r="BC233" i="51"/>
  <c r="BG233" i="51"/>
  <c r="BK233" i="51"/>
  <c r="AD281" i="51"/>
  <c r="AI323" i="51"/>
  <c r="AM323" i="51"/>
  <c r="AQ323" i="51"/>
  <c r="AU323" i="51"/>
  <c r="AY323" i="51"/>
  <c r="BC323" i="51"/>
  <c r="BG323" i="51"/>
  <c r="BK323" i="51"/>
  <c r="AK323" i="51"/>
  <c r="AO323" i="51"/>
  <c r="AS323" i="51"/>
  <c r="BA323" i="51"/>
  <c r="BI323" i="51"/>
  <c r="BI322" i="51" s="1"/>
  <c r="BC339" i="51"/>
  <c r="AS339" i="51"/>
  <c r="AD364" i="51"/>
  <c r="AH364" i="51"/>
  <c r="AF364" i="51"/>
  <c r="AJ364" i="51"/>
  <c r="AQ373" i="51"/>
  <c r="BC373" i="51"/>
  <c r="AI383" i="51"/>
  <c r="BF383" i="51"/>
  <c r="GW335" i="51"/>
  <c r="GL383" i="51"/>
  <c r="FC312" i="51"/>
  <c r="FE364" i="51"/>
  <c r="FE339" i="51"/>
  <c r="FK373" i="51"/>
  <c r="FN81" i="51"/>
  <c r="FN73" i="51"/>
  <c r="FO364" i="51"/>
  <c r="FR373" i="51"/>
  <c r="FR81" i="51"/>
  <c r="FT339" i="51"/>
  <c r="FU383" i="51"/>
  <c r="FU323" i="51"/>
  <c r="FW81" i="51"/>
  <c r="GB81" i="51"/>
  <c r="GA373" i="51"/>
  <c r="GF364" i="51"/>
  <c r="GK373" i="51"/>
  <c r="GQ373" i="51"/>
  <c r="GR364" i="51"/>
  <c r="GS373" i="51"/>
  <c r="GT364" i="51"/>
  <c r="GU350" i="51"/>
  <c r="GM364" i="51"/>
  <c r="GO81" i="51"/>
  <c r="FE353" i="51"/>
  <c r="FY353" i="51"/>
  <c r="GD373" i="51"/>
  <c r="GI373" i="51"/>
  <c r="FD81" i="51"/>
  <c r="FF373" i="51"/>
  <c r="FF353" i="51"/>
  <c r="FM373" i="51"/>
  <c r="FM353" i="51"/>
  <c r="CN36" i="51"/>
  <c r="EB36" i="51"/>
  <c r="CT171" i="51"/>
  <c r="FK339" i="51"/>
  <c r="FY323" i="51"/>
  <c r="GH364" i="51"/>
  <c r="AI162" i="51"/>
  <c r="AQ162" i="51"/>
  <c r="AU162" i="51"/>
  <c r="AY162" i="51"/>
  <c r="BC162" i="51"/>
  <c r="BG162" i="51"/>
  <c r="AE171" i="51"/>
  <c r="AI171" i="51"/>
  <c r="AO171" i="51"/>
  <c r="AS171" i="51"/>
  <c r="AW171" i="51"/>
  <c r="BA171" i="51"/>
  <c r="BE171" i="51"/>
  <c r="FB268" i="51"/>
  <c r="FB300" i="51"/>
  <c r="FB312" i="51"/>
  <c r="CW11" i="51"/>
  <c r="CW10" i="51" s="1"/>
  <c r="EG11" i="51"/>
  <c r="EG10" i="51" s="1"/>
  <c r="BR73" i="51"/>
  <c r="DK73" i="51"/>
  <c r="DO73" i="51"/>
  <c r="DS73" i="51"/>
  <c r="EA73" i="51"/>
  <c r="BT73" i="51"/>
  <c r="DI73" i="51"/>
  <c r="DM73" i="51"/>
  <c r="DU73" i="51"/>
  <c r="DY73" i="51"/>
  <c r="CK73" i="51"/>
  <c r="CS73" i="51"/>
  <c r="CW73" i="51"/>
  <c r="CD81" i="51"/>
  <c r="CH81" i="51"/>
  <c r="CP81" i="51"/>
  <c r="CT81" i="51"/>
  <c r="CF81" i="51"/>
  <c r="CN81" i="51"/>
  <c r="CR81" i="51"/>
  <c r="CV81" i="51"/>
  <c r="ED81" i="51"/>
  <c r="CI96" i="51"/>
  <c r="CM96" i="51"/>
  <c r="BI171" i="51"/>
  <c r="GO364" i="51"/>
  <c r="FD364" i="51"/>
  <c r="FD339" i="51"/>
  <c r="FD151" i="51"/>
  <c r="FD138" i="51"/>
  <c r="FH81" i="51"/>
  <c r="FI373" i="51"/>
  <c r="FJ323" i="51"/>
  <c r="FO339" i="51"/>
  <c r="FO73" i="51"/>
  <c r="FP323" i="51"/>
  <c r="FS323" i="51"/>
  <c r="FW373" i="51"/>
  <c r="FW73" i="51"/>
  <c r="FY339" i="51"/>
  <c r="GD73" i="51"/>
  <c r="GD36" i="51"/>
  <c r="GE353" i="51"/>
  <c r="GI364" i="51"/>
  <c r="GI73" i="51"/>
  <c r="AD300" i="51"/>
  <c r="GP364" i="51"/>
  <c r="P351" i="51"/>
  <c r="AW323" i="51"/>
  <c r="FG262" i="51"/>
  <c r="GV370" i="51"/>
  <c r="GW370" i="51"/>
  <c r="FS373" i="51"/>
  <c r="FS353" i="51"/>
  <c r="FS81" i="51"/>
  <c r="FU364" i="51"/>
  <c r="FX353" i="51"/>
  <c r="GC81" i="51"/>
  <c r="GE364" i="51"/>
  <c r="GH353" i="51"/>
  <c r="GH81" i="51"/>
  <c r="GL339" i="51"/>
  <c r="FF36" i="51"/>
  <c r="FJ373" i="51"/>
  <c r="EG383" i="51"/>
  <c r="EL383" i="51"/>
  <c r="DY383" i="51"/>
  <c r="DY363" i="51" s="1"/>
  <c r="ED383" i="51"/>
  <c r="EI383" i="51"/>
  <c r="EO383" i="51"/>
  <c r="BC383" i="51"/>
  <c r="GP11" i="51"/>
  <c r="GP10" i="51" s="1"/>
  <c r="GU49" i="51"/>
  <c r="GU42" i="51"/>
  <c r="GV384" i="51"/>
  <c r="GV374" i="51"/>
  <c r="GV373" i="51" s="1"/>
  <c r="E31" i="56" s="1"/>
  <c r="GW374" i="51"/>
  <c r="GW373" i="51" s="1"/>
  <c r="G31" i="56" s="1"/>
  <c r="FD240" i="51"/>
  <c r="FE268" i="51"/>
  <c r="BP350" i="51"/>
  <c r="FV383" i="51"/>
  <c r="FV364" i="51"/>
  <c r="GF11" i="51"/>
  <c r="GF10" i="51" s="1"/>
  <c r="GF323" i="51"/>
  <c r="GQ81" i="51"/>
  <c r="GQ353" i="51"/>
  <c r="GR11" i="51"/>
  <c r="GR10" i="51" s="1"/>
  <c r="GR323" i="51"/>
  <c r="GT11" i="51"/>
  <c r="GT10" i="51" s="1"/>
  <c r="GT323" i="51"/>
  <c r="GU69" i="51"/>
  <c r="GU360" i="51"/>
  <c r="GU374" i="51"/>
  <c r="GU373" i="51" s="1"/>
  <c r="GL323" i="51"/>
  <c r="GM373" i="51"/>
  <c r="GM81" i="51"/>
  <c r="GO339" i="51"/>
  <c r="GO73" i="51"/>
  <c r="FC323" i="51"/>
  <c r="FC268" i="51"/>
  <c r="FE383" i="51"/>
  <c r="FH353" i="51"/>
  <c r="FI73" i="51"/>
  <c r="FJ383" i="51"/>
  <c r="FK353" i="51"/>
  <c r="FK81" i="51"/>
  <c r="FN373" i="51"/>
  <c r="FN353" i="51"/>
  <c r="FP383" i="51"/>
  <c r="FS36" i="51"/>
  <c r="FT73" i="51"/>
  <c r="FW353" i="51"/>
  <c r="FX11" i="51"/>
  <c r="FX10" i="51" s="1"/>
  <c r="FY364" i="51"/>
  <c r="FY73" i="51"/>
  <c r="FY36" i="51"/>
  <c r="FZ383" i="51"/>
  <c r="FZ323" i="51"/>
  <c r="GB373" i="51"/>
  <c r="GB353" i="51"/>
  <c r="GC11" i="51"/>
  <c r="GC10" i="51" s="1"/>
  <c r="GD364" i="51"/>
  <c r="GD339" i="51"/>
  <c r="GE383" i="51"/>
  <c r="GE323" i="51"/>
  <c r="GG373" i="51"/>
  <c r="GG353" i="51"/>
  <c r="GG81" i="51"/>
  <c r="GI339" i="51"/>
  <c r="GJ383" i="51"/>
  <c r="GJ323" i="51"/>
  <c r="GW86" i="51"/>
  <c r="EO373" i="51"/>
  <c r="EH96" i="51"/>
  <c r="FV339" i="51"/>
  <c r="GU12" i="51"/>
  <c r="GU58" i="51"/>
  <c r="GU335" i="51"/>
  <c r="CP177" i="51"/>
  <c r="CP312" i="51"/>
  <c r="BY323" i="51"/>
  <c r="CH364" i="51"/>
  <c r="AN81" i="51"/>
  <c r="AT110" i="51"/>
  <c r="AX240" i="51"/>
  <c r="BL339" i="51"/>
  <c r="FB73" i="51"/>
  <c r="GS11" i="51"/>
  <c r="GS10" i="51" s="1"/>
  <c r="CY312" i="51"/>
  <c r="BI73" i="51"/>
  <c r="BQ339" i="51"/>
  <c r="BU339" i="51"/>
  <c r="BY339" i="51"/>
  <c r="CU339" i="51"/>
  <c r="CY339" i="51"/>
  <c r="DC339" i="51"/>
  <c r="DK339" i="51"/>
  <c r="BS339" i="51"/>
  <c r="CW339" i="51"/>
  <c r="DA339" i="51"/>
  <c r="DI339" i="51"/>
  <c r="EI364" i="51"/>
  <c r="EG364" i="51"/>
  <c r="AU364" i="51"/>
  <c r="BD383" i="51"/>
  <c r="GA353" i="51"/>
  <c r="GP323" i="51"/>
  <c r="FO11" i="51"/>
  <c r="FO10" i="51" s="1"/>
  <c r="AS81" i="51"/>
  <c r="BI81" i="51"/>
  <c r="AP81" i="51"/>
  <c r="AO96" i="51"/>
  <c r="BE96" i="51"/>
  <c r="BI96" i="51"/>
  <c r="AN110" i="51"/>
  <c r="AW110" i="51"/>
  <c r="BB151" i="51"/>
  <c r="BF151" i="51"/>
  <c r="GH11" i="51"/>
  <c r="GH10" i="51" s="1"/>
  <c r="GZ225" i="51"/>
  <c r="BK162" i="51"/>
  <c r="AJ171" i="51"/>
  <c r="DE360" i="51"/>
  <c r="CJ300" i="51"/>
  <c r="CQ312" i="51"/>
  <c r="DU339" i="51"/>
  <c r="AK110" i="51"/>
  <c r="BD151" i="51"/>
  <c r="CI240" i="51"/>
  <c r="DL268" i="51"/>
  <c r="AI262" i="51"/>
  <c r="CU11" i="51"/>
  <c r="CU10" i="51" s="1"/>
  <c r="EG36" i="51"/>
  <c r="BS177" i="51"/>
  <c r="EY285" i="51"/>
  <c r="FC11" i="51"/>
  <c r="FC10" i="51" s="1"/>
  <c r="FE96" i="51"/>
  <c r="CF312" i="51"/>
  <c r="GU54" i="51"/>
  <c r="GU370" i="51"/>
  <c r="GW346" i="51"/>
  <c r="GW82" i="51"/>
  <c r="GM353" i="51"/>
  <c r="FH383" i="51"/>
  <c r="FH364" i="51"/>
  <c r="FI383" i="51"/>
  <c r="FJ339" i="51"/>
  <c r="FJ73" i="51"/>
  <c r="FK383" i="51"/>
  <c r="FM81" i="51"/>
  <c r="FN383" i="51"/>
  <c r="FN364" i="51"/>
  <c r="FO373" i="51"/>
  <c r="FO353" i="51"/>
  <c r="FO81" i="51"/>
  <c r="FP339" i="51"/>
  <c r="FP73" i="51"/>
  <c r="FR364" i="51"/>
  <c r="FT373" i="51"/>
  <c r="FT353" i="51"/>
  <c r="FT81" i="51"/>
  <c r="AD262" i="51"/>
  <c r="AH262" i="51"/>
  <c r="AH300" i="51"/>
  <c r="BJ300" i="51"/>
  <c r="FH323" i="51"/>
  <c r="FH73" i="51"/>
  <c r="FI364" i="51"/>
  <c r="FI323" i="51"/>
  <c r="FK364" i="51"/>
  <c r="FK323" i="51"/>
  <c r="FN323" i="51"/>
  <c r="FR383" i="51"/>
  <c r="FR323" i="51"/>
  <c r="FU339" i="51"/>
  <c r="FU73" i="51"/>
  <c r="FW383" i="51"/>
  <c r="FW364" i="51"/>
  <c r="FW323" i="51"/>
  <c r="FY373" i="51"/>
  <c r="FY81" i="51"/>
  <c r="FZ339" i="51"/>
  <c r="FZ73" i="51"/>
  <c r="GB383" i="51"/>
  <c r="GB364" i="51"/>
  <c r="GB323" i="51"/>
  <c r="GD353" i="51"/>
  <c r="GD81" i="51"/>
  <c r="GE339" i="51"/>
  <c r="GE73" i="51"/>
  <c r="GG383" i="51"/>
  <c r="GG364" i="51"/>
  <c r="GG323" i="51"/>
  <c r="GI353" i="51"/>
  <c r="GI81" i="51"/>
  <c r="GJ339" i="51"/>
  <c r="GJ73" i="51"/>
  <c r="BM139" i="51"/>
  <c r="Z147" i="51" s="1"/>
  <c r="AG162" i="51"/>
  <c r="AG323" i="51"/>
  <c r="CQ96" i="51"/>
  <c r="DJ81" i="51"/>
  <c r="DW96" i="51"/>
  <c r="BZ364" i="51"/>
  <c r="CD364" i="51"/>
  <c r="CL364" i="51"/>
  <c r="CP364" i="51"/>
  <c r="CT364" i="51"/>
  <c r="CX364" i="51"/>
  <c r="DB364" i="51"/>
  <c r="DJ364" i="51"/>
  <c r="BR373" i="51"/>
  <c r="BV373" i="51"/>
  <c r="BZ373" i="51"/>
  <c r="CD373" i="51"/>
  <c r="CH373" i="51"/>
  <c r="CL373" i="51"/>
  <c r="CP373" i="51"/>
  <c r="CT373" i="51"/>
  <c r="CX373" i="51"/>
  <c r="DB373" i="51"/>
  <c r="AL262" i="51"/>
  <c r="AL300" i="51"/>
  <c r="FA82" i="51"/>
  <c r="BQ11" i="51"/>
  <c r="BQ10" i="51" s="1"/>
  <c r="BU11" i="51"/>
  <c r="BU10" i="51" s="1"/>
  <c r="BZ11" i="51"/>
  <c r="BZ10" i="51" s="1"/>
  <c r="CD11" i="51"/>
  <c r="CD10" i="51" s="1"/>
  <c r="CH11" i="51"/>
  <c r="CH10" i="51" s="1"/>
  <c r="CL11" i="51"/>
  <c r="CL10" i="51" s="1"/>
  <c r="DC11" i="51"/>
  <c r="DC10" i="51" s="1"/>
  <c r="DW11" i="51"/>
  <c r="DW10" i="51" s="1"/>
  <c r="EM11" i="51"/>
  <c r="EM10" i="51" s="1"/>
  <c r="CR110" i="51"/>
  <c r="CD138" i="51"/>
  <c r="CH138" i="51"/>
  <c r="CL138" i="51"/>
  <c r="CP138" i="51"/>
  <c r="DA162" i="51"/>
  <c r="CT162" i="51"/>
  <c r="BS171" i="51"/>
  <c r="BW171" i="51"/>
  <c r="BS300" i="51"/>
  <c r="BX323" i="51"/>
  <c r="CB323" i="51"/>
  <c r="CF323" i="51"/>
  <c r="CJ323" i="51"/>
  <c r="CN323" i="51"/>
  <c r="CR323" i="51"/>
  <c r="CV323" i="51"/>
  <c r="CZ323" i="51"/>
  <c r="DD323" i="51"/>
  <c r="DL323" i="51"/>
  <c r="DQ323" i="51"/>
  <c r="DV323" i="51"/>
  <c r="EA323" i="51"/>
  <c r="EG323" i="51"/>
  <c r="EL323" i="51"/>
  <c r="EQ323" i="51"/>
  <c r="DR339" i="51"/>
  <c r="DW339" i="51"/>
  <c r="EC339" i="51"/>
  <c r="EH339" i="51"/>
  <c r="EM339" i="51"/>
  <c r="ER339" i="51"/>
  <c r="BQ383" i="51"/>
  <c r="BU383" i="51"/>
  <c r="CM383" i="51"/>
  <c r="CQ383" i="51"/>
  <c r="CU383" i="51"/>
  <c r="CY383" i="51"/>
  <c r="DV364" i="51"/>
  <c r="AE73" i="51"/>
  <c r="AI73" i="51"/>
  <c r="AM73" i="51"/>
  <c r="AQ73" i="51"/>
  <c r="AU81" i="51"/>
  <c r="BI364" i="51"/>
  <c r="CJ36" i="51"/>
  <c r="CR36" i="51"/>
  <c r="CZ36" i="51"/>
  <c r="DL36" i="51"/>
  <c r="DX36" i="51"/>
  <c r="EF36" i="51"/>
  <c r="EE73" i="51"/>
  <c r="EI73" i="51"/>
  <c r="EM73" i="51"/>
  <c r="CC323" i="51"/>
  <c r="CG323" i="51"/>
  <c r="CK323" i="51"/>
  <c r="CO323" i="51"/>
  <c r="CS323" i="51"/>
  <c r="CW323" i="51"/>
  <c r="DA323" i="51"/>
  <c r="DI323" i="51"/>
  <c r="DM323" i="51"/>
  <c r="DR323" i="51"/>
  <c r="DW323" i="51"/>
  <c r="EC323" i="51"/>
  <c r="EH323" i="51"/>
  <c r="EM323" i="51"/>
  <c r="ER323" i="51"/>
  <c r="CG339" i="51"/>
  <c r="CK339" i="51"/>
  <c r="CO339" i="51"/>
  <c r="CC339" i="51"/>
  <c r="DT339" i="51"/>
  <c r="DY339" i="51"/>
  <c r="ED339" i="51"/>
  <c r="EO339" i="51"/>
  <c r="CJ353" i="51"/>
  <c r="EG353" i="51"/>
  <c r="BR364" i="51"/>
  <c r="BV364" i="51"/>
  <c r="AN171" i="51"/>
  <c r="BF233" i="51"/>
  <c r="AP240" i="51"/>
  <c r="AT240" i="51"/>
  <c r="AP262" i="51"/>
  <c r="AT262" i="51"/>
  <c r="AX262" i="51"/>
  <c r="BB262" i="51"/>
  <c r="BF262" i="51"/>
  <c r="BJ262" i="51"/>
  <c r="AP300" i="51"/>
  <c r="AT300" i="51"/>
  <c r="AX300" i="51"/>
  <c r="AG339" i="51"/>
  <c r="AV339" i="51"/>
  <c r="BH339" i="51"/>
  <c r="AF353" i="51"/>
  <c r="AJ353" i="51"/>
  <c r="AL364" i="51"/>
  <c r="AP364" i="51"/>
  <c r="AT364" i="51"/>
  <c r="AX364" i="51"/>
  <c r="BB364" i="51"/>
  <c r="BF364" i="51"/>
  <c r="BJ364" i="51"/>
  <c r="AD373" i="51"/>
  <c r="AS373" i="51"/>
  <c r="BE373" i="51"/>
  <c r="BK373" i="51"/>
  <c r="AF383" i="51"/>
  <c r="GW350" i="51"/>
  <c r="GL73" i="51"/>
  <c r="GM383" i="51"/>
  <c r="GM323" i="51"/>
  <c r="DE111" i="51"/>
  <c r="CA36" i="51"/>
  <c r="CE36" i="51"/>
  <c r="CI36" i="51"/>
  <c r="CM36" i="51"/>
  <c r="CQ36" i="51"/>
  <c r="CU36" i="51"/>
  <c r="CY36" i="51"/>
  <c r="DC36" i="51"/>
  <c r="DK36" i="51"/>
  <c r="DO36" i="51"/>
  <c r="DS36" i="51"/>
  <c r="DW36" i="51"/>
  <c r="EA36" i="51"/>
  <c r="EE36" i="51"/>
  <c r="EI36" i="51"/>
  <c r="EM36" i="51"/>
  <c r="EQ36" i="51"/>
  <c r="EU36" i="51"/>
  <c r="BO214" i="51"/>
  <c r="BP211" i="51"/>
  <c r="BP360" i="51"/>
  <c r="GZ180" i="51"/>
  <c r="GZ165" i="51"/>
  <c r="GZ149" i="51"/>
  <c r="GZ140" i="51"/>
  <c r="GZ135" i="51"/>
  <c r="GZ347" i="51"/>
  <c r="GZ377" i="51"/>
  <c r="DH189" i="51"/>
  <c r="DF189" i="51"/>
  <c r="DG301" i="51"/>
  <c r="BJ36" i="51"/>
  <c r="BF36" i="51"/>
  <c r="BB36" i="51"/>
  <c r="AX36" i="51"/>
  <c r="AT36" i="51"/>
  <c r="BS36" i="51"/>
  <c r="BW36" i="51"/>
  <c r="Z170" i="51"/>
  <c r="ED73" i="51"/>
  <c r="EH73" i="51"/>
  <c r="EL73" i="51"/>
  <c r="EP73" i="51"/>
  <c r="ET73" i="51"/>
  <c r="DM81" i="51"/>
  <c r="EG81" i="51"/>
  <c r="CW81" i="51"/>
  <c r="DZ81" i="51"/>
  <c r="EP81" i="51"/>
  <c r="CW162" i="51"/>
  <c r="CG171" i="51"/>
  <c r="CK171" i="51"/>
  <c r="CO171" i="51"/>
  <c r="CS171" i="51"/>
  <c r="CW171" i="51"/>
  <c r="DA171" i="51"/>
  <c r="DI171" i="51"/>
  <c r="BU177" i="51"/>
  <c r="BY177" i="51"/>
  <c r="CC177" i="51"/>
  <c r="CG177" i="51"/>
  <c r="CK177" i="51"/>
  <c r="CO177" i="51"/>
  <c r="CS177" i="51"/>
  <c r="CW177" i="51"/>
  <c r="DA177" i="51"/>
  <c r="DI177" i="51"/>
  <c r="CL268" i="51"/>
  <c r="CP268" i="51"/>
  <c r="CF339" i="51"/>
  <c r="CJ339" i="51"/>
  <c r="CN339" i="51"/>
  <c r="CR339" i="51"/>
  <c r="DP353" i="51"/>
  <c r="BQ364" i="51"/>
  <c r="BU364" i="51"/>
  <c r="BY364" i="51"/>
  <c r="CC364" i="51"/>
  <c r="CG364" i="51"/>
  <c r="CK364" i="51"/>
  <c r="CO364" i="51"/>
  <c r="CS364" i="51"/>
  <c r="CW364" i="51"/>
  <c r="DA364" i="51"/>
  <c r="DI364" i="51"/>
  <c r="DM364" i="51"/>
  <c r="DQ364" i="51"/>
  <c r="EC364" i="51"/>
  <c r="CC373" i="51"/>
  <c r="CK373" i="51"/>
  <c r="CO373" i="51"/>
  <c r="CW373" i="51"/>
  <c r="BK81" i="51"/>
  <c r="FA86" i="51"/>
  <c r="FB171" i="51"/>
  <c r="FB262" i="51"/>
  <c r="FA323" i="51"/>
  <c r="FA364" i="51"/>
  <c r="FA383" i="51"/>
  <c r="FG171" i="51"/>
  <c r="FG364" i="51"/>
  <c r="FL373" i="51"/>
  <c r="FQ364" i="51"/>
  <c r="FV373" i="51"/>
  <c r="GA73" i="51"/>
  <c r="GA339" i="51"/>
  <c r="GF353" i="51"/>
  <c r="GF383" i="51"/>
  <c r="GK73" i="51"/>
  <c r="GK339" i="51"/>
  <c r="GP81" i="51"/>
  <c r="GP353" i="51"/>
  <c r="GP383" i="51"/>
  <c r="GQ73" i="51"/>
  <c r="GQ339" i="51"/>
  <c r="GR81" i="51"/>
  <c r="GR353" i="51"/>
  <c r="GR383" i="51"/>
  <c r="GS73" i="51"/>
  <c r="GS339" i="51"/>
  <c r="GT81" i="51"/>
  <c r="GT353" i="51"/>
  <c r="GT383" i="51"/>
  <c r="P391" i="51"/>
  <c r="BO251" i="51"/>
  <c r="GZ94" i="51"/>
  <c r="GZ92" i="51"/>
  <c r="GZ90" i="51"/>
  <c r="GZ88" i="51"/>
  <c r="EW74" i="51"/>
  <c r="EW73" i="51" s="1"/>
  <c r="DE69" i="51"/>
  <c r="BM54" i="51"/>
  <c r="Z55" i="51" s="1"/>
  <c r="GZ289" i="51"/>
  <c r="GZ288" i="51" s="1"/>
  <c r="GZ261" i="51"/>
  <c r="GZ179" i="51"/>
  <c r="GZ112" i="51"/>
  <c r="GZ337" i="51"/>
  <c r="GZ416" i="51"/>
  <c r="GZ412" i="51"/>
  <c r="GZ392" i="51"/>
  <c r="GZ378" i="51"/>
  <c r="GZ367" i="51"/>
  <c r="DF301" i="51"/>
  <c r="DF360" i="51"/>
  <c r="DG360" i="51"/>
  <c r="BW96" i="51"/>
  <c r="BZ162" i="51"/>
  <c r="BN370" i="51"/>
  <c r="BO226" i="51"/>
  <c r="BP184" i="51"/>
  <c r="BP159" i="51"/>
  <c r="GZ297" i="51"/>
  <c r="GZ130" i="51"/>
  <c r="GZ124" i="51"/>
  <c r="GZ122" i="51"/>
  <c r="GZ119" i="51"/>
  <c r="GZ406" i="51"/>
  <c r="GZ403" i="51"/>
  <c r="DF251" i="51"/>
  <c r="DG282" i="51"/>
  <c r="DG241" i="51"/>
  <c r="DG163" i="51"/>
  <c r="DG162" i="51" s="1"/>
  <c r="CC96" i="51"/>
  <c r="BT11" i="51"/>
  <c r="BT10" i="51" s="1"/>
  <c r="BY11" i="51"/>
  <c r="BY10" i="51" s="1"/>
  <c r="CC11" i="51"/>
  <c r="CC10" i="51" s="1"/>
  <c r="CG11" i="51"/>
  <c r="CG10" i="51" s="1"/>
  <c r="CK11" i="51"/>
  <c r="CK10" i="51" s="1"/>
  <c r="CY11" i="51"/>
  <c r="CY10" i="51" s="1"/>
  <c r="DS11" i="51"/>
  <c r="DS10" i="51" s="1"/>
  <c r="EI11" i="51"/>
  <c r="EI10" i="51" s="1"/>
  <c r="BM258" i="51"/>
  <c r="Z260" i="51" s="1"/>
  <c r="CR96" i="51"/>
  <c r="DI96" i="51"/>
  <c r="AE11" i="51"/>
  <c r="AE10" i="51" s="1"/>
  <c r="AW11" i="51"/>
  <c r="AW10" i="51" s="1"/>
  <c r="BS11" i="51"/>
  <c r="BS10" i="51" s="1"/>
  <c r="BX11" i="51"/>
  <c r="BX10" i="51" s="1"/>
  <c r="CB11" i="51"/>
  <c r="CB10" i="51" s="1"/>
  <c r="CF11" i="51"/>
  <c r="CF10" i="51" s="1"/>
  <c r="CJ11" i="51"/>
  <c r="CJ10" i="51" s="1"/>
  <c r="CA11" i="51"/>
  <c r="CA10" i="51" s="1"/>
  <c r="CE11" i="51"/>
  <c r="CE10" i="51" s="1"/>
  <c r="CQ11" i="51"/>
  <c r="CQ10" i="51" s="1"/>
  <c r="EE11" i="51"/>
  <c r="EE10" i="51" s="1"/>
  <c r="CR11" i="51"/>
  <c r="CR10" i="51" s="1"/>
  <c r="CZ11" i="51"/>
  <c r="CZ10" i="51" s="1"/>
  <c r="DL11" i="51"/>
  <c r="DL10" i="51" s="1"/>
  <c r="DT11" i="51"/>
  <c r="DT10" i="51" s="1"/>
  <c r="EB11" i="51"/>
  <c r="EB10" i="51" s="1"/>
  <c r="EJ11" i="51"/>
  <c r="EJ10" i="51" s="1"/>
  <c r="ER11" i="51"/>
  <c r="ER10" i="51" s="1"/>
  <c r="BY36" i="51"/>
  <c r="CC36" i="51"/>
  <c r="CG36" i="51"/>
  <c r="CK36" i="51"/>
  <c r="CO36" i="51"/>
  <c r="CS36" i="51"/>
  <c r="CW36" i="51"/>
  <c r="DA36" i="51"/>
  <c r="DI36" i="51"/>
  <c r="DM36" i="51"/>
  <c r="DQ36" i="51"/>
  <c r="DU36" i="51"/>
  <c r="DY36" i="51"/>
  <c r="EC36" i="51"/>
  <c r="EK36" i="51"/>
  <c r="EO36" i="51"/>
  <c r="BQ36" i="51"/>
  <c r="BU36" i="51"/>
  <c r="DA73" i="51"/>
  <c r="EB73" i="51"/>
  <c r="BX73" i="51"/>
  <c r="CB73" i="51"/>
  <c r="EF73" i="51"/>
  <c r="EJ73" i="51"/>
  <c r="EN73" i="51"/>
  <c r="ER73" i="51"/>
  <c r="EV73" i="51"/>
  <c r="DK81" i="51"/>
  <c r="EI81" i="51"/>
  <c r="ER81" i="51"/>
  <c r="BT81" i="51"/>
  <c r="EH81" i="51"/>
  <c r="EQ81" i="51"/>
  <c r="BS96" i="51"/>
  <c r="BY96" i="51"/>
  <c r="CZ96" i="51"/>
  <c r="CK110" i="51"/>
  <c r="CO110" i="51"/>
  <c r="CU110" i="51"/>
  <c r="CS110" i="51"/>
  <c r="CW110" i="51"/>
  <c r="DA110" i="51"/>
  <c r="CB138" i="51"/>
  <c r="CF138" i="51"/>
  <c r="CJ138" i="51"/>
  <c r="CN138" i="51"/>
  <c r="CE138" i="51"/>
  <c r="CI138" i="51"/>
  <c r="CM138" i="51"/>
  <c r="CV151" i="51"/>
  <c r="CZ151" i="51"/>
  <c r="DD151" i="51"/>
  <c r="CF162" i="51"/>
  <c r="CY162" i="51"/>
  <c r="BR162" i="51"/>
  <c r="CN162" i="51"/>
  <c r="CR162" i="51"/>
  <c r="CU162" i="51"/>
  <c r="CX162" i="51"/>
  <c r="DB162" i="51"/>
  <c r="BW162" i="51"/>
  <c r="BQ171" i="51"/>
  <c r="BU171" i="51"/>
  <c r="BY171" i="51"/>
  <c r="CH171" i="51"/>
  <c r="CL171" i="51"/>
  <c r="CP171" i="51"/>
  <c r="CX171" i="51"/>
  <c r="DB171" i="51"/>
  <c r="DJ171" i="51"/>
  <c r="CB171" i="51"/>
  <c r="CE171" i="51"/>
  <c r="CI171" i="51"/>
  <c r="CM171" i="51"/>
  <c r="CQ171" i="51"/>
  <c r="CU171" i="51"/>
  <c r="CY171" i="51"/>
  <c r="DC171" i="51"/>
  <c r="BR177" i="51"/>
  <c r="BV177" i="51"/>
  <c r="BZ177" i="51"/>
  <c r="CD177" i="51"/>
  <c r="CH177" i="51"/>
  <c r="CL177" i="51"/>
  <c r="CT177" i="51"/>
  <c r="CX177" i="51"/>
  <c r="DB177" i="51"/>
  <c r="DJ177" i="51"/>
  <c r="BW177" i="51"/>
  <c r="CA177" i="51"/>
  <c r="CE177" i="51"/>
  <c r="CI177" i="51"/>
  <c r="CM177" i="51"/>
  <c r="CQ177" i="51"/>
  <c r="CU177" i="51"/>
  <c r="CY177" i="51"/>
  <c r="DC177" i="51"/>
  <c r="CD188" i="51"/>
  <c r="CC233" i="51"/>
  <c r="CG233" i="51"/>
  <c r="CK233" i="51"/>
  <c r="CS233" i="51"/>
  <c r="CW233" i="51"/>
  <c r="DA233" i="51"/>
  <c r="BV233" i="51"/>
  <c r="BZ233" i="51"/>
  <c r="CA240" i="51"/>
  <c r="CE240" i="51"/>
  <c r="CM240" i="51"/>
  <c r="CU240" i="51"/>
  <c r="CY240" i="51"/>
  <c r="DC240" i="51"/>
  <c r="CM268" i="51"/>
  <c r="CQ268" i="51"/>
  <c r="CN268" i="51"/>
  <c r="CR268" i="51"/>
  <c r="DV268" i="51"/>
  <c r="EA268" i="51"/>
  <c r="EQ268" i="51"/>
  <c r="BS268" i="51"/>
  <c r="BW268" i="51"/>
  <c r="CA268" i="51"/>
  <c r="CE268" i="51"/>
  <c r="CI268" i="51"/>
  <c r="CY268" i="51"/>
  <c r="BS281" i="51"/>
  <c r="CI281" i="51"/>
  <c r="CM281" i="51"/>
  <c r="CU281" i="51"/>
  <c r="DC281" i="51"/>
  <c r="DK281" i="51"/>
  <c r="DP281" i="51"/>
  <c r="DU281" i="51"/>
  <c r="DZ281" i="51"/>
  <c r="BQ300" i="51"/>
  <c r="CN300" i="51"/>
  <c r="CW300" i="51"/>
  <c r="DI300" i="51"/>
  <c r="DM300" i="51"/>
  <c r="DR300" i="51"/>
  <c r="DW300" i="51"/>
  <c r="EC300" i="51"/>
  <c r="EH300" i="51"/>
  <c r="BT300" i="51"/>
  <c r="CB300" i="51"/>
  <c r="BW11" i="51"/>
  <c r="BW10" i="51" s="1"/>
  <c r="CT11" i="51"/>
  <c r="CT10" i="51" s="1"/>
  <c r="DB11" i="51"/>
  <c r="DB10" i="51" s="1"/>
  <c r="DN11" i="51"/>
  <c r="DN10" i="51" s="1"/>
  <c r="DV11" i="51"/>
  <c r="DV10" i="51" s="1"/>
  <c r="ED11" i="51"/>
  <c r="ED10" i="51" s="1"/>
  <c r="EL11" i="51"/>
  <c r="EL10" i="51" s="1"/>
  <c r="ET11" i="51"/>
  <c r="ET10" i="51" s="1"/>
  <c r="BR36" i="51"/>
  <c r="BV36" i="51"/>
  <c r="BZ36" i="51"/>
  <c r="CD36" i="51"/>
  <c r="CH36" i="51"/>
  <c r="CL36" i="51"/>
  <c r="CP36" i="51"/>
  <c r="CT36" i="51"/>
  <c r="CX36" i="51"/>
  <c r="DB36" i="51"/>
  <c r="DJ36" i="51"/>
  <c r="DN36" i="51"/>
  <c r="DR36" i="51"/>
  <c r="DV36" i="51"/>
  <c r="DZ36" i="51"/>
  <c r="ED36" i="51"/>
  <c r="EH36" i="51"/>
  <c r="EL36" i="51"/>
  <c r="EP36" i="51"/>
  <c r="ET36" i="51"/>
  <c r="EC73" i="51"/>
  <c r="EG73" i="51"/>
  <c r="EK73" i="51"/>
  <c r="EO73" i="51"/>
  <c r="ES73" i="51"/>
  <c r="CG73" i="51"/>
  <c r="BZ73" i="51"/>
  <c r="CD73" i="51"/>
  <c r="DB73" i="51"/>
  <c r="DY81" i="51"/>
  <c r="EO81" i="51"/>
  <c r="CC81" i="51"/>
  <c r="BQ96" i="51"/>
  <c r="BU96" i="51"/>
  <c r="CX96" i="51"/>
  <c r="DB96" i="51"/>
  <c r="DJ96" i="51"/>
  <c r="CC110" i="51"/>
  <c r="CI110" i="51"/>
  <c r="CM110" i="51"/>
  <c r="CE110" i="51"/>
  <c r="CQ110" i="51"/>
  <c r="CY110" i="51"/>
  <c r="DC110" i="51"/>
  <c r="DJ138" i="51"/>
  <c r="CC138" i="51"/>
  <c r="CG138" i="51"/>
  <c r="CK138" i="51"/>
  <c r="CO138" i="51"/>
  <c r="BV151" i="51"/>
  <c r="BZ151" i="51"/>
  <c r="CT151" i="51"/>
  <c r="CX151" i="51"/>
  <c r="DB151" i="51"/>
  <c r="DJ151" i="51"/>
  <c r="CD162" i="51"/>
  <c r="CH162" i="51"/>
  <c r="CV162" i="51"/>
  <c r="DJ162" i="51"/>
  <c r="BT162" i="51"/>
  <c r="BX162" i="51"/>
  <c r="CL162" i="51"/>
  <c r="CP162" i="51"/>
  <c r="CZ162" i="51"/>
  <c r="CF171" i="51"/>
  <c r="CJ171" i="51"/>
  <c r="CN171" i="51"/>
  <c r="CR171" i="51"/>
  <c r="CV171" i="51"/>
  <c r="CZ171" i="51"/>
  <c r="DD171" i="51"/>
  <c r="BZ171" i="51"/>
  <c r="BT177" i="51"/>
  <c r="BX177" i="51"/>
  <c r="CB177" i="51"/>
  <c r="CF177" i="51"/>
  <c r="CJ177" i="51"/>
  <c r="CN177" i="51"/>
  <c r="CR177" i="51"/>
  <c r="CV177" i="51"/>
  <c r="CZ177" i="51"/>
  <c r="DD177" i="51"/>
  <c r="BQ177" i="51"/>
  <c r="CE233" i="51"/>
  <c r="CI233" i="51"/>
  <c r="CM233" i="51"/>
  <c r="CQ233" i="51"/>
  <c r="CU233" i="51"/>
  <c r="CY233" i="51"/>
  <c r="DC233" i="51"/>
  <c r="BT233" i="51"/>
  <c r="BX233" i="51"/>
  <c r="CC240" i="51"/>
  <c r="CG240" i="51"/>
  <c r="CK240" i="51"/>
  <c r="CO240" i="51"/>
  <c r="CS240" i="51"/>
  <c r="CW240" i="51"/>
  <c r="DA240" i="51"/>
  <c r="CO268" i="51"/>
  <c r="CK268" i="51"/>
  <c r="CS268" i="51"/>
  <c r="DJ268" i="51"/>
  <c r="DO268" i="51"/>
  <c r="DT268" i="51"/>
  <c r="DY268" i="51"/>
  <c r="EI268" i="51"/>
  <c r="EO268" i="51"/>
  <c r="BQ268" i="51"/>
  <c r="BU268" i="51"/>
  <c r="CG268" i="51"/>
  <c r="CW268" i="51"/>
  <c r="BQ281" i="51"/>
  <c r="BU281" i="51"/>
  <c r="BY281" i="51"/>
  <c r="CC281" i="51"/>
  <c r="CG281" i="51"/>
  <c r="CK281" i="51"/>
  <c r="CO281" i="51"/>
  <c r="CS281" i="51"/>
  <c r="CW281" i="51"/>
  <c r="DA281" i="51"/>
  <c r="DI281" i="51"/>
  <c r="DM281" i="51"/>
  <c r="DR281" i="51"/>
  <c r="DW281" i="51"/>
  <c r="EC281" i="51"/>
  <c r="CQ300" i="51"/>
  <c r="CU300" i="51"/>
  <c r="CY300" i="51"/>
  <c r="DC300" i="51"/>
  <c r="DK300" i="51"/>
  <c r="DP300" i="51"/>
  <c r="DU300" i="51"/>
  <c r="DZ300" i="51"/>
  <c r="EE300" i="51"/>
  <c r="EK300" i="51"/>
  <c r="EP300" i="51"/>
  <c r="BR300" i="51"/>
  <c r="CD300" i="51"/>
  <c r="CH300" i="51"/>
  <c r="CL300" i="51"/>
  <c r="BW300" i="51"/>
  <c r="BT312" i="51"/>
  <c r="BX312" i="51"/>
  <c r="CB312" i="51"/>
  <c r="CJ312" i="51"/>
  <c r="CN312" i="51"/>
  <c r="CR312" i="51"/>
  <c r="DD312" i="51"/>
  <c r="DL312" i="51"/>
  <c r="EG312" i="51"/>
  <c r="BW323" i="51"/>
  <c r="CA323" i="51"/>
  <c r="CE323" i="51"/>
  <c r="CI323" i="51"/>
  <c r="CM323" i="51"/>
  <c r="CQ323" i="51"/>
  <c r="CU323" i="51"/>
  <c r="CY323" i="51"/>
  <c r="DC323" i="51"/>
  <c r="DK323" i="51"/>
  <c r="DI138" i="51"/>
  <c r="DQ11" i="51"/>
  <c r="DQ10" i="51" s="1"/>
  <c r="CO73" i="51"/>
  <c r="DQ73" i="51"/>
  <c r="CJ81" i="51"/>
  <c r="CE96" i="51"/>
  <c r="BS138" i="51"/>
  <c r="BS312" i="51"/>
  <c r="CA312" i="51"/>
  <c r="CE312" i="51"/>
  <c r="CI312" i="51"/>
  <c r="CM312" i="51"/>
  <c r="CU312" i="51"/>
  <c r="DP312" i="51"/>
  <c r="EK312" i="51"/>
  <c r="BR312" i="51"/>
  <c r="BV312" i="51"/>
  <c r="BZ312" i="51"/>
  <c r="CD312" i="51"/>
  <c r="CH312" i="51"/>
  <c r="CL312" i="51"/>
  <c r="DO312" i="51"/>
  <c r="EI312" i="51"/>
  <c r="BZ323" i="51"/>
  <c r="CD323" i="51"/>
  <c r="CH323" i="51"/>
  <c r="CL323" i="51"/>
  <c r="CP323" i="51"/>
  <c r="CT323" i="51"/>
  <c r="CX323" i="51"/>
  <c r="DB323" i="51"/>
  <c r="DJ323" i="51"/>
  <c r="DO323" i="51"/>
  <c r="DT323" i="51"/>
  <c r="DY323" i="51"/>
  <c r="ED323" i="51"/>
  <c r="EI323" i="51"/>
  <c r="EO323" i="51"/>
  <c r="DP339" i="51"/>
  <c r="EE339" i="51"/>
  <c r="EK339" i="51"/>
  <c r="EP339" i="51"/>
  <c r="CS339" i="51"/>
  <c r="CD339" i="51"/>
  <c r="CH339" i="51"/>
  <c r="CL339" i="51"/>
  <c r="CP339" i="51"/>
  <c r="BQ353" i="51"/>
  <c r="EC353" i="51"/>
  <c r="ER353" i="51"/>
  <c r="BS364" i="51"/>
  <c r="BW364" i="51"/>
  <c r="CA364" i="51"/>
  <c r="CE364" i="51"/>
  <c r="CI364" i="51"/>
  <c r="CM364" i="51"/>
  <c r="CQ364" i="51"/>
  <c r="CU364" i="51"/>
  <c r="CY364" i="51"/>
  <c r="DC364" i="51"/>
  <c r="DK364" i="51"/>
  <c r="DO364" i="51"/>
  <c r="DT364" i="51"/>
  <c r="EL364" i="51"/>
  <c r="DN364" i="51"/>
  <c r="DR364" i="51"/>
  <c r="EE364" i="51"/>
  <c r="EK364" i="51"/>
  <c r="BS373" i="51"/>
  <c r="BW373" i="51"/>
  <c r="CA373" i="51"/>
  <c r="CE373" i="51"/>
  <c r="CI373" i="51"/>
  <c r="CM373" i="51"/>
  <c r="CQ373" i="51"/>
  <c r="CU373" i="51"/>
  <c r="CY373" i="51"/>
  <c r="DC373" i="51"/>
  <c r="BS383" i="51"/>
  <c r="CO383" i="51"/>
  <c r="CS383" i="51"/>
  <c r="CW383" i="51"/>
  <c r="DW364" i="51"/>
  <c r="BR383" i="51"/>
  <c r="DA383" i="51"/>
  <c r="DV373" i="51"/>
  <c r="DV383" i="51"/>
  <c r="BZ383" i="51"/>
  <c r="CD383" i="51"/>
  <c r="CH383" i="51"/>
  <c r="CN383" i="51"/>
  <c r="CR383" i="51"/>
  <c r="CV383" i="51"/>
  <c r="CZ383" i="51"/>
  <c r="DJ383" i="51"/>
  <c r="AO36" i="51"/>
  <c r="AW36" i="51"/>
  <c r="BA36" i="51"/>
  <c r="BE36" i="51"/>
  <c r="BI36" i="51"/>
  <c r="AC36" i="51"/>
  <c r="AC73" i="51"/>
  <c r="AG73" i="51"/>
  <c r="AK73" i="51"/>
  <c r="AO73" i="51"/>
  <c r="AT73" i="51"/>
  <c r="AX73" i="51"/>
  <c r="BD73" i="51"/>
  <c r="BH73" i="51"/>
  <c r="BL73" i="51"/>
  <c r="AF73" i="51"/>
  <c r="AJ73" i="51"/>
  <c r="AN73" i="51"/>
  <c r="AR73" i="51"/>
  <c r="BB73" i="51"/>
  <c r="BE73" i="51"/>
  <c r="AI81" i="51"/>
  <c r="AO81" i="51"/>
  <c r="AW81" i="51"/>
  <c r="BE81" i="51"/>
  <c r="AK81" i="51"/>
  <c r="AQ81" i="51"/>
  <c r="AT81" i="51"/>
  <c r="AV81" i="51"/>
  <c r="AY81" i="51"/>
  <c r="BB81" i="51"/>
  <c r="BD81" i="51"/>
  <c r="BG81" i="51"/>
  <c r="BJ81" i="51"/>
  <c r="BL81" i="51"/>
  <c r="AM96" i="51"/>
  <c r="AQ96" i="51"/>
  <c r="AU96" i="51"/>
  <c r="AY96" i="51"/>
  <c r="BC96" i="51"/>
  <c r="BG96" i="51"/>
  <c r="BK96" i="51"/>
  <c r="AD96" i="51"/>
  <c r="AL96" i="51"/>
  <c r="AP96" i="51"/>
  <c r="AT96" i="51"/>
  <c r="AX96" i="51"/>
  <c r="BB96" i="51"/>
  <c r="BF96" i="51"/>
  <c r="BJ96" i="51"/>
  <c r="AE110" i="51"/>
  <c r="AQ110" i="51"/>
  <c r="AU110" i="51"/>
  <c r="AZ110" i="51"/>
  <c r="DP323" i="51"/>
  <c r="DU323" i="51"/>
  <c r="DZ323" i="51"/>
  <c r="EE323" i="51"/>
  <c r="EK323" i="51"/>
  <c r="EP323" i="51"/>
  <c r="CE339" i="51"/>
  <c r="CI339" i="51"/>
  <c r="CM339" i="51"/>
  <c r="CQ339" i="51"/>
  <c r="DM339" i="51"/>
  <c r="DQ339" i="51"/>
  <c r="DV339" i="51"/>
  <c r="EA339" i="51"/>
  <c r="EG339" i="51"/>
  <c r="EL339" i="51"/>
  <c r="EQ339" i="51"/>
  <c r="CL353" i="51"/>
  <c r="CP353" i="51"/>
  <c r="CT353" i="51"/>
  <c r="DJ353" i="51"/>
  <c r="DT353" i="51"/>
  <c r="DY353" i="51"/>
  <c r="BT364" i="51"/>
  <c r="BX364" i="51"/>
  <c r="CB364" i="51"/>
  <c r="CF364" i="51"/>
  <c r="CJ364" i="51"/>
  <c r="CN364" i="51"/>
  <c r="CR364" i="51"/>
  <c r="CV364" i="51"/>
  <c r="CZ364" i="51"/>
  <c r="DD364" i="51"/>
  <c r="DL364" i="51"/>
  <c r="DP364" i="51"/>
  <c r="DU364" i="51"/>
  <c r="EM364" i="51"/>
  <c r="BT373" i="51"/>
  <c r="BX373" i="51"/>
  <c r="CB373" i="51"/>
  <c r="CF373" i="51"/>
  <c r="CJ373" i="51"/>
  <c r="CN373" i="51"/>
  <c r="CR373" i="51"/>
  <c r="CV373" i="51"/>
  <c r="CZ373" i="51"/>
  <c r="DD373" i="51"/>
  <c r="BT383" i="51"/>
  <c r="CP383" i="51"/>
  <c r="CT383" i="51"/>
  <c r="CX383" i="51"/>
  <c r="DP383" i="51"/>
  <c r="DU383" i="51"/>
  <c r="AV73" i="51"/>
  <c r="AZ73" i="51"/>
  <c r="BF73" i="51"/>
  <c r="BJ73" i="51"/>
  <c r="AD73" i="51"/>
  <c r="AH73" i="51"/>
  <c r="AL73" i="51"/>
  <c r="AP73" i="51"/>
  <c r="BC73" i="51"/>
  <c r="AL81" i="51"/>
  <c r="AR81" i="51"/>
  <c r="AZ81" i="51"/>
  <c r="BH81" i="51"/>
  <c r="AE96" i="51"/>
  <c r="AN96" i="51"/>
  <c r="AR96" i="51"/>
  <c r="AV96" i="51"/>
  <c r="AZ96" i="51"/>
  <c r="BD96" i="51"/>
  <c r="BH96" i="51"/>
  <c r="BL96" i="51"/>
  <c r="BL110" i="51"/>
  <c r="BF110" i="51"/>
  <c r="AF110" i="51"/>
  <c r="AM110" i="51"/>
  <c r="AR110" i="51"/>
  <c r="AV110" i="51"/>
  <c r="BA110" i="51"/>
  <c r="BI138" i="51"/>
  <c r="AW151" i="51"/>
  <c r="BA151" i="51"/>
  <c r="BE151" i="51"/>
  <c r="BD110" i="51"/>
  <c r="BJ110" i="51"/>
  <c r="AC110" i="51"/>
  <c r="AI110" i="51"/>
  <c r="AO110" i="51"/>
  <c r="AY110" i="51"/>
  <c r="AZ151" i="51"/>
  <c r="AV151" i="51"/>
  <c r="BH151" i="51"/>
  <c r="AY151" i="51"/>
  <c r="BC151" i="51"/>
  <c r="BG151" i="51"/>
  <c r="AE162" i="51"/>
  <c r="BK188" i="51"/>
  <c r="AM233" i="51"/>
  <c r="AD240" i="51"/>
  <c r="AH240" i="51"/>
  <c r="AL240" i="51"/>
  <c r="AQ240" i="51"/>
  <c r="AU240" i="51"/>
  <c r="AY240" i="51"/>
  <c r="BF240" i="51"/>
  <c r="BJ240" i="51"/>
  <c r="BG240" i="51"/>
  <c r="AM262" i="51"/>
  <c r="AQ262" i="51"/>
  <c r="AU262" i="51"/>
  <c r="AY262" i="51"/>
  <c r="BC262" i="51"/>
  <c r="BG262" i="51"/>
  <c r="BK262" i="51"/>
  <c r="AE262" i="51"/>
  <c r="AC268" i="51"/>
  <c r="AP281" i="51"/>
  <c r="AT281" i="51"/>
  <c r="BC281" i="51"/>
  <c r="BH281" i="51"/>
  <c r="AG281" i="51"/>
  <c r="AM300" i="51"/>
  <c r="AQ300" i="51"/>
  <c r="AU300" i="51"/>
  <c r="AY300" i="51"/>
  <c r="BD300" i="51"/>
  <c r="BB300" i="51"/>
  <c r="BH300" i="51"/>
  <c r="BK300" i="51"/>
  <c r="AE300" i="51"/>
  <c r="AI300" i="51"/>
  <c r="AC323" i="51"/>
  <c r="AF323" i="51"/>
  <c r="AH339" i="51"/>
  <c r="AQ339" i="51"/>
  <c r="AZ339" i="51"/>
  <c r="AL339" i="51"/>
  <c r="AC353" i="51"/>
  <c r="AG353" i="51"/>
  <c r="BK364" i="51"/>
  <c r="AM364" i="51"/>
  <c r="AQ364" i="51"/>
  <c r="AY364" i="51"/>
  <c r="BC364" i="51"/>
  <c r="BG364" i="51"/>
  <c r="AI373" i="51"/>
  <c r="AE373" i="51"/>
  <c r="AH373" i="51"/>
  <c r="BI373" i="51"/>
  <c r="AG383" i="51"/>
  <c r="BJ383" i="51"/>
  <c r="AS383" i="51"/>
  <c r="AW383" i="51"/>
  <c r="BA383" i="51"/>
  <c r="BI383" i="51"/>
  <c r="FA11" i="51"/>
  <c r="FA10" i="51" s="1"/>
  <c r="FB11" i="51"/>
  <c r="FB10" i="51" s="1"/>
  <c r="FB162" i="51"/>
  <c r="FB177" i="51"/>
  <c r="FB281" i="51"/>
  <c r="FB323" i="51"/>
  <c r="FB383" i="51"/>
  <c r="FG36" i="51"/>
  <c r="FG312" i="51"/>
  <c r="FG138" i="51"/>
  <c r="FG353" i="51"/>
  <c r="FG323" i="51"/>
  <c r="FL81" i="51"/>
  <c r="FL36" i="51"/>
  <c r="FL353" i="51"/>
  <c r="FL383" i="51"/>
  <c r="FL364" i="51"/>
  <c r="FQ11" i="51"/>
  <c r="FQ10" i="51" s="1"/>
  <c r="FQ73" i="51"/>
  <c r="FQ339" i="51"/>
  <c r="FV81" i="51"/>
  <c r="FV353" i="51"/>
  <c r="GV69" i="51"/>
  <c r="GV42" i="51"/>
  <c r="GW404" i="51"/>
  <c r="GW384" i="51"/>
  <c r="GW330" i="51"/>
  <c r="GW324" i="51"/>
  <c r="GW69" i="51"/>
  <c r="GW64" i="51"/>
  <c r="GW54" i="51"/>
  <c r="GW49" i="51"/>
  <c r="GW27" i="51"/>
  <c r="GX404" i="51"/>
  <c r="GX384" i="51"/>
  <c r="GX365" i="51"/>
  <c r="GX69" i="51"/>
  <c r="GX58" i="51"/>
  <c r="GX54" i="51"/>
  <c r="GX42" i="51"/>
  <c r="GX27" i="51"/>
  <c r="GX19" i="51"/>
  <c r="GY27" i="51"/>
  <c r="GY19" i="51"/>
  <c r="GL373" i="51"/>
  <c r="GL353" i="51"/>
  <c r="GL81" i="51"/>
  <c r="GM339" i="51"/>
  <c r="GN383" i="51"/>
  <c r="GN323" i="51"/>
  <c r="GN73" i="51"/>
  <c r="GN36" i="51"/>
  <c r="GO373" i="51"/>
  <c r="GO353" i="51"/>
  <c r="GO36" i="51"/>
  <c r="FC353" i="51"/>
  <c r="FC339" i="51"/>
  <c r="FC300" i="51"/>
  <c r="FC73" i="51"/>
  <c r="FC36" i="51"/>
  <c r="FD383" i="51"/>
  <c r="FD373" i="51"/>
  <c r="FD353" i="51"/>
  <c r="FD312" i="51"/>
  <c r="FD300" i="51"/>
  <c r="FD281" i="51"/>
  <c r="FD268" i="51"/>
  <c r="FD262" i="51"/>
  <c r="FD233" i="51"/>
  <c r="FD188" i="51"/>
  <c r="FD171" i="51"/>
  <c r="FD162" i="51"/>
  <c r="FD110" i="51"/>
  <c r="FD96" i="51"/>
  <c r="FD73" i="51"/>
  <c r="FE373" i="51"/>
  <c r="FE323" i="51"/>
  <c r="FE300" i="51"/>
  <c r="FE281" i="51"/>
  <c r="FE73" i="51"/>
  <c r="FE36" i="51"/>
  <c r="FF383" i="51"/>
  <c r="FF364" i="51"/>
  <c r="FF323" i="51"/>
  <c r="FF312" i="51"/>
  <c r="FF300" i="51"/>
  <c r="FF281" i="51"/>
  <c r="FF268" i="51"/>
  <c r="FF73" i="51"/>
  <c r="FF11" i="51"/>
  <c r="FF10" i="51" s="1"/>
  <c r="FH339" i="51"/>
  <c r="FH36" i="51"/>
  <c r="FI339" i="51"/>
  <c r="FI36" i="51"/>
  <c r="FI11" i="51"/>
  <c r="FI10" i="51" s="1"/>
  <c r="FJ353" i="51"/>
  <c r="FJ81" i="51"/>
  <c r="FJ36" i="51"/>
  <c r="AC162" i="51"/>
  <c r="AN233" i="51"/>
  <c r="AJ240" i="51"/>
  <c r="BD240" i="51"/>
  <c r="BH240" i="51"/>
  <c r="BL240" i="51"/>
  <c r="AR240" i="51"/>
  <c r="AV240" i="51"/>
  <c r="AF262" i="51"/>
  <c r="AR262" i="51"/>
  <c r="AV262" i="51"/>
  <c r="BH262" i="51"/>
  <c r="BL262" i="51"/>
  <c r="AJ300" i="51"/>
  <c r="BL300" i="51"/>
  <c r="AD323" i="51"/>
  <c r="AF339" i="51"/>
  <c r="AH353" i="51"/>
  <c r="AI353" i="51"/>
  <c r="AR364" i="51"/>
  <c r="AV364" i="51"/>
  <c r="AZ364" i="51"/>
  <c r="AS364" i="51"/>
  <c r="BE364" i="51"/>
  <c r="BH364" i="51"/>
  <c r="BL364" i="51"/>
  <c r="AF373" i="51"/>
  <c r="AJ373" i="51"/>
  <c r="AC383" i="51"/>
  <c r="AE383" i="51"/>
  <c r="FE11" i="51"/>
  <c r="FE10" i="51" s="1"/>
  <c r="FW11" i="51"/>
  <c r="FW10" i="51" s="1"/>
  <c r="FK73" i="51"/>
  <c r="FK36" i="51"/>
  <c r="FM383" i="51"/>
  <c r="FM364" i="51"/>
  <c r="FM339" i="51"/>
  <c r="FM323" i="51"/>
  <c r="FM36" i="51"/>
  <c r="FN339" i="51"/>
  <c r="FN36" i="51"/>
  <c r="FO383" i="51"/>
  <c r="FO323" i="51"/>
  <c r="FO36" i="51"/>
  <c r="FP373" i="51"/>
  <c r="FP353" i="51"/>
  <c r="FP81" i="51"/>
  <c r="FR339" i="51"/>
  <c r="FR73" i="51"/>
  <c r="FR36" i="51"/>
  <c r="FS383" i="51"/>
  <c r="FS339" i="51"/>
  <c r="FS73" i="51"/>
  <c r="FT383" i="51"/>
  <c r="FT323" i="51"/>
  <c r="FT36" i="51"/>
  <c r="FU353" i="51"/>
  <c r="FU36" i="51"/>
  <c r="FW339" i="51"/>
  <c r="FW36" i="51"/>
  <c r="FX383" i="51"/>
  <c r="FX364" i="51"/>
  <c r="FX339" i="51"/>
  <c r="FX323" i="51"/>
  <c r="FX73" i="51"/>
  <c r="FY383" i="51"/>
  <c r="FY11" i="51"/>
  <c r="FY10" i="51" s="1"/>
  <c r="FZ373" i="51"/>
  <c r="FZ353" i="51"/>
  <c r="FZ81" i="51"/>
  <c r="FZ36" i="51"/>
  <c r="GB339" i="51"/>
  <c r="GB73" i="51"/>
  <c r="GB36" i="51"/>
  <c r="GC383" i="51"/>
  <c r="GC364" i="51"/>
  <c r="GC339" i="51"/>
  <c r="GC323" i="51"/>
  <c r="GC73" i="51"/>
  <c r="GC36" i="51"/>
  <c r="GD383" i="51"/>
  <c r="GD323" i="51"/>
  <c r="GE373" i="51"/>
  <c r="GE81" i="51"/>
  <c r="GE36" i="51"/>
  <c r="GG339" i="51"/>
  <c r="GG73" i="51"/>
  <c r="GG36" i="51"/>
  <c r="GH383" i="51"/>
  <c r="GH339" i="51"/>
  <c r="GH323" i="51"/>
  <c r="GH73" i="51"/>
  <c r="GH36" i="51"/>
  <c r="GI383" i="51"/>
  <c r="GI323" i="51"/>
  <c r="GI36" i="51"/>
  <c r="GI11" i="51"/>
  <c r="GI10" i="51" s="1"/>
  <c r="GJ373" i="51"/>
  <c r="GJ353" i="51"/>
  <c r="GJ81" i="51"/>
  <c r="GJ36" i="51"/>
  <c r="GJ11" i="51"/>
  <c r="GJ10" i="51" s="1"/>
  <c r="DL96" i="51"/>
  <c r="DV96" i="51"/>
  <c r="EA96" i="51"/>
  <c r="EG96" i="51"/>
  <c r="EL96" i="51"/>
  <c r="EQ96" i="51"/>
  <c r="FA96" i="51"/>
  <c r="FF96" i="51"/>
  <c r="GV82" i="51"/>
  <c r="GX82" i="51"/>
  <c r="GY37" i="51"/>
  <c r="EZ37" i="51"/>
  <c r="EY37" i="51"/>
  <c r="EW365" i="51"/>
  <c r="GW42" i="51"/>
  <c r="FX36" i="51"/>
  <c r="BM290" i="51"/>
  <c r="Z291" i="51" s="1"/>
  <c r="GZ291" i="51"/>
  <c r="GZ290" i="51" s="1"/>
  <c r="DZ339" i="51"/>
  <c r="GW340" i="51"/>
  <c r="GZ321" i="51"/>
  <c r="GZ320" i="51" s="1"/>
  <c r="GZ319" i="51" s="1"/>
  <c r="AK353" i="51"/>
  <c r="BV323" i="51"/>
  <c r="BI11" i="51"/>
  <c r="BI10" i="51" s="1"/>
  <c r="AH81" i="51"/>
  <c r="BM301" i="51"/>
  <c r="Z303" i="51" s="1"/>
  <c r="GZ419" i="51"/>
  <c r="DE19" i="51"/>
  <c r="AF11" i="51"/>
  <c r="AF10" i="51" s="1"/>
  <c r="AJ11" i="51"/>
  <c r="AJ10" i="51" s="1"/>
  <c r="AR11" i="51"/>
  <c r="AR10" i="51" s="1"/>
  <c r="BO241" i="51"/>
  <c r="BP82" i="51"/>
  <c r="BP254" i="51"/>
  <c r="BP241" i="51"/>
  <c r="BP346" i="51"/>
  <c r="BP365" i="51"/>
  <c r="GZ26" i="51"/>
  <c r="GZ24" i="51"/>
  <c r="GZ20" i="51"/>
  <c r="GZ87" i="51"/>
  <c r="DE82" i="51"/>
  <c r="GZ76" i="51"/>
  <c r="BM69" i="51"/>
  <c r="Z70" i="51" s="1"/>
  <c r="GZ62" i="51"/>
  <c r="GZ56" i="51"/>
  <c r="BM49" i="51"/>
  <c r="Z53" i="51" s="1"/>
  <c r="GZ50" i="51"/>
  <c r="BM42" i="51"/>
  <c r="GZ41" i="51"/>
  <c r="GZ311" i="51"/>
  <c r="DE271" i="51"/>
  <c r="DE254" i="51"/>
  <c r="GZ252" i="51"/>
  <c r="GZ187" i="51"/>
  <c r="DE174" i="51"/>
  <c r="DE171" i="51" s="1"/>
  <c r="GZ154" i="51"/>
  <c r="GZ107" i="51"/>
  <c r="GZ361" i="51"/>
  <c r="DE350" i="51"/>
  <c r="GZ344" i="51"/>
  <c r="DE410" i="51"/>
  <c r="GZ397" i="51"/>
  <c r="GZ390" i="51"/>
  <c r="GZ375" i="51"/>
  <c r="DE370" i="51"/>
  <c r="GZ368" i="51"/>
  <c r="DH12" i="51"/>
  <c r="DH340" i="51"/>
  <c r="DH74" i="51"/>
  <c r="DH73" i="51" s="1"/>
  <c r="DH64" i="51"/>
  <c r="DH201" i="51"/>
  <c r="DH192" i="51"/>
  <c r="DH178" i="51"/>
  <c r="DH184" i="51"/>
  <c r="DH163" i="51"/>
  <c r="DH162" i="51" s="1"/>
  <c r="DF313" i="51"/>
  <c r="DF312" i="51" s="1"/>
  <c r="DF285" i="51"/>
  <c r="DF258" i="51"/>
  <c r="DF257" i="51" s="1"/>
  <c r="DF241" i="51"/>
  <c r="DF201" i="51"/>
  <c r="DG217" i="51"/>
  <c r="DF330" i="51"/>
  <c r="DG340" i="51"/>
  <c r="DG330" i="51"/>
  <c r="DG365" i="51"/>
  <c r="DF12" i="51"/>
  <c r="DF69" i="51"/>
  <c r="DG58" i="51"/>
  <c r="DG42" i="51"/>
  <c r="DG37" i="51"/>
  <c r="GZ134" i="51"/>
  <c r="BV162" i="51"/>
  <c r="EY19" i="51"/>
  <c r="EX12" i="51"/>
  <c r="EX19" i="51"/>
  <c r="EX27" i="51"/>
  <c r="CV11" i="51"/>
  <c r="CV10" i="51" s="1"/>
  <c r="DA11" i="51"/>
  <c r="DA10" i="51" s="1"/>
  <c r="DU11" i="51"/>
  <c r="DU10" i="51" s="1"/>
  <c r="EK11" i="51"/>
  <c r="EK10" i="51" s="1"/>
  <c r="EV11" i="51"/>
  <c r="EV10" i="51" s="1"/>
  <c r="CS11" i="51"/>
  <c r="CS10" i="51" s="1"/>
  <c r="DM11" i="51"/>
  <c r="DM10" i="51" s="1"/>
  <c r="EC11" i="51"/>
  <c r="EC10" i="51" s="1"/>
  <c r="ES11" i="51"/>
  <c r="ES10" i="51" s="1"/>
  <c r="EH11" i="51"/>
  <c r="EH10" i="51" s="1"/>
  <c r="BS73" i="51"/>
  <c r="BW73" i="51"/>
  <c r="CA73" i="51"/>
  <c r="CE73" i="51"/>
  <c r="CJ73" i="51"/>
  <c r="CN73" i="51"/>
  <c r="CR73" i="51"/>
  <c r="CV73" i="51"/>
  <c r="CZ73" i="51"/>
  <c r="DL73" i="51"/>
  <c r="DP73" i="51"/>
  <c r="DT73" i="51"/>
  <c r="DX73" i="51"/>
  <c r="BQ73" i="51"/>
  <c r="BU73" i="51"/>
  <c r="BY73" i="51"/>
  <c r="CC73" i="51"/>
  <c r="DC73" i="51"/>
  <c r="DN73" i="51"/>
  <c r="DR73" i="51"/>
  <c r="DV73" i="51"/>
  <c r="DZ73" i="51"/>
  <c r="CH73" i="51"/>
  <c r="CL73" i="51"/>
  <c r="CP73" i="51"/>
  <c r="CX73" i="51"/>
  <c r="CI81" i="51"/>
  <c r="CM81" i="51"/>
  <c r="CQ81" i="51"/>
  <c r="CU81" i="51"/>
  <c r="BV81" i="51"/>
  <c r="CG81" i="51"/>
  <c r="CK81" i="51"/>
  <c r="CO81" i="51"/>
  <c r="EE81" i="51"/>
  <c r="CD96" i="51"/>
  <c r="CH96" i="51"/>
  <c r="CL96" i="51"/>
  <c r="CP96" i="51"/>
  <c r="BR96" i="51"/>
  <c r="BZ96" i="51"/>
  <c r="CT96" i="51"/>
  <c r="CW96" i="51"/>
  <c r="DA96" i="51"/>
  <c r="BX96" i="51"/>
  <c r="CF96" i="51"/>
  <c r="CN96" i="51"/>
  <c r="CU96" i="51"/>
  <c r="CY96" i="51"/>
  <c r="DC96" i="51"/>
  <c r="BU110" i="51"/>
  <c r="BY110" i="51"/>
  <c r="CX110" i="51"/>
  <c r="DB110" i="51"/>
  <c r="BR110" i="51"/>
  <c r="AO11" i="51"/>
  <c r="AO10" i="51" s="1"/>
  <c r="AS11" i="51"/>
  <c r="AS10" i="51" s="1"/>
  <c r="BA11" i="51"/>
  <c r="BA10" i="51" s="1"/>
  <c r="BE11" i="51"/>
  <c r="BE10" i="51" s="1"/>
  <c r="BO174" i="51"/>
  <c r="BP301" i="51"/>
  <c r="GZ248" i="51"/>
  <c r="GZ231" i="51"/>
  <c r="GZ207" i="51"/>
  <c r="GZ204" i="51"/>
  <c r="GZ129" i="51"/>
  <c r="GZ127" i="51"/>
  <c r="GZ121" i="51"/>
  <c r="GZ116" i="51"/>
  <c r="BM350" i="51"/>
  <c r="Z352" i="51" s="1"/>
  <c r="GZ329" i="51"/>
  <c r="GZ327" i="51"/>
  <c r="GZ418" i="51"/>
  <c r="GZ414" i="51"/>
  <c r="GZ405" i="51"/>
  <c r="GZ400" i="51"/>
  <c r="GZ396" i="51"/>
  <c r="GZ394" i="51"/>
  <c r="GZ385" i="51"/>
  <c r="BM370" i="51"/>
  <c r="Z371" i="51" s="1"/>
  <c r="DH285" i="51"/>
  <c r="DH214" i="51"/>
  <c r="DG285" i="51"/>
  <c r="DG271" i="51"/>
  <c r="DG229" i="51"/>
  <c r="DG350" i="51"/>
  <c r="DG370" i="51"/>
  <c r="DF74" i="51"/>
  <c r="DG74" i="51"/>
  <c r="DG73" i="51" s="1"/>
  <c r="DF152" i="51"/>
  <c r="DG174" i="51"/>
  <c r="DG171" i="51" s="1"/>
  <c r="BX36" i="51"/>
  <c r="AS36" i="51"/>
  <c r="AG36" i="51"/>
  <c r="BR11" i="51"/>
  <c r="BR10" i="51" s="1"/>
  <c r="EQ11" i="51"/>
  <c r="EQ10" i="51" s="1"/>
  <c r="DO11" i="51"/>
  <c r="DO10" i="51" s="1"/>
  <c r="EU11" i="51"/>
  <c r="EU10" i="51" s="1"/>
  <c r="BV110" i="51"/>
  <c r="CH110" i="51"/>
  <c r="CL110" i="51"/>
  <c r="CV110" i="51"/>
  <c r="BQ110" i="51"/>
  <c r="BS110" i="51"/>
  <c r="BW110" i="51"/>
  <c r="CB110" i="51"/>
  <c r="CD110" i="51"/>
  <c r="CP110" i="51"/>
  <c r="CT110" i="51"/>
  <c r="DJ110" i="51"/>
  <c r="BT110" i="51"/>
  <c r="BX110" i="51"/>
  <c r="CF110" i="51"/>
  <c r="CJ110" i="51"/>
  <c r="CN110" i="51"/>
  <c r="CZ110" i="51"/>
  <c r="BR138" i="51"/>
  <c r="BQ151" i="51"/>
  <c r="CD151" i="51"/>
  <c r="CH151" i="51"/>
  <c r="CL151" i="51"/>
  <c r="CP151" i="51"/>
  <c r="BS151" i="51"/>
  <c r="BW151" i="51"/>
  <c r="CE151" i="51"/>
  <c r="CI151" i="51"/>
  <c r="CM151" i="51"/>
  <c r="CQ151" i="51"/>
  <c r="CU151" i="51"/>
  <c r="CY151" i="51"/>
  <c r="DC151" i="51"/>
  <c r="BU151" i="51"/>
  <c r="BY151" i="51"/>
  <c r="CC151" i="51"/>
  <c r="CG151" i="51"/>
  <c r="CK151" i="51"/>
  <c r="CO151" i="51"/>
  <c r="CS151" i="51"/>
  <c r="CW151" i="51"/>
  <c r="DA151" i="51"/>
  <c r="CN151" i="51"/>
  <c r="BS162" i="51"/>
  <c r="CM162" i="51"/>
  <c r="CQ162" i="51"/>
  <c r="CA162" i="51"/>
  <c r="CE162" i="51"/>
  <c r="CI162" i="51"/>
  <c r="DC162" i="51"/>
  <c r="BQ162" i="51"/>
  <c r="BU162" i="51"/>
  <c r="CC162" i="51"/>
  <c r="CO162" i="51"/>
  <c r="CS162" i="51"/>
  <c r="BS188" i="51"/>
  <c r="BW188" i="51"/>
  <c r="CA188" i="51"/>
  <c r="CE188" i="51"/>
  <c r="CI188" i="51"/>
  <c r="CM188" i="51"/>
  <c r="CQ188" i="51"/>
  <c r="CU188" i="51"/>
  <c r="CY188" i="51"/>
  <c r="DC188" i="51"/>
  <c r="BQ188" i="51"/>
  <c r="BU188" i="51"/>
  <c r="BY188" i="51"/>
  <c r="CC188" i="51"/>
  <c r="CG188" i="51"/>
  <c r="CK188" i="51"/>
  <c r="CO188" i="51"/>
  <c r="CS188" i="51"/>
  <c r="CW188" i="51"/>
  <c r="DA188" i="51"/>
  <c r="CH188" i="51"/>
  <c r="CL188" i="51"/>
  <c r="CP188" i="51"/>
  <c r="CT188" i="51"/>
  <c r="CX188" i="51"/>
  <c r="DB188" i="51"/>
  <c r="DJ188" i="51"/>
  <c r="BT188" i="51"/>
  <c r="BX188" i="51"/>
  <c r="CB188" i="51"/>
  <c r="CF188" i="51"/>
  <c r="CJ188" i="51"/>
  <c r="CN188" i="51"/>
  <c r="CR188" i="51"/>
  <c r="CV188" i="51"/>
  <c r="CZ188" i="51"/>
  <c r="DD188" i="51"/>
  <c r="BR188" i="51"/>
  <c r="BV188" i="51"/>
  <c r="BS233" i="51"/>
  <c r="BW233" i="51"/>
  <c r="CA233" i="51"/>
  <c r="BQ233" i="51"/>
  <c r="BU233" i="51"/>
  <c r="BY233" i="51"/>
  <c r="CD233" i="51"/>
  <c r="CH233" i="51"/>
  <c r="CL233" i="51"/>
  <c r="CP233" i="51"/>
  <c r="CT233" i="51"/>
  <c r="CX233" i="51"/>
  <c r="DB233" i="51"/>
  <c r="DJ233" i="51"/>
  <c r="CB233" i="51"/>
  <c r="CF233" i="51"/>
  <c r="CJ233" i="51"/>
  <c r="CN233" i="51"/>
  <c r="CR233" i="51"/>
  <c r="CV233" i="51"/>
  <c r="CZ233" i="51"/>
  <c r="DD233" i="51"/>
  <c r="BR240" i="51"/>
  <c r="BV240" i="51"/>
  <c r="BZ240" i="51"/>
  <c r="CD240" i="51"/>
  <c r="CH240" i="51"/>
  <c r="CL240" i="51"/>
  <c r="CP240" i="51"/>
  <c r="CT240" i="51"/>
  <c r="CX240" i="51"/>
  <c r="DB240" i="51"/>
  <c r="BQ240" i="51"/>
  <c r="BY240" i="51"/>
  <c r="BS240" i="51"/>
  <c r="BW240" i="51"/>
  <c r="CB240" i="51"/>
  <c r="CF240" i="51"/>
  <c r="CJ240" i="51"/>
  <c r="CN240" i="51"/>
  <c r="CR240" i="51"/>
  <c r="CV240" i="51"/>
  <c r="CZ240" i="51"/>
  <c r="DD240" i="51"/>
  <c r="DJ240" i="51"/>
  <c r="BT240" i="51"/>
  <c r="BX240" i="51"/>
  <c r="BT262" i="51"/>
  <c r="BX262" i="51"/>
  <c r="CF262" i="51"/>
  <c r="CZ262" i="51"/>
  <c r="BR262" i="51"/>
  <c r="BV262" i="51"/>
  <c r="BZ262" i="51"/>
  <c r="CD262" i="51"/>
  <c r="CH262" i="51"/>
  <c r="CL262" i="51"/>
  <c r="CT262" i="51"/>
  <c r="CX262" i="51"/>
  <c r="DB262" i="51"/>
  <c r="DJ262" i="51"/>
  <c r="BT268" i="51"/>
  <c r="BX268" i="51"/>
  <c r="CB268" i="51"/>
  <c r="CF268" i="51"/>
  <c r="CJ268" i="51"/>
  <c r="CT268" i="51"/>
  <c r="CX268" i="51"/>
  <c r="DC268" i="51"/>
  <c r="DK268" i="51"/>
  <c r="DP268" i="51"/>
  <c r="DU268" i="51"/>
  <c r="DZ268" i="51"/>
  <c r="EE268" i="51"/>
  <c r="EK268" i="51"/>
  <c r="EP268" i="51"/>
  <c r="BR268" i="51"/>
  <c r="BV268" i="51"/>
  <c r="BZ268" i="51"/>
  <c r="CH268" i="51"/>
  <c r="CV268" i="51"/>
  <c r="CZ268" i="51"/>
  <c r="DA268" i="51"/>
  <c r="DI268" i="51"/>
  <c r="DR268" i="51"/>
  <c r="DW268" i="51"/>
  <c r="EH268" i="51"/>
  <c r="EM268" i="51"/>
  <c r="ER268" i="51"/>
  <c r="BT281" i="51"/>
  <c r="BX281" i="51"/>
  <c r="CB281" i="51"/>
  <c r="CF281" i="51"/>
  <c r="CJ281" i="51"/>
  <c r="CN281" i="51"/>
  <c r="CR281" i="51"/>
  <c r="CV281" i="51"/>
  <c r="CZ281" i="51"/>
  <c r="DD281" i="51"/>
  <c r="DL281" i="51"/>
  <c r="DQ281" i="51"/>
  <c r="DV281" i="51"/>
  <c r="EA281" i="51"/>
  <c r="EG281" i="51"/>
  <c r="EM281" i="51"/>
  <c r="ER281" i="51"/>
  <c r="EK281" i="51"/>
  <c r="EP281" i="51"/>
  <c r="BR281" i="51"/>
  <c r="BV281" i="51"/>
  <c r="BZ281" i="51"/>
  <c r="CD281" i="51"/>
  <c r="CH281" i="51"/>
  <c r="CL281" i="51"/>
  <c r="CP281" i="51"/>
  <c r="CT281" i="51"/>
  <c r="CX281" i="51"/>
  <c r="DB281" i="51"/>
  <c r="DJ281" i="51"/>
  <c r="DO281" i="51"/>
  <c r="DT281" i="51"/>
  <c r="DY281" i="51"/>
  <c r="ED281" i="51"/>
  <c r="EO281" i="51"/>
  <c r="EH281" i="51"/>
  <c r="EL281" i="51"/>
  <c r="EQ281" i="51"/>
  <c r="BX300" i="51"/>
  <c r="CC300" i="51"/>
  <c r="CG300" i="51"/>
  <c r="CK300" i="51"/>
  <c r="BV300" i="51"/>
  <c r="CO300" i="51"/>
  <c r="CR300" i="51"/>
  <c r="CV300" i="51"/>
  <c r="CZ300" i="51"/>
  <c r="DD300" i="51"/>
  <c r="DL300" i="51"/>
  <c r="DQ300" i="51"/>
  <c r="DV300" i="51"/>
  <c r="EA300" i="51"/>
  <c r="EG300" i="51"/>
  <c r="EL300" i="51"/>
  <c r="EQ300" i="51"/>
  <c r="CA300" i="51"/>
  <c r="CE300" i="51"/>
  <c r="CI300" i="51"/>
  <c r="CM300" i="51"/>
  <c r="CP300" i="51"/>
  <c r="CT300" i="51"/>
  <c r="CX300" i="51"/>
  <c r="DB300" i="51"/>
  <c r="DJ300" i="51"/>
  <c r="DO300" i="51"/>
  <c r="DT300" i="51"/>
  <c r="DY300" i="51"/>
  <c r="ED300" i="51"/>
  <c r="EI300" i="51"/>
  <c r="EO300" i="51"/>
  <c r="BR339" i="51"/>
  <c r="BV339" i="51"/>
  <c r="BZ339" i="51"/>
  <c r="CV339" i="51"/>
  <c r="CZ339" i="51"/>
  <c r="DD339" i="51"/>
  <c r="DL339" i="51"/>
  <c r="BT339" i="51"/>
  <c r="BX339" i="51"/>
  <c r="CB339" i="51"/>
  <c r="CT339" i="51"/>
  <c r="CX339" i="51"/>
  <c r="DB339" i="51"/>
  <c r="DJ339" i="51"/>
  <c r="DX364" i="51"/>
  <c r="EF364" i="51"/>
  <c r="EN364" i="51"/>
  <c r="EV364" i="51"/>
  <c r="EH364" i="51"/>
  <c r="BY383" i="51"/>
  <c r="DM383" i="51"/>
  <c r="DW383" i="51"/>
  <c r="EC383" i="51"/>
  <c r="EH383" i="51"/>
  <c r="EM383" i="51"/>
  <c r="ER383" i="51"/>
  <c r="ER363" i="51" s="1"/>
  <c r="CA383" i="51"/>
  <c r="CE383" i="51"/>
  <c r="DC383" i="51"/>
  <c r="DK383" i="51"/>
  <c r="DT383" i="51"/>
  <c r="CL383" i="51"/>
  <c r="DB383" i="51"/>
  <c r="DZ383" i="51"/>
  <c r="DZ363" i="51" s="1"/>
  <c r="EE383" i="51"/>
  <c r="EK383" i="51"/>
  <c r="EP383" i="51"/>
  <c r="EP363" i="51" s="1"/>
  <c r="AS73" i="51"/>
  <c r="AW73" i="51"/>
  <c r="BA73" i="51"/>
  <c r="AU73" i="51"/>
  <c r="AY73" i="51"/>
  <c r="BG110" i="51"/>
  <c r="BC110" i="51"/>
  <c r="BI110" i="51"/>
  <c r="BK110" i="51"/>
  <c r="AD110" i="51"/>
  <c r="AH110" i="51"/>
  <c r="AJ110" i="51"/>
  <c r="AL110" i="51"/>
  <c r="AP110" i="51"/>
  <c r="AX110" i="51"/>
  <c r="BE110" i="51"/>
  <c r="AC138" i="51"/>
  <c r="AG138" i="51"/>
  <c r="AK138" i="51"/>
  <c r="AO138" i="51"/>
  <c r="AS138" i="51"/>
  <c r="AW138" i="51"/>
  <c r="BA138" i="51"/>
  <c r="BK138" i="51"/>
  <c r="AE138" i="51"/>
  <c r="AI138" i="51"/>
  <c r="AM138" i="51"/>
  <c r="AQ138" i="51"/>
  <c r="AU138" i="51"/>
  <c r="AY138" i="51"/>
  <c r="AC151" i="51"/>
  <c r="AG151" i="51"/>
  <c r="AK151" i="51"/>
  <c r="AO151" i="51"/>
  <c r="AS151" i="51"/>
  <c r="BK151" i="51"/>
  <c r="AE151" i="51"/>
  <c r="AI151" i="51"/>
  <c r="AM151" i="51"/>
  <c r="AQ151" i="51"/>
  <c r="AU151" i="51"/>
  <c r="BI151" i="51"/>
  <c r="AH162" i="51"/>
  <c r="AL162" i="51"/>
  <c r="AP162" i="51"/>
  <c r="AT162" i="51"/>
  <c r="AX162" i="51"/>
  <c r="BB162" i="51"/>
  <c r="BF162" i="51"/>
  <c r="BL162" i="51"/>
  <c r="AF162" i="51"/>
  <c r="CF73" i="51"/>
  <c r="DQ96" i="51"/>
  <c r="BR151" i="51"/>
  <c r="CQ240" i="51"/>
  <c r="CU268" i="51"/>
  <c r="DD268" i="51"/>
  <c r="DQ268" i="51"/>
  <c r="CE281" i="51"/>
  <c r="CY281" i="51"/>
  <c r="EE281" i="51"/>
  <c r="BY300" i="51"/>
  <c r="EI339" i="51"/>
  <c r="CN353" i="51"/>
  <c r="AJ162" i="51"/>
  <c r="AN162" i="51"/>
  <c r="AR162" i="51"/>
  <c r="AV162" i="51"/>
  <c r="AZ162" i="51"/>
  <c r="BD162" i="51"/>
  <c r="BH162" i="51"/>
  <c r="AD162" i="51"/>
  <c r="BJ162" i="51"/>
  <c r="AD171" i="51"/>
  <c r="AH171" i="51"/>
  <c r="AR171" i="51"/>
  <c r="AV171" i="51"/>
  <c r="AZ171" i="51"/>
  <c r="BD171" i="51"/>
  <c r="BH171" i="51"/>
  <c r="BL171" i="51"/>
  <c r="AF171" i="51"/>
  <c r="AP171" i="51"/>
  <c r="AT171" i="51"/>
  <c r="AX171" i="51"/>
  <c r="BB171" i="51"/>
  <c r="BF171" i="51"/>
  <c r="BJ171" i="51"/>
  <c r="AD188" i="51"/>
  <c r="AI188" i="51"/>
  <c r="AO188" i="51"/>
  <c r="AS188" i="51"/>
  <c r="AW188" i="51"/>
  <c r="BA188" i="51"/>
  <c r="BJ188" i="51"/>
  <c r="BG188" i="51"/>
  <c r="AE188" i="51"/>
  <c r="AJ188" i="51"/>
  <c r="AK188" i="51"/>
  <c r="AL188" i="51"/>
  <c r="AP188" i="51"/>
  <c r="AT188" i="51"/>
  <c r="AX188" i="51"/>
  <c r="BB188" i="51"/>
  <c r="BD188" i="51"/>
  <c r="BI188" i="51"/>
  <c r="AC188" i="51"/>
  <c r="AG188" i="51"/>
  <c r="AH188" i="51"/>
  <c r="AM188" i="51"/>
  <c r="AQ188" i="51"/>
  <c r="AU188" i="51"/>
  <c r="AY188" i="51"/>
  <c r="BC188" i="51"/>
  <c r="BH188" i="51"/>
  <c r="BL188" i="51"/>
  <c r="AF188" i="51"/>
  <c r="AN188" i="51"/>
  <c r="AR188" i="51"/>
  <c r="AV188" i="51"/>
  <c r="AZ188" i="51"/>
  <c r="AF233" i="51"/>
  <c r="AJ233" i="51"/>
  <c r="AP233" i="51"/>
  <c r="AT233" i="51"/>
  <c r="AX233" i="51"/>
  <c r="BB233" i="51"/>
  <c r="BJ233" i="51"/>
  <c r="AD233" i="51"/>
  <c r="AH233" i="51"/>
  <c r="AL233" i="51"/>
  <c r="AR233" i="51"/>
  <c r="AV233" i="51"/>
  <c r="AZ233" i="51"/>
  <c r="BD233" i="51"/>
  <c r="BH233" i="51"/>
  <c r="BL233" i="51"/>
  <c r="BK240" i="51"/>
  <c r="AE240" i="51"/>
  <c r="AI240" i="51"/>
  <c r="BC240" i="51"/>
  <c r="BE240" i="51"/>
  <c r="BI240" i="51"/>
  <c r="AC240" i="51"/>
  <c r="AK240" i="51"/>
  <c r="AZ240" i="51"/>
  <c r="BB240" i="51"/>
  <c r="AF268" i="51"/>
  <c r="AJ268" i="51"/>
  <c r="AO268" i="51"/>
  <c r="AS268" i="51"/>
  <c r="AW268" i="51"/>
  <c r="BA268" i="51"/>
  <c r="BE268" i="51"/>
  <c r="BI268" i="51"/>
  <c r="AG268" i="51"/>
  <c r="AL268" i="51"/>
  <c r="AP268" i="51"/>
  <c r="AT268" i="51"/>
  <c r="AX268" i="51"/>
  <c r="BB268" i="51"/>
  <c r="BF268" i="51"/>
  <c r="BJ268" i="51"/>
  <c r="AD268" i="51"/>
  <c r="AH268" i="51"/>
  <c r="AM268" i="51"/>
  <c r="AQ268" i="51"/>
  <c r="AU268" i="51"/>
  <c r="AY268" i="51"/>
  <c r="BC268" i="51"/>
  <c r="BG268" i="51"/>
  <c r="BK268" i="51"/>
  <c r="AE268" i="51"/>
  <c r="AI268" i="51"/>
  <c r="AN268" i="51"/>
  <c r="AR268" i="51"/>
  <c r="AV268" i="51"/>
  <c r="AZ268" i="51"/>
  <c r="BD268" i="51"/>
  <c r="BH268" i="51"/>
  <c r="BL268" i="51"/>
  <c r="AH281" i="51"/>
  <c r="AQ281" i="51"/>
  <c r="AU281" i="51"/>
  <c r="AZ281" i="51"/>
  <c r="BD281" i="51"/>
  <c r="BI281" i="51"/>
  <c r="AF281" i="51"/>
  <c r="AJ281" i="51"/>
  <c r="AN281" i="51"/>
  <c r="AS281" i="51"/>
  <c r="AX281" i="51"/>
  <c r="BB281" i="51"/>
  <c r="BG281" i="51"/>
  <c r="BL281" i="51"/>
  <c r="AO281" i="51"/>
  <c r="AR281" i="51"/>
  <c r="AV281" i="51"/>
  <c r="AW281" i="51"/>
  <c r="BA281" i="51"/>
  <c r="BE281" i="51"/>
  <c r="BF281" i="51"/>
  <c r="BJ281" i="51"/>
  <c r="BK281" i="51"/>
  <c r="AC281" i="51"/>
  <c r="AE281" i="51"/>
  <c r="AI281" i="51"/>
  <c r="AY281" i="51"/>
  <c r="BG300" i="51"/>
  <c r="AN300" i="51"/>
  <c r="AV300" i="51"/>
  <c r="BC300" i="51"/>
  <c r="AC300" i="51"/>
  <c r="AG300" i="51"/>
  <c r="BE300" i="51"/>
  <c r="AJ323" i="51"/>
  <c r="AN323" i="51"/>
  <c r="AR323" i="51"/>
  <c r="AV323" i="51"/>
  <c r="AZ323" i="51"/>
  <c r="BD323" i="51"/>
  <c r="BH323" i="51"/>
  <c r="BL323" i="51"/>
  <c r="AE323" i="51"/>
  <c r="AH323" i="51"/>
  <c r="AL323" i="51"/>
  <c r="AP323" i="51"/>
  <c r="AT323" i="51"/>
  <c r="AX323" i="51"/>
  <c r="BB323" i="51"/>
  <c r="BF323" i="51"/>
  <c r="BJ323" i="51"/>
  <c r="BE339" i="51"/>
  <c r="BK339" i="51"/>
  <c r="AE339" i="51"/>
  <c r="AO339" i="51"/>
  <c r="AR339" i="51"/>
  <c r="AU339" i="51"/>
  <c r="BA339" i="51"/>
  <c r="BD339" i="51"/>
  <c r="BG339" i="51"/>
  <c r="AC339" i="51"/>
  <c r="AP339" i="51"/>
  <c r="AT339" i="51"/>
  <c r="BB339" i="51"/>
  <c r="BF339" i="51"/>
  <c r="AE364" i="51"/>
  <c r="AI364" i="51"/>
  <c r="AC364" i="51"/>
  <c r="AG364" i="51"/>
  <c r="AP373" i="51"/>
  <c r="AV373" i="51"/>
  <c r="BB373" i="51"/>
  <c r="AR373" i="51"/>
  <c r="BD373" i="51"/>
  <c r="BJ373" i="51"/>
  <c r="AL383" i="51"/>
  <c r="AR383" i="51"/>
  <c r="AV383" i="51"/>
  <c r="AZ383" i="51"/>
  <c r="BE383" i="51"/>
  <c r="AJ383" i="51"/>
  <c r="AT383" i="51"/>
  <c r="AX383" i="51"/>
  <c r="BB383" i="51"/>
  <c r="BL383" i="51"/>
  <c r="AD383" i="51"/>
  <c r="AM383" i="51"/>
  <c r="AQ383" i="51"/>
  <c r="AU383" i="51"/>
  <c r="AY383" i="51"/>
  <c r="BG383" i="51"/>
  <c r="EZ27" i="51"/>
  <c r="EZ19" i="51"/>
  <c r="FA73" i="51"/>
  <c r="FB96" i="51"/>
  <c r="FB110" i="51"/>
  <c r="FB138" i="51"/>
  <c r="FB151" i="51"/>
  <c r="FA268" i="51"/>
  <c r="FA281" i="51"/>
  <c r="FA300" i="51"/>
  <c r="FA312" i="51"/>
  <c r="FA339" i="51"/>
  <c r="FA353" i="51"/>
  <c r="FA373" i="51"/>
  <c r="FG11" i="51"/>
  <c r="FG10" i="51" s="1"/>
  <c r="FG73" i="51"/>
  <c r="FG281" i="51"/>
  <c r="FG268" i="51"/>
  <c r="FG240" i="51"/>
  <c r="FG233" i="51"/>
  <c r="FG162" i="51"/>
  <c r="FG151" i="51"/>
  <c r="FG110" i="51"/>
  <c r="FG339" i="51"/>
  <c r="FG383" i="51"/>
  <c r="FJ11" i="51"/>
  <c r="FJ10" i="51" s="1"/>
  <c r="FL11" i="51"/>
  <c r="FL10" i="51" s="1"/>
  <c r="FL73" i="51"/>
  <c r="FL339" i="51"/>
  <c r="FL323" i="51"/>
  <c r="FM11" i="51"/>
  <c r="FM10" i="51" s="1"/>
  <c r="FQ81" i="51"/>
  <c r="FQ353" i="51"/>
  <c r="FQ323" i="51"/>
  <c r="FQ383" i="51"/>
  <c r="FT11" i="51"/>
  <c r="FT10" i="51" s="1"/>
  <c r="FV11" i="51"/>
  <c r="FV10" i="51" s="1"/>
  <c r="FV73" i="51"/>
  <c r="FV323" i="51"/>
  <c r="GA323" i="51"/>
  <c r="GA383" i="51"/>
  <c r="GE11" i="51"/>
  <c r="GE10" i="51" s="1"/>
  <c r="GF73" i="51"/>
  <c r="GF36" i="51"/>
  <c r="GF339" i="51"/>
  <c r="GF373" i="51"/>
  <c r="GK11" i="51"/>
  <c r="GK10" i="51" s="1"/>
  <c r="GK36" i="51"/>
  <c r="GK323" i="51"/>
  <c r="GO11" i="51"/>
  <c r="GO10" i="51" s="1"/>
  <c r="GP73" i="51"/>
  <c r="GP36" i="51"/>
  <c r="GP339" i="51"/>
  <c r="GQ323" i="51"/>
  <c r="GQ383" i="51"/>
  <c r="GQ364" i="51"/>
  <c r="GR73" i="51"/>
  <c r="GR36" i="51"/>
  <c r="GR339" i="51"/>
  <c r="GR373" i="51"/>
  <c r="GS323" i="51"/>
  <c r="GT73" i="51"/>
  <c r="GT36" i="51"/>
  <c r="GT339" i="51"/>
  <c r="GU19" i="51"/>
  <c r="GU82" i="51"/>
  <c r="GU74" i="51"/>
  <c r="GU73" i="51" s="1"/>
  <c r="GU64" i="51"/>
  <c r="GU37" i="51"/>
  <c r="GU346" i="51"/>
  <c r="GU340" i="51"/>
  <c r="GU404" i="51"/>
  <c r="GZ380" i="51"/>
  <c r="GU365" i="51"/>
  <c r="P387" i="51"/>
  <c r="GV404" i="51"/>
  <c r="GV365" i="51"/>
  <c r="GV64" i="51"/>
  <c r="GV58" i="51"/>
  <c r="GV54" i="51"/>
  <c r="GV49" i="51"/>
  <c r="GV37" i="51"/>
  <c r="GV12" i="51"/>
  <c r="GW365" i="51"/>
  <c r="GW360" i="51"/>
  <c r="GW354" i="51"/>
  <c r="GW58" i="51"/>
  <c r="GW37" i="51"/>
  <c r="GW12" i="51"/>
  <c r="GX64" i="51"/>
  <c r="GX49" i="51"/>
  <c r="GX37" i="51"/>
  <c r="GX12" i="51"/>
  <c r="GL36" i="51"/>
  <c r="GL11" i="51"/>
  <c r="GL10" i="51" s="1"/>
  <c r="GM73" i="51"/>
  <c r="GM36" i="51"/>
  <c r="GM11" i="51"/>
  <c r="GM10" i="51" s="1"/>
  <c r="GN364" i="51"/>
  <c r="GN339" i="51"/>
  <c r="GO383" i="51"/>
  <c r="GO323" i="51"/>
  <c r="FC383" i="51"/>
  <c r="FC373" i="51"/>
  <c r="FC281" i="51"/>
  <c r="FD323" i="51"/>
  <c r="FD36" i="51"/>
  <c r="FE312" i="51"/>
  <c r="FE81" i="51"/>
  <c r="FF339" i="51"/>
  <c r="FF81" i="51"/>
  <c r="FH373" i="51"/>
  <c r="FI353" i="51"/>
  <c r="FP36" i="51"/>
  <c r="FP11" i="51"/>
  <c r="FP10" i="51" s="1"/>
  <c r="FR353" i="51"/>
  <c r="FR11" i="51"/>
  <c r="FR10" i="51" s="1"/>
  <c r="FS364" i="51"/>
  <c r="FT364" i="51"/>
  <c r="FU373" i="51"/>
  <c r="FU81" i="51"/>
  <c r="GB11" i="51"/>
  <c r="GB10" i="51" s="1"/>
  <c r="DM96" i="51"/>
  <c r="DO96" i="51"/>
  <c r="DT96" i="51"/>
  <c r="DY96" i="51"/>
  <c r="EC96" i="51"/>
  <c r="ED96" i="51"/>
  <c r="EI96" i="51"/>
  <c r="EM96" i="51"/>
  <c r="EO96" i="51"/>
  <c r="EZ12" i="51"/>
  <c r="FA36" i="51"/>
  <c r="FB36" i="51"/>
  <c r="FB188" i="51"/>
  <c r="FG188" i="51"/>
  <c r="FQ36" i="51"/>
  <c r="FV36" i="51"/>
  <c r="GA36" i="51"/>
  <c r="GQ36" i="51"/>
  <c r="GS36" i="51"/>
  <c r="GU27" i="51"/>
  <c r="GU354" i="51"/>
  <c r="GU410" i="51"/>
  <c r="GU384" i="51"/>
  <c r="GV410" i="51"/>
  <c r="GV27" i="51"/>
  <c r="GV19" i="51"/>
  <c r="GW410" i="51"/>
  <c r="GW19" i="51"/>
  <c r="GX410" i="51"/>
  <c r="GX374" i="51"/>
  <c r="GX373" i="51" s="1"/>
  <c r="I31" i="56" s="1"/>
  <c r="BM157" i="51"/>
  <c r="Z158" i="51" s="1"/>
  <c r="AK300" i="51"/>
  <c r="GZ224" i="51"/>
  <c r="GZ244" i="51"/>
  <c r="GZ213" i="51"/>
  <c r="DD73" i="51"/>
  <c r="DW73" i="51"/>
  <c r="CM73" i="51"/>
  <c r="CL81" i="51"/>
  <c r="CG96" i="51"/>
  <c r="CO96" i="51"/>
  <c r="BR233" i="51"/>
  <c r="GZ158" i="51"/>
  <c r="GZ157" i="51" s="1"/>
  <c r="DF174" i="51"/>
  <c r="DF171" i="51" s="1"/>
  <c r="DL81" i="51"/>
  <c r="DH350" i="51"/>
  <c r="DF254" i="51"/>
  <c r="EA81" i="51"/>
  <c r="CA110" i="51"/>
  <c r="BX151" i="51"/>
  <c r="CR151" i="51"/>
  <c r="ED364" i="51"/>
  <c r="EW189" i="51"/>
  <c r="GZ314" i="51"/>
  <c r="GZ307" i="51"/>
  <c r="GZ306" i="51" s="1"/>
  <c r="GZ274" i="51"/>
  <c r="GZ259" i="51"/>
  <c r="GZ242" i="51"/>
  <c r="GZ227" i="51"/>
  <c r="GZ216" i="51"/>
  <c r="GZ195" i="51"/>
  <c r="GZ193" i="51"/>
  <c r="GZ137" i="51"/>
  <c r="GZ136" i="51" s="1"/>
  <c r="GZ102" i="51"/>
  <c r="GZ357" i="51"/>
  <c r="GZ345" i="51"/>
  <c r="GZ372" i="51"/>
  <c r="DH360" i="51"/>
  <c r="DH263" i="51"/>
  <c r="DH262" i="51" s="1"/>
  <c r="DH159" i="51"/>
  <c r="DH152" i="51"/>
  <c r="DG263" i="51"/>
  <c r="DG262" i="51" s="1"/>
  <c r="BP384" i="51"/>
  <c r="DE308" i="51"/>
  <c r="BM111" i="51"/>
  <c r="Z113" i="51" s="1"/>
  <c r="DE101" i="51"/>
  <c r="DE340" i="51"/>
  <c r="DE384" i="51"/>
  <c r="DE365" i="51"/>
  <c r="DH42" i="51"/>
  <c r="DH86" i="51"/>
  <c r="DF101" i="51"/>
  <c r="AC11" i="51"/>
  <c r="AC10" i="51" s="1"/>
  <c r="AG11" i="51"/>
  <c r="AG10" i="51" s="1"/>
  <c r="BB11" i="51"/>
  <c r="BB10" i="51" s="1"/>
  <c r="AM36" i="51"/>
  <c r="AQ36" i="51"/>
  <c r="AU36" i="51"/>
  <c r="AY36" i="51"/>
  <c r="BC36" i="51"/>
  <c r="BG36" i="51"/>
  <c r="BK36" i="51"/>
  <c r="BO330" i="51"/>
  <c r="GZ91" i="51"/>
  <c r="GZ48" i="51"/>
  <c r="GZ196" i="51"/>
  <c r="BM101" i="51"/>
  <c r="Z103" i="51" s="1"/>
  <c r="GZ358" i="51"/>
  <c r="DF295" i="51"/>
  <c r="DF294" i="51" s="1"/>
  <c r="DG295" i="51"/>
  <c r="DG294" i="51" s="1"/>
  <c r="DG251" i="51"/>
  <c r="DG247" i="51"/>
  <c r="DG192" i="51"/>
  <c r="DG49" i="51"/>
  <c r="DG111" i="51"/>
  <c r="CV36" i="51"/>
  <c r="ER36" i="51"/>
  <c r="DD96" i="51"/>
  <c r="CG110" i="51"/>
  <c r="CO233" i="51"/>
  <c r="DI233" i="51"/>
  <c r="DA300" i="51"/>
  <c r="EM300" i="51"/>
  <c r="ER300" i="51"/>
  <c r="CF300" i="51"/>
  <c r="EY12" i="51"/>
  <c r="CA151" i="51"/>
  <c r="DE404" i="51"/>
  <c r="BM205" i="51"/>
  <c r="Z210" i="51" s="1"/>
  <c r="DE97" i="51"/>
  <c r="DE335" i="51"/>
  <c r="DE192" i="51"/>
  <c r="BN254" i="51"/>
  <c r="BM263" i="51"/>
  <c r="BM262" i="51" s="1"/>
  <c r="GZ264" i="51"/>
  <c r="GZ168" i="51"/>
  <c r="GZ167" i="51" s="1"/>
  <c r="DE201" i="51"/>
  <c r="AG96" i="51"/>
  <c r="BV73" i="51"/>
  <c r="BW81" i="51"/>
  <c r="AF240" i="51"/>
  <c r="BA240" i="51"/>
  <c r="AJ262" i="51"/>
  <c r="AN262" i="51"/>
  <c r="AZ262" i="51"/>
  <c r="BD262" i="51"/>
  <c r="AM281" i="51"/>
  <c r="AF300" i="51"/>
  <c r="AR300" i="51"/>
  <c r="AZ300" i="51"/>
  <c r="BF300" i="51"/>
  <c r="AD339" i="51"/>
  <c r="AI339" i="51"/>
  <c r="AD353" i="51"/>
  <c r="AN364" i="51"/>
  <c r="BD364" i="51"/>
  <c r="AP383" i="51"/>
  <c r="GA364" i="51"/>
  <c r="GF81" i="51"/>
  <c r="FH11" i="51"/>
  <c r="FH10" i="51" s="1"/>
  <c r="FK11" i="51"/>
  <c r="FK10" i="51" s="1"/>
  <c r="FU11" i="51"/>
  <c r="FU10" i="51" s="1"/>
  <c r="EZ370" i="51"/>
  <c r="FA226" i="51"/>
  <c r="FA188" i="51" s="1"/>
  <c r="CA138" i="51"/>
  <c r="EQ73" i="51"/>
  <c r="EU73" i="51"/>
  <c r="CV96" i="51"/>
  <c r="AM247" i="51"/>
  <c r="AM240" i="51" s="1"/>
  <c r="DE73" i="51"/>
  <c r="DE374" i="51"/>
  <c r="DE373" i="51" s="1"/>
  <c r="GZ194" i="51"/>
  <c r="BM251" i="51"/>
  <c r="Z253" i="51" s="1"/>
  <c r="GZ318" i="51"/>
  <c r="GZ317" i="51" s="1"/>
  <c r="GZ267" i="51"/>
  <c r="GZ266" i="51" s="1"/>
  <c r="BM404" i="51"/>
  <c r="Z409" i="51" s="1"/>
  <c r="BM120" i="51"/>
  <c r="Z128" i="51" s="1"/>
  <c r="GZ305" i="51"/>
  <c r="GZ304" i="51" s="1"/>
  <c r="BZ217" i="51"/>
  <c r="BZ188" i="51" s="1"/>
  <c r="DE219" i="51"/>
  <c r="GZ219" i="51" s="1"/>
  <c r="EY27" i="51"/>
  <c r="BO250" i="51"/>
  <c r="GZ246" i="51"/>
  <c r="GZ245" i="51" s="1"/>
  <c r="BN263" i="51"/>
  <c r="BO282" i="51"/>
  <c r="BO254" i="51"/>
  <c r="BO189" i="51"/>
  <c r="BP263" i="51"/>
  <c r="BP174" i="51"/>
  <c r="BP152" i="51"/>
  <c r="BP370" i="51"/>
  <c r="BJ11" i="51"/>
  <c r="BJ10" i="51" s="1"/>
  <c r="BN211" i="51"/>
  <c r="BF188" i="51"/>
  <c r="BN174" i="51"/>
  <c r="BN159" i="51"/>
  <c r="BO301" i="51"/>
  <c r="BO111" i="51"/>
  <c r="BP282" i="51"/>
  <c r="BP221" i="51"/>
  <c r="BP163" i="51"/>
  <c r="BP120" i="51"/>
  <c r="BP101" i="51"/>
  <c r="BP354" i="51"/>
  <c r="GZ33" i="51"/>
  <c r="GZ32" i="51"/>
  <c r="GZ31" i="51"/>
  <c r="GZ17" i="51"/>
  <c r="AG81" i="51"/>
  <c r="GZ72" i="51"/>
  <c r="GZ46" i="51"/>
  <c r="DE211" i="51"/>
  <c r="GZ206" i="51"/>
  <c r="GZ128" i="51"/>
  <c r="GZ126" i="51"/>
  <c r="GZ117" i="51"/>
  <c r="GZ115" i="51"/>
  <c r="GZ113" i="51"/>
  <c r="GZ328" i="51"/>
  <c r="GZ415" i="51"/>
  <c r="GZ411" i="51"/>
  <c r="GZ401" i="51"/>
  <c r="GZ393" i="51"/>
  <c r="GZ386" i="51"/>
  <c r="DH282" i="51"/>
  <c r="DH275" i="51"/>
  <c r="DH254" i="51"/>
  <c r="DH233" i="51"/>
  <c r="DH217" i="51"/>
  <c r="DH211" i="51"/>
  <c r="DF217" i="51"/>
  <c r="DF211" i="51"/>
  <c r="DG275" i="51"/>
  <c r="DG254" i="51"/>
  <c r="DG211" i="51"/>
  <c r="DG201" i="51"/>
  <c r="DF370" i="51"/>
  <c r="DF54" i="51"/>
  <c r="DG159" i="51"/>
  <c r="DG152" i="51"/>
  <c r="EW12" i="51"/>
  <c r="GZ84" i="51"/>
  <c r="GZ68" i="51"/>
  <c r="EW64" i="51"/>
  <c r="GZ65" i="51"/>
  <c r="GZ59" i="51"/>
  <c r="GZ53" i="51"/>
  <c r="GZ47" i="51"/>
  <c r="EW37" i="51"/>
  <c r="GZ39" i="51"/>
  <c r="GZ316" i="51"/>
  <c r="GZ309" i="51"/>
  <c r="GZ284" i="51"/>
  <c r="GZ277" i="51"/>
  <c r="GZ276" i="51"/>
  <c r="GZ273" i="51"/>
  <c r="GZ260" i="51"/>
  <c r="GZ228" i="51"/>
  <c r="GZ218" i="51"/>
  <c r="GZ191" i="51"/>
  <c r="GZ186" i="51"/>
  <c r="GZ182" i="51"/>
  <c r="GZ176" i="51"/>
  <c r="GZ161" i="51"/>
  <c r="GZ147" i="51"/>
  <c r="GZ144" i="51"/>
  <c r="GZ142" i="51"/>
  <c r="BM131" i="51"/>
  <c r="Z134" i="51" s="1"/>
  <c r="GZ105" i="51"/>
  <c r="GZ359" i="51"/>
  <c r="GZ351" i="51"/>
  <c r="GZ342" i="51"/>
  <c r="GZ338" i="51"/>
  <c r="GZ336" i="51"/>
  <c r="DE324" i="51"/>
  <c r="GZ420" i="51"/>
  <c r="GZ388" i="51"/>
  <c r="GZ379" i="51"/>
  <c r="GZ371" i="51"/>
  <c r="AK364" i="51"/>
  <c r="DH27" i="51"/>
  <c r="DH19" i="51"/>
  <c r="DH354" i="51"/>
  <c r="DH54" i="51"/>
  <c r="DH49" i="51"/>
  <c r="DH313" i="51"/>
  <c r="DH312" i="51" s="1"/>
  <c r="DH308" i="51"/>
  <c r="DH301" i="51"/>
  <c r="DH295" i="51"/>
  <c r="DH294" i="51" s="1"/>
  <c r="DH258" i="51"/>
  <c r="DH257" i="51" s="1"/>
  <c r="DH226" i="51"/>
  <c r="DH221" i="51"/>
  <c r="DH120" i="51"/>
  <c r="DH111" i="51"/>
  <c r="DF275" i="51"/>
  <c r="DF271" i="51"/>
  <c r="DF263" i="51"/>
  <c r="DF262" i="51" s="1"/>
  <c r="DF226" i="51"/>
  <c r="DF221" i="51"/>
  <c r="DF205" i="51"/>
  <c r="DF192" i="51"/>
  <c r="DG313" i="51"/>
  <c r="DG312" i="51" s="1"/>
  <c r="DG258" i="51"/>
  <c r="DG257" i="51" s="1"/>
  <c r="DG226" i="51"/>
  <c r="DG205" i="51"/>
  <c r="DG189" i="51"/>
  <c r="DF340" i="51"/>
  <c r="DF335" i="51"/>
  <c r="DF384" i="51"/>
  <c r="DF19" i="51"/>
  <c r="DG27" i="51"/>
  <c r="DG19" i="51"/>
  <c r="DG12" i="51"/>
  <c r="DF49" i="51"/>
  <c r="DF37" i="51"/>
  <c r="DF86" i="51"/>
  <c r="DF145" i="51"/>
  <c r="DF184" i="51"/>
  <c r="DF178" i="51"/>
  <c r="DG184" i="51"/>
  <c r="BX383" i="51"/>
  <c r="BV11" i="51"/>
  <c r="BV10" i="51" s="1"/>
  <c r="BM238" i="51"/>
  <c r="Z239" i="51" s="1"/>
  <c r="GZ239" i="51"/>
  <c r="GZ238" i="51" s="1"/>
  <c r="BM226" i="51"/>
  <c r="Z227" i="51" s="1"/>
  <c r="BN285" i="51"/>
  <c r="BM292" i="51"/>
  <c r="Z293" i="51" s="1"/>
  <c r="GZ293" i="51"/>
  <c r="GZ292" i="51" s="1"/>
  <c r="GZ80" i="51"/>
  <c r="GZ79" i="51" s="1"/>
  <c r="GZ173" i="51"/>
  <c r="GZ172" i="51" s="1"/>
  <c r="GZ235" i="51"/>
  <c r="GZ234" i="51" s="1"/>
  <c r="AM11" i="51"/>
  <c r="AM10" i="51" s="1"/>
  <c r="AQ11" i="51"/>
  <c r="AQ10" i="51" s="1"/>
  <c r="BC11" i="51"/>
  <c r="BC10" i="51" s="1"/>
  <c r="BN275" i="51"/>
  <c r="BN258" i="51"/>
  <c r="BN257" i="51" s="1"/>
  <c r="BN178" i="51"/>
  <c r="BB110" i="51"/>
  <c r="BN324" i="51"/>
  <c r="BO308" i="51"/>
  <c r="BO139" i="51"/>
  <c r="BO97" i="51"/>
  <c r="BO374" i="51"/>
  <c r="BP217" i="51"/>
  <c r="BP205" i="51"/>
  <c r="BP201" i="51"/>
  <c r="BP178" i="51"/>
  <c r="BP131" i="51"/>
  <c r="BP111" i="51"/>
  <c r="BP330" i="51"/>
  <c r="BP324" i="51"/>
  <c r="BP410" i="51"/>
  <c r="BP404" i="51"/>
  <c r="GZ25" i="51"/>
  <c r="EW19" i="51"/>
  <c r="GZ21" i="51"/>
  <c r="GZ18" i="51"/>
  <c r="GZ75" i="51"/>
  <c r="GZ71" i="51"/>
  <c r="DE64" i="51"/>
  <c r="BM64" i="51"/>
  <c r="Z67" i="51" s="1"/>
  <c r="GZ63" i="51"/>
  <c r="GZ61" i="51"/>
  <c r="EW58" i="51"/>
  <c r="DE54" i="51"/>
  <c r="EW49" i="51"/>
  <c r="DE49" i="51"/>
  <c r="GZ45" i="51"/>
  <c r="EW42" i="51"/>
  <c r="GZ40" i="51"/>
  <c r="GZ38" i="51"/>
  <c r="BM308" i="51"/>
  <c r="DE295" i="51"/>
  <c r="DE294" i="51" s="1"/>
  <c r="BM282" i="51"/>
  <c r="Z284" i="51" s="1"/>
  <c r="DE275" i="51"/>
  <c r="AG240" i="51"/>
  <c r="DE251" i="51"/>
  <c r="BM229" i="51"/>
  <c r="Z230" i="51" s="1"/>
  <c r="GZ199" i="51"/>
  <c r="BM189" i="51"/>
  <c r="Z190" i="51" s="1"/>
  <c r="BM184" i="51"/>
  <c r="Z187" i="51" s="1"/>
  <c r="BM178" i="51"/>
  <c r="Z183" i="51" s="1"/>
  <c r="BM174" i="51"/>
  <c r="BM171" i="51" s="1"/>
  <c r="DE152" i="51"/>
  <c r="DE131" i="51"/>
  <c r="DE120" i="51"/>
  <c r="GZ355" i="51"/>
  <c r="GZ343" i="51"/>
  <c r="BM340" i="51"/>
  <c r="Z344" i="51" s="1"/>
  <c r="BM335" i="51"/>
  <c r="DE330" i="51"/>
  <c r="GZ326" i="51"/>
  <c r="GZ417" i="51"/>
  <c r="GZ413" i="51"/>
  <c r="GZ408" i="51"/>
  <c r="GZ399" i="51"/>
  <c r="GZ395" i="51"/>
  <c r="GZ391" i="51"/>
  <c r="BM384" i="51"/>
  <c r="Z389" i="51" s="1"/>
  <c r="GZ369" i="51"/>
  <c r="DH410" i="51"/>
  <c r="DH384" i="51"/>
  <c r="DH365" i="51"/>
  <c r="AH11" i="51"/>
  <c r="AH10" i="51" s="1"/>
  <c r="AP11" i="51"/>
  <c r="AP10" i="51" s="1"/>
  <c r="AT11" i="51"/>
  <c r="AT10" i="51" s="1"/>
  <c r="AX11" i="51"/>
  <c r="AX10" i="51" s="1"/>
  <c r="BF11" i="51"/>
  <c r="BF10" i="51" s="1"/>
  <c r="BK11" i="51"/>
  <c r="BK10" i="51" s="1"/>
  <c r="AL281" i="51"/>
  <c r="AM339" i="51"/>
  <c r="GZ387" i="51"/>
  <c r="BI300" i="51"/>
  <c r="AJ339" i="51"/>
  <c r="BJ339" i="51"/>
  <c r="EG138" i="51"/>
  <c r="EY313" i="51"/>
  <c r="EY312" i="51" s="1"/>
  <c r="ET312" i="51"/>
  <c r="ET262" i="51"/>
  <c r="ES262" i="51"/>
  <c r="DH346" i="51"/>
  <c r="DH335" i="51"/>
  <c r="DH330" i="51"/>
  <c r="DH324" i="51"/>
  <c r="DH82" i="51"/>
  <c r="DH69" i="51"/>
  <c r="DH37" i="51"/>
  <c r="DH271" i="51"/>
  <c r="DH247" i="51"/>
  <c r="DH241" i="51"/>
  <c r="DH229" i="51"/>
  <c r="DH205" i="51"/>
  <c r="DH197" i="51"/>
  <c r="DH145" i="51"/>
  <c r="DH139" i="51"/>
  <c r="DH131" i="51"/>
  <c r="DH101" i="51"/>
  <c r="DF308" i="51"/>
  <c r="DF229" i="51"/>
  <c r="DF197" i="51"/>
  <c r="DG308" i="51"/>
  <c r="DG221" i="51"/>
  <c r="DG197" i="51"/>
  <c r="DF354" i="51"/>
  <c r="DF346" i="51"/>
  <c r="DG354" i="51"/>
  <c r="DG346" i="51"/>
  <c r="DG335" i="51"/>
  <c r="DG324" i="51"/>
  <c r="DF374" i="51"/>
  <c r="DF373" i="51" s="1"/>
  <c r="DF365" i="51"/>
  <c r="DF64" i="51"/>
  <c r="DF58" i="51"/>
  <c r="DF42" i="51"/>
  <c r="DG69" i="51"/>
  <c r="DG64" i="51"/>
  <c r="DG54" i="51"/>
  <c r="DF131" i="51"/>
  <c r="DG131" i="51"/>
  <c r="DG145" i="51"/>
  <c r="DG139" i="51"/>
  <c r="GZ299" i="51"/>
  <c r="CX11" i="51"/>
  <c r="CX10" i="51" s="1"/>
  <c r="DR11" i="51"/>
  <c r="DR10" i="51" s="1"/>
  <c r="CI11" i="51"/>
  <c r="CI10" i="51" s="1"/>
  <c r="DK11" i="51"/>
  <c r="DK10" i="51" s="1"/>
  <c r="EA11" i="51"/>
  <c r="EA10" i="51" s="1"/>
  <c r="DP11" i="51"/>
  <c r="DP10" i="51" s="1"/>
  <c r="EF11" i="51"/>
  <c r="EF10" i="51" s="1"/>
  <c r="BT36" i="51"/>
  <c r="CB36" i="51"/>
  <c r="CF36" i="51"/>
  <c r="DD36" i="51"/>
  <c r="DP36" i="51"/>
  <c r="DT36" i="51"/>
  <c r="EJ36" i="51"/>
  <c r="EN36" i="51"/>
  <c r="EV36" i="51"/>
  <c r="ES36" i="51"/>
  <c r="CT73" i="51"/>
  <c r="DJ73" i="51"/>
  <c r="CS81" i="51"/>
  <c r="CE81" i="51"/>
  <c r="EC81" i="51"/>
  <c r="CJ96" i="51"/>
  <c r="DR96" i="51"/>
  <c r="ER96" i="51"/>
  <c r="BT96" i="51"/>
  <c r="DD110" i="51"/>
  <c r="CB151" i="51"/>
  <c r="CF151" i="51"/>
  <c r="CJ151" i="51"/>
  <c r="DI151" i="51"/>
  <c r="DD162" i="51"/>
  <c r="CG162" i="51"/>
  <c r="DI162" i="51"/>
  <c r="BU240" i="51"/>
  <c r="CP262" i="51"/>
  <c r="CJ262" i="51"/>
  <c r="DM268" i="51"/>
  <c r="EC268" i="51"/>
  <c r="EL268" i="51"/>
  <c r="AI36" i="51"/>
  <c r="AE36" i="51"/>
  <c r="BY138" i="51"/>
  <c r="GK364" i="51"/>
  <c r="GP373" i="51"/>
  <c r="GS364" i="51"/>
  <c r="GT373" i="51"/>
  <c r="EW360" i="51"/>
  <c r="EN353" i="51"/>
  <c r="EJ177" i="51"/>
  <c r="Z168" i="51"/>
  <c r="BM306" i="51"/>
  <c r="Z307" i="51" s="1"/>
  <c r="DE346" i="51"/>
  <c r="GZ43" i="51"/>
  <c r="GZ389" i="51"/>
  <c r="GZ278" i="51"/>
  <c r="BM37" i="51"/>
  <c r="Z38" i="51" s="1"/>
  <c r="GZ67" i="51"/>
  <c r="GZ166" i="51"/>
  <c r="GZ331" i="51"/>
  <c r="I25" i="63"/>
  <c r="L25" i="63" s="1"/>
  <c r="L26" i="56"/>
  <c r="BM320" i="51"/>
  <c r="BM319" i="51" s="1"/>
  <c r="DE247" i="51"/>
  <c r="GZ249" i="51"/>
  <c r="BM236" i="51"/>
  <c r="Z237" i="51" s="1"/>
  <c r="GZ237" i="51"/>
  <c r="GZ236" i="51" s="1"/>
  <c r="GZ222" i="51"/>
  <c r="DE221" i="51"/>
  <c r="BE188" i="51"/>
  <c r="BM192" i="51"/>
  <c r="Z196" i="51" s="1"/>
  <c r="BM145" i="51"/>
  <c r="Z150" i="51" s="1"/>
  <c r="GZ334" i="51"/>
  <c r="BM330" i="51"/>
  <c r="Z331" i="51" s="1"/>
  <c r="BM374" i="51"/>
  <c r="GZ376" i="51"/>
  <c r="DH374" i="51"/>
  <c r="DH373" i="51" s="1"/>
  <c r="DF410" i="51"/>
  <c r="DG410" i="51"/>
  <c r="DG384" i="51"/>
  <c r="DG374" i="51"/>
  <c r="DG373" i="51" s="1"/>
  <c r="DF27" i="51"/>
  <c r="DG86" i="51"/>
  <c r="DG101" i="51"/>
  <c r="DF120" i="51"/>
  <c r="DF111" i="51"/>
  <c r="DG120" i="51"/>
  <c r="DF139" i="51"/>
  <c r="DG178" i="51"/>
  <c r="Z109" i="51"/>
  <c r="GZ190" i="51"/>
  <c r="GZ170" i="51"/>
  <c r="GZ169" i="51" s="1"/>
  <c r="GZ133" i="51"/>
  <c r="GZ283" i="51"/>
  <c r="DE354" i="51"/>
  <c r="DE12" i="51"/>
  <c r="BO211" i="51"/>
  <c r="BO360" i="51"/>
  <c r="BP285" i="51"/>
  <c r="BP214" i="51"/>
  <c r="GZ85" i="51"/>
  <c r="GZ57" i="51"/>
  <c r="GZ310" i="51"/>
  <c r="GZ265" i="51"/>
  <c r="GZ183" i="51"/>
  <c r="GZ181" i="51"/>
  <c r="GZ175" i="51"/>
  <c r="GZ348" i="51"/>
  <c r="GZ341" i="51"/>
  <c r="GZ22" i="51"/>
  <c r="FB364" i="51"/>
  <c r="FG177" i="51"/>
  <c r="FG373" i="51"/>
  <c r="FQ373" i="51"/>
  <c r="GA81" i="51"/>
  <c r="GK81" i="51"/>
  <c r="GK353" i="51"/>
  <c r="GK383" i="51"/>
  <c r="GS81" i="51"/>
  <c r="GS353" i="51"/>
  <c r="GS383" i="51"/>
  <c r="BM82" i="51"/>
  <c r="Z85" i="51" s="1"/>
  <c r="DF163" i="51"/>
  <c r="DF162" i="51" s="1"/>
  <c r="DG97" i="51"/>
  <c r="BN49" i="51"/>
  <c r="BN42" i="51"/>
  <c r="BN313" i="51"/>
  <c r="BN271" i="51"/>
  <c r="BN251" i="51"/>
  <c r="BN247" i="51"/>
  <c r="BN229" i="51"/>
  <c r="BN226" i="51"/>
  <c r="BN189" i="51"/>
  <c r="BN184" i="51"/>
  <c r="BN163" i="51"/>
  <c r="BN120" i="51"/>
  <c r="BN354" i="51"/>
  <c r="BN340" i="51"/>
  <c r="BN335" i="51"/>
  <c r="BO19" i="51"/>
  <c r="BO12" i="51"/>
  <c r="BO86" i="51"/>
  <c r="BO82" i="51"/>
  <c r="BO69" i="51"/>
  <c r="BO64" i="51"/>
  <c r="BO54" i="51"/>
  <c r="BO42" i="51"/>
  <c r="GZ256" i="51"/>
  <c r="CW353" i="51"/>
  <c r="BO37" i="51"/>
  <c r="BO285" i="51"/>
  <c r="BO275" i="51"/>
  <c r="BO263" i="51"/>
  <c r="BO258" i="51"/>
  <c r="BO257" i="51" s="1"/>
  <c r="BO229" i="51"/>
  <c r="BO205" i="51"/>
  <c r="BO201" i="51"/>
  <c r="BO163" i="51"/>
  <c r="BO159" i="51"/>
  <c r="BO152" i="51"/>
  <c r="BO145" i="51"/>
  <c r="BO131" i="51"/>
  <c r="BO346" i="51"/>
  <c r="BO370" i="51"/>
  <c r="BO365" i="51"/>
  <c r="BP86" i="51"/>
  <c r="BP69" i="51"/>
  <c r="BP64" i="51"/>
  <c r="BP58" i="51"/>
  <c r="BP54" i="51"/>
  <c r="BP49" i="51"/>
  <c r="BP308" i="51"/>
  <c r="BP258" i="51"/>
  <c r="BP257" i="51" s="1"/>
  <c r="BP229" i="51"/>
  <c r="BP226" i="51"/>
  <c r="BP192" i="51"/>
  <c r="BP145" i="51"/>
  <c r="BP340" i="51"/>
  <c r="BP335" i="51"/>
  <c r="GZ34" i="51"/>
  <c r="GZ16" i="51"/>
  <c r="GZ14" i="51"/>
  <c r="DE58" i="51"/>
  <c r="GZ52" i="51"/>
  <c r="GZ51" i="51"/>
  <c r="GZ44" i="51"/>
  <c r="DE37" i="51"/>
  <c r="GZ253" i="51"/>
  <c r="DE241" i="51"/>
  <c r="DE233" i="51"/>
  <c r="GZ223" i="51"/>
  <c r="DE214" i="51"/>
  <c r="DE205" i="51"/>
  <c r="GZ203" i="51"/>
  <c r="DE189" i="51"/>
  <c r="GZ185" i="51"/>
  <c r="BM159" i="51"/>
  <c r="GZ156" i="51"/>
  <c r="GZ155" i="51" s="1"/>
  <c r="GZ148" i="51"/>
  <c r="GZ146" i="51"/>
  <c r="GZ143" i="51"/>
  <c r="GZ141" i="51"/>
  <c r="GZ132" i="51"/>
  <c r="GZ125" i="51"/>
  <c r="GZ123" i="51"/>
  <c r="GZ118" i="51"/>
  <c r="GZ114" i="51"/>
  <c r="GZ106" i="51"/>
  <c r="GZ104" i="51"/>
  <c r="GZ99" i="51"/>
  <c r="GZ362" i="51"/>
  <c r="GZ332" i="51"/>
  <c r="GZ407" i="51"/>
  <c r="GZ402" i="51"/>
  <c r="GZ398" i="51"/>
  <c r="DH251" i="51"/>
  <c r="DH174" i="51"/>
  <c r="DH171" i="51" s="1"/>
  <c r="DF282" i="51"/>
  <c r="DF214" i="51"/>
  <c r="DG214" i="51"/>
  <c r="DF350" i="51"/>
  <c r="DO138" i="51"/>
  <c r="DT138" i="51"/>
  <c r="DY138" i="51"/>
  <c r="BW339" i="51"/>
  <c r="CA339" i="51"/>
  <c r="AM162" i="51"/>
  <c r="AO300" i="51"/>
  <c r="AS300" i="51"/>
  <c r="AW300" i="51"/>
  <c r="BA300" i="51"/>
  <c r="BE323" i="51"/>
  <c r="GP262" i="51"/>
  <c r="GX301" i="51"/>
  <c r="BM410" i="51"/>
  <c r="Z414" i="51" s="1"/>
  <c r="BN19" i="51"/>
  <c r="BN86" i="51"/>
  <c r="BN145" i="51"/>
  <c r="BO120" i="51"/>
  <c r="BO101" i="51"/>
  <c r="BO404" i="51"/>
  <c r="BP374" i="51"/>
  <c r="BM27" i="51"/>
  <c r="Z33" i="51" s="1"/>
  <c r="EW27" i="51"/>
  <c r="GZ30" i="51"/>
  <c r="GZ28" i="51"/>
  <c r="DE27" i="51"/>
  <c r="BM19" i="51"/>
  <c r="Z26" i="51" s="1"/>
  <c r="DE86" i="51"/>
  <c r="GZ60" i="51"/>
  <c r="BM58" i="51"/>
  <c r="EW54" i="51"/>
  <c r="GZ315" i="51"/>
  <c r="BM313" i="51"/>
  <c r="GZ286" i="51"/>
  <c r="DE285" i="51"/>
  <c r="AK268" i="51"/>
  <c r="DE258" i="51"/>
  <c r="DE257" i="51" s="1"/>
  <c r="BM247" i="51"/>
  <c r="GZ230" i="51"/>
  <c r="DE229" i="51"/>
  <c r="GZ220" i="51"/>
  <c r="BM217" i="51"/>
  <c r="Z218" i="51" s="1"/>
  <c r="GZ212" i="51"/>
  <c r="BM211" i="51"/>
  <c r="GZ198" i="51"/>
  <c r="DE197" i="51"/>
  <c r="DE178" i="51"/>
  <c r="BM152" i="51"/>
  <c r="Z154" i="51" s="1"/>
  <c r="GZ153" i="51"/>
  <c r="GZ356" i="51"/>
  <c r="BM354" i="51"/>
  <c r="Z358" i="51" s="1"/>
  <c r="GZ83" i="51"/>
  <c r="BM360" i="51"/>
  <c r="Z362" i="51" s="1"/>
  <c r="BP313" i="51"/>
  <c r="BP189" i="51"/>
  <c r="BM74" i="51"/>
  <c r="Z75" i="51" s="1"/>
  <c r="GZ70" i="51"/>
  <c r="GZ55" i="51"/>
  <c r="BR171" i="51"/>
  <c r="CS300" i="51"/>
  <c r="DT312" i="51"/>
  <c r="DO339" i="51"/>
  <c r="BT353" i="51"/>
  <c r="BX353" i="51"/>
  <c r="CB353" i="51"/>
  <c r="CF353" i="51"/>
  <c r="CR353" i="51"/>
  <c r="CV353" i="51"/>
  <c r="CZ353" i="51"/>
  <c r="DD353" i="51"/>
  <c r="DL353" i="51"/>
  <c r="DN383" i="51"/>
  <c r="DR383" i="51"/>
  <c r="AW373" i="51"/>
  <c r="EQ138" i="51"/>
  <c r="FQ171" i="51"/>
  <c r="DE139" i="51"/>
  <c r="AI11" i="51"/>
  <c r="AI10" i="51" s="1"/>
  <c r="BL11" i="51"/>
  <c r="BL10" i="51" s="1"/>
  <c r="BW383" i="51"/>
  <c r="DK138" i="51"/>
  <c r="DL262" i="51"/>
  <c r="DL171" i="51"/>
  <c r="DL138" i="51"/>
  <c r="BM324" i="51"/>
  <c r="AN11" i="51"/>
  <c r="AN10" i="51" s="1"/>
  <c r="AV11" i="51"/>
  <c r="AV10" i="51" s="1"/>
  <c r="AZ11" i="51"/>
  <c r="AZ10" i="51" s="1"/>
  <c r="BD11" i="51"/>
  <c r="BD10" i="51" s="1"/>
  <c r="BH11" i="51"/>
  <c r="BH10" i="51" s="1"/>
  <c r="BN74" i="51"/>
  <c r="BN282" i="51"/>
  <c r="BN221" i="51"/>
  <c r="BN205" i="51"/>
  <c r="DE313" i="51"/>
  <c r="DE312" i="51" s="1"/>
  <c r="DE282" i="51"/>
  <c r="DE184" i="51"/>
  <c r="FZ11" i="51"/>
  <c r="FZ10" i="51" s="1"/>
  <c r="GD11" i="51"/>
  <c r="GD10" i="51" s="1"/>
  <c r="GU184" i="51"/>
  <c r="GQ96" i="51"/>
  <c r="BM77" i="51"/>
  <c r="Z78" i="51" s="1"/>
  <c r="GZ78" i="51"/>
  <c r="GZ77" i="51" s="1"/>
  <c r="BP19" i="51"/>
  <c r="H26" i="56"/>
  <c r="K26" i="56"/>
  <c r="G25" i="63"/>
  <c r="K25" i="63" s="1"/>
  <c r="AU11" i="51"/>
  <c r="AU10" i="51" s="1"/>
  <c r="AY11" i="51"/>
  <c r="AY10" i="51" s="1"/>
  <c r="BG11" i="51"/>
  <c r="BG10" i="51" s="1"/>
  <c r="BT151" i="51"/>
  <c r="CB162" i="51"/>
  <c r="CJ162" i="51"/>
  <c r="CK162" i="51"/>
  <c r="CV312" i="51"/>
  <c r="CZ312" i="51"/>
  <c r="DQ312" i="51"/>
  <c r="DV312" i="51"/>
  <c r="EA312" i="51"/>
  <c r="EL312" i="51"/>
  <c r="CD353" i="51"/>
  <c r="CH353" i="51"/>
  <c r="DO353" i="51"/>
  <c r="AM353" i="51"/>
  <c r="AO364" i="51"/>
  <c r="AW364" i="51"/>
  <c r="BA364" i="51"/>
  <c r="AG373" i="51"/>
  <c r="AC373" i="51"/>
  <c r="AO373" i="51"/>
  <c r="AU373" i="51"/>
  <c r="BA373" i="51"/>
  <c r="AN383" i="51"/>
  <c r="BK383" i="51"/>
  <c r="FB233" i="51"/>
  <c r="FB240" i="51"/>
  <c r="GY12" i="51"/>
  <c r="GW285" i="51"/>
  <c r="GQ138" i="51"/>
  <c r="FV171" i="51"/>
  <c r="EX241" i="51"/>
  <c r="EX189" i="51"/>
  <c r="EX163" i="51"/>
  <c r="DF159" i="51"/>
  <c r="AP36" i="51"/>
  <c r="AL36" i="51"/>
  <c r="AH36" i="51"/>
  <c r="AD36" i="51"/>
  <c r="BQ373" i="51"/>
  <c r="BU373" i="51"/>
  <c r="BY373" i="51"/>
  <c r="CG373" i="51"/>
  <c r="CS373" i="51"/>
  <c r="DA373" i="51"/>
  <c r="DW373" i="51"/>
  <c r="CB383" i="51"/>
  <c r="CK383" i="51"/>
  <c r="EA383" i="51"/>
  <c r="EA363" i="51" s="1"/>
  <c r="EQ383" i="51"/>
  <c r="BG73" i="51"/>
  <c r="BK73" i="51"/>
  <c r="AM81" i="51"/>
  <c r="BC81" i="51"/>
  <c r="AJ81" i="51"/>
  <c r="AX81" i="51"/>
  <c r="BA81" i="51"/>
  <c r="BF81" i="51"/>
  <c r="AF96" i="51"/>
  <c r="AC96" i="51"/>
  <c r="AS96" i="51"/>
  <c r="AW96" i="51"/>
  <c r="BA96" i="51"/>
  <c r="AG110" i="51"/>
  <c r="AS110" i="51"/>
  <c r="BC138" i="51"/>
  <c r="AJ151" i="51"/>
  <c r="AX151" i="51"/>
  <c r="AE233" i="51"/>
  <c r="AS240" i="51"/>
  <c r="AW240" i="51"/>
  <c r="AC262" i="51"/>
  <c r="AG262" i="51"/>
  <c r="AK262" i="51"/>
  <c r="AO262" i="51"/>
  <c r="AS262" i="51"/>
  <c r="AW262" i="51"/>
  <c r="BA262" i="51"/>
  <c r="BE262" i="51"/>
  <c r="BI262" i="51"/>
  <c r="GW229" i="51"/>
  <c r="GW152" i="51"/>
  <c r="GW189" i="51"/>
  <c r="GU214" i="51"/>
  <c r="GT162" i="51"/>
  <c r="GT96" i="51"/>
  <c r="GO281" i="51"/>
  <c r="GO268" i="51"/>
  <c r="GG300" i="51"/>
  <c r="GA312" i="51"/>
  <c r="FU177" i="51"/>
  <c r="EY263" i="51"/>
  <c r="EY262" i="51" s="1"/>
  <c r="AD11" i="51"/>
  <c r="AD10" i="51" s="1"/>
  <c r="BQ262" i="51"/>
  <c r="BU262" i="51"/>
  <c r="BY262" i="51"/>
  <c r="CC262" i="51"/>
  <c r="CG262" i="51"/>
  <c r="CK262" i="51"/>
  <c r="CO262" i="51"/>
  <c r="CS262" i="51"/>
  <c r="CW262" i="51"/>
  <c r="DA262" i="51"/>
  <c r="DI262" i="51"/>
  <c r="CE262" i="51"/>
  <c r="BY268" i="51"/>
  <c r="CC268" i="51"/>
  <c r="EG268" i="51"/>
  <c r="CD268" i="51"/>
  <c r="DB268" i="51"/>
  <c r="ED268" i="51"/>
  <c r="EI281" i="51"/>
  <c r="BW281" i="51"/>
  <c r="CA281" i="51"/>
  <c r="CQ281" i="51"/>
  <c r="FB339" i="51"/>
  <c r="FB353" i="51"/>
  <c r="FB373" i="51"/>
  <c r="FD11" i="51"/>
  <c r="FD10" i="51" s="1"/>
  <c r="FS11" i="51"/>
  <c r="FS10" i="51" s="1"/>
  <c r="GN11" i="51"/>
  <c r="GN10" i="51" s="1"/>
  <c r="GQ11" i="51"/>
  <c r="GQ10" i="51" s="1"/>
  <c r="EP229" i="51"/>
  <c r="EP188" i="51" s="1"/>
  <c r="AE353" i="51"/>
  <c r="CB96" i="51"/>
  <c r="GU324" i="51"/>
  <c r="BP275" i="51"/>
  <c r="BP271" i="51"/>
  <c r="BP197" i="51"/>
  <c r="GZ29" i="51"/>
  <c r="GZ23" i="51"/>
  <c r="AK373" i="51"/>
  <c r="CR262" i="51"/>
  <c r="ED138" i="51"/>
  <c r="EL138" i="51"/>
  <c r="EM262" i="51"/>
  <c r="EM171" i="51"/>
  <c r="FO312" i="51"/>
  <c r="FO177" i="51"/>
  <c r="GV301" i="51"/>
  <c r="EY159" i="51"/>
  <c r="EY360" i="51"/>
  <c r="EY282" i="51"/>
  <c r="GZ208" i="51"/>
  <c r="AH383" i="51"/>
  <c r="AO240" i="51"/>
  <c r="DU138" i="51"/>
  <c r="DV262" i="51"/>
  <c r="DV171" i="51"/>
  <c r="EE138" i="51"/>
  <c r="EG262" i="51"/>
  <c r="EG171" i="51"/>
  <c r="EH177" i="51"/>
  <c r="EI138" i="51"/>
  <c r="EO138" i="51"/>
  <c r="ER177" i="51"/>
  <c r="FA177" i="51"/>
  <c r="GD177" i="51"/>
  <c r="GB96" i="51"/>
  <c r="FT312" i="51"/>
  <c r="FT262" i="51"/>
  <c r="GV263" i="51"/>
  <c r="GV262" i="51" s="1"/>
  <c r="E20" i="56" s="1"/>
  <c r="E19" i="63" s="1"/>
  <c r="GX282" i="51"/>
  <c r="GY201" i="51"/>
  <c r="EY82" i="51"/>
  <c r="EZ263" i="51"/>
  <c r="EZ262" i="51" s="1"/>
  <c r="EW226" i="51"/>
  <c r="EU138" i="51"/>
  <c r="EJ96" i="51"/>
  <c r="EF312" i="51"/>
  <c r="DF233" i="51"/>
  <c r="BZ110" i="51"/>
  <c r="BV383" i="51"/>
  <c r="CZ81" i="51"/>
  <c r="BV138" i="51"/>
  <c r="BZ138" i="51"/>
  <c r="BX138" i="51"/>
  <c r="DQ138" i="51"/>
  <c r="DR262" i="51"/>
  <c r="DR171" i="51"/>
  <c r="DV138" i="51"/>
  <c r="EA138" i="51"/>
  <c r="EC262" i="51"/>
  <c r="EC171" i="51"/>
  <c r="EP138" i="51"/>
  <c r="EQ262" i="51"/>
  <c r="EQ171" i="51"/>
  <c r="DO233" i="51"/>
  <c r="GW313" i="51"/>
  <c r="GW312" i="51" s="1"/>
  <c r="G25" i="56" s="1"/>
  <c r="G24" i="63" s="1"/>
  <c r="GW184" i="51"/>
  <c r="GU211" i="51"/>
  <c r="GG262" i="51"/>
  <c r="GE177" i="51"/>
  <c r="FY312" i="51"/>
  <c r="EW374" i="51"/>
  <c r="EW373" i="51" s="1"/>
  <c r="EV177" i="51"/>
  <c r="DI188" i="51"/>
  <c r="BU138" i="51"/>
  <c r="BW262" i="51"/>
  <c r="CM262" i="51"/>
  <c r="BU353" i="51"/>
  <c r="BY353" i="51"/>
  <c r="CC353" i="51"/>
  <c r="CG353" i="51"/>
  <c r="CK353" i="51"/>
  <c r="CO353" i="51"/>
  <c r="CS353" i="51"/>
  <c r="AW339" i="51"/>
  <c r="DT162" i="51"/>
  <c r="GN188" i="51"/>
  <c r="EY226" i="51"/>
  <c r="EW211" i="51"/>
  <c r="EW159" i="51"/>
  <c r="EW152" i="51"/>
  <c r="EW131" i="51"/>
  <c r="EU300" i="51"/>
  <c r="ES353" i="51"/>
  <c r="DX177" i="51"/>
  <c r="DA353" i="51"/>
  <c r="DI353" i="51"/>
  <c r="DM353" i="51"/>
  <c r="DR353" i="51"/>
  <c r="DW353" i="51"/>
  <c r="EH353" i="51"/>
  <c r="EM353" i="51"/>
  <c r="EL177" i="51"/>
  <c r="DO188" i="51"/>
  <c r="ER233" i="51"/>
  <c r="FF240" i="51"/>
  <c r="FH268" i="51"/>
  <c r="FH233" i="51"/>
  <c r="FH177" i="51"/>
  <c r="FH138" i="51"/>
  <c r="GQ177" i="51"/>
  <c r="GO171" i="51"/>
  <c r="GN312" i="51"/>
  <c r="GN233" i="51"/>
  <c r="GH262" i="51"/>
  <c r="GH171" i="51"/>
  <c r="GG138" i="51"/>
  <c r="GE262" i="51"/>
  <c r="GA177" i="51"/>
  <c r="GA162" i="51"/>
  <c r="FZ177" i="51"/>
  <c r="FW138" i="51"/>
  <c r="FR312" i="51"/>
  <c r="GV308" i="51"/>
  <c r="EX229" i="51"/>
  <c r="EX82" i="51"/>
  <c r="EY64" i="51"/>
  <c r="EW370" i="51"/>
  <c r="EU383" i="51"/>
  <c r="ES383" i="51"/>
  <c r="EJ383" i="51"/>
  <c r="EB383" i="51"/>
  <c r="DS383" i="51"/>
  <c r="EW335" i="51"/>
  <c r="EW201" i="51"/>
  <c r="EV138" i="51"/>
  <c r="BO74" i="51"/>
  <c r="BO49" i="51"/>
  <c r="FV268" i="51"/>
  <c r="FJ281" i="51"/>
  <c r="EY254" i="51"/>
  <c r="EY247" i="51"/>
  <c r="EY217" i="51"/>
  <c r="EY69" i="51"/>
  <c r="EW247" i="51"/>
  <c r="ET177" i="51"/>
  <c r="EN138" i="51"/>
  <c r="EJ323" i="51"/>
  <c r="DX138" i="51"/>
  <c r="DS262" i="51"/>
  <c r="DS138" i="51"/>
  <c r="DN262" i="51"/>
  <c r="BN69" i="51"/>
  <c r="BN64" i="51"/>
  <c r="BN58" i="51"/>
  <c r="BN54" i="51"/>
  <c r="BN37" i="51"/>
  <c r="BN217" i="51"/>
  <c r="BN214" i="51"/>
  <c r="BN197" i="51"/>
  <c r="BN192" i="51"/>
  <c r="BR81" i="51"/>
  <c r="BZ81" i="51"/>
  <c r="BT138" i="51"/>
  <c r="EA177" i="51"/>
  <c r="FC171" i="51"/>
  <c r="GU217" i="51"/>
  <c r="GQ300" i="51"/>
  <c r="GN177" i="51"/>
  <c r="GL262" i="51"/>
  <c r="GL138" i="51"/>
  <c r="GL96" i="51"/>
  <c r="GK268" i="51"/>
  <c r="GK233" i="51"/>
  <c r="GI177" i="51"/>
  <c r="GG312" i="51"/>
  <c r="GF138" i="51"/>
  <c r="GA268" i="51"/>
  <c r="GA138" i="51"/>
  <c r="FY233" i="51"/>
  <c r="FW312" i="51"/>
  <c r="FW300" i="51"/>
  <c r="FR138" i="51"/>
  <c r="FK262" i="51"/>
  <c r="FK171" i="51"/>
  <c r="CP11" i="51"/>
  <c r="CP10" i="51" s="1"/>
  <c r="DJ11" i="51"/>
  <c r="DJ10" i="51" s="1"/>
  <c r="DA81" i="51"/>
  <c r="BO197" i="51"/>
  <c r="GZ109" i="51"/>
  <c r="GZ108" i="51" s="1"/>
  <c r="BN27" i="51"/>
  <c r="BO313" i="51"/>
  <c r="BO271" i="51"/>
  <c r="DI240" i="51"/>
  <c r="BU312" i="51"/>
  <c r="BY312" i="51"/>
  <c r="CC312" i="51"/>
  <c r="CG312" i="51"/>
  <c r="CO312" i="51"/>
  <c r="CS312" i="51"/>
  <c r="CW312" i="51"/>
  <c r="EH312" i="51"/>
  <c r="GZ232" i="51"/>
  <c r="DE226" i="51"/>
  <c r="GZ209" i="51"/>
  <c r="DX11" i="51"/>
  <c r="DX10" i="51" s="1"/>
  <c r="EQ353" i="51"/>
  <c r="BS353" i="51"/>
  <c r="CY353" i="51"/>
  <c r="DC353" i="51"/>
  <c r="EE353" i="51"/>
  <c r="EK353" i="51"/>
  <c r="AQ353" i="51"/>
  <c r="AU353" i="51"/>
  <c r="AY353" i="51"/>
  <c r="AM373" i="51"/>
  <c r="DK262" i="51"/>
  <c r="DK171" i="51"/>
  <c r="DL162" i="51"/>
  <c r="DM138" i="51"/>
  <c r="DO262" i="51"/>
  <c r="DO171" i="51"/>
  <c r="DU262" i="51"/>
  <c r="DU171" i="51"/>
  <c r="DV162" i="51"/>
  <c r="DW138" i="51"/>
  <c r="DY262" i="51"/>
  <c r="DY171" i="51"/>
  <c r="ED177" i="51"/>
  <c r="EE262" i="51"/>
  <c r="EE171" i="51"/>
  <c r="EH138" i="51"/>
  <c r="EI262" i="51"/>
  <c r="EI171" i="51"/>
  <c r="EK177" i="51"/>
  <c r="EO177" i="51"/>
  <c r="EP262" i="51"/>
  <c r="EP171" i="51"/>
  <c r="ER138" i="51"/>
  <c r="EH233" i="51"/>
  <c r="EI233" i="51"/>
  <c r="GW192" i="51"/>
  <c r="FR300" i="51"/>
  <c r="FJ110" i="51"/>
  <c r="FJ96" i="51"/>
  <c r="GX346" i="51"/>
  <c r="EX217" i="51"/>
  <c r="FO188" i="51"/>
  <c r="EZ384" i="51"/>
  <c r="CB262" i="51"/>
  <c r="DP262" i="51"/>
  <c r="DP171" i="51"/>
  <c r="DR138" i="51"/>
  <c r="DT262" i="51"/>
  <c r="DT171" i="51"/>
  <c r="DZ262" i="51"/>
  <c r="DZ171" i="51"/>
  <c r="EC138" i="51"/>
  <c r="ED262" i="51"/>
  <c r="ED171" i="51"/>
  <c r="EE177" i="51"/>
  <c r="EI177" i="51"/>
  <c r="EK262" i="51"/>
  <c r="EK171" i="51"/>
  <c r="EM138" i="51"/>
  <c r="EO262" i="51"/>
  <c r="EO171" i="51"/>
  <c r="EP177" i="51"/>
  <c r="FE262" i="51"/>
  <c r="FE171" i="51"/>
  <c r="DO240" i="51"/>
  <c r="DQ233" i="51"/>
  <c r="DT233" i="51"/>
  <c r="FT188" i="51"/>
  <c r="EZ120" i="51"/>
  <c r="EW205" i="51"/>
  <c r="CV262" i="51"/>
  <c r="DD262" i="51"/>
  <c r="EA353" i="51"/>
  <c r="EL353" i="51"/>
  <c r="BV353" i="51"/>
  <c r="CG383" i="51"/>
  <c r="DQ383" i="51"/>
  <c r="AL353" i="51"/>
  <c r="AX353" i="51"/>
  <c r="AZ353" i="51"/>
  <c r="DM262" i="51"/>
  <c r="DM171" i="51"/>
  <c r="DO162" i="51"/>
  <c r="DP138" i="51"/>
  <c r="DQ262" i="51"/>
  <c r="DQ171" i="51"/>
  <c r="DW262" i="51"/>
  <c r="DW171" i="51"/>
  <c r="DY162" i="51"/>
  <c r="DZ138" i="51"/>
  <c r="EA262" i="51"/>
  <c r="EA171" i="51"/>
  <c r="EC177" i="51"/>
  <c r="EG177" i="51"/>
  <c r="EH262" i="51"/>
  <c r="EH171" i="51"/>
  <c r="EK138" i="51"/>
  <c r="EL262" i="51"/>
  <c r="EL171" i="51"/>
  <c r="EM177" i="51"/>
  <c r="EQ177" i="51"/>
  <c r="ER262" i="51"/>
  <c r="ER171" i="51"/>
  <c r="FA262" i="51"/>
  <c r="FC151" i="51"/>
  <c r="FE138" i="51"/>
  <c r="FF171" i="51"/>
  <c r="FF110" i="51"/>
  <c r="DL233" i="51"/>
  <c r="DW233" i="51"/>
  <c r="DY233" i="51"/>
  <c r="GU313" i="51"/>
  <c r="GU312" i="51" s="1"/>
  <c r="GU201" i="51"/>
  <c r="GN240" i="51"/>
  <c r="GM268" i="51"/>
  <c r="GH110" i="51"/>
  <c r="GF110" i="51"/>
  <c r="GE233" i="51"/>
  <c r="GA281" i="51"/>
  <c r="FQ268" i="51"/>
  <c r="FL162" i="51"/>
  <c r="EZ145" i="51"/>
  <c r="EY197" i="51"/>
  <c r="EY54" i="51"/>
  <c r="EU171" i="51"/>
  <c r="ET233" i="51"/>
  <c r="EJ353" i="51"/>
  <c r="DX162" i="51"/>
  <c r="DS300" i="51"/>
  <c r="DN300" i="51"/>
  <c r="DR233" i="51"/>
  <c r="EM233" i="51"/>
  <c r="FC240" i="51"/>
  <c r="FE240" i="51"/>
  <c r="FH96" i="51"/>
  <c r="GW282" i="51"/>
  <c r="GW254" i="51"/>
  <c r="GW226" i="51"/>
  <c r="GW217" i="51"/>
  <c r="GM262" i="51"/>
  <c r="GM171" i="51"/>
  <c r="GL300" i="51"/>
  <c r="GL177" i="51"/>
  <c r="GI233" i="51"/>
  <c r="GG177" i="51"/>
  <c r="GB138" i="51"/>
  <c r="GA171" i="51"/>
  <c r="FY177" i="51"/>
  <c r="FX312" i="51"/>
  <c r="FW96" i="51"/>
  <c r="FV312" i="51"/>
  <c r="FV281" i="51"/>
  <c r="FV177" i="51"/>
  <c r="FV162" i="51"/>
  <c r="FT177" i="51"/>
  <c r="FS312" i="51"/>
  <c r="FR96" i="51"/>
  <c r="FQ312" i="51"/>
  <c r="FQ281" i="51"/>
  <c r="FQ177" i="51"/>
  <c r="FQ162" i="51"/>
  <c r="FP177" i="51"/>
  <c r="FO233" i="51"/>
  <c r="FM262" i="51"/>
  <c r="FM233" i="51"/>
  <c r="FL151" i="51"/>
  <c r="FK177" i="51"/>
  <c r="FI233" i="51"/>
  <c r="GV189" i="51"/>
  <c r="GV184" i="51"/>
  <c r="GX217" i="51"/>
  <c r="GX189" i="51"/>
  <c r="GX184" i="51"/>
  <c r="GX159" i="51"/>
  <c r="GX152" i="51"/>
  <c r="GY271" i="51"/>
  <c r="GY251" i="51"/>
  <c r="GY241" i="51"/>
  <c r="GY226" i="51"/>
  <c r="GY97" i="51"/>
  <c r="GY74" i="51"/>
  <c r="GY73" i="51" s="1"/>
  <c r="GY370" i="51"/>
  <c r="EZ229" i="51"/>
  <c r="EZ214" i="51"/>
  <c r="EZ152" i="51"/>
  <c r="EW271" i="51"/>
  <c r="EV110" i="51"/>
  <c r="ET268" i="51"/>
  <c r="EJ171" i="51"/>
  <c r="EB262" i="51"/>
  <c r="EC233" i="51"/>
  <c r="ED233" i="51"/>
  <c r="GU282" i="51"/>
  <c r="GU254" i="51"/>
  <c r="GU152" i="51"/>
  <c r="GS171" i="51"/>
  <c r="GR262" i="51"/>
  <c r="GR171" i="51"/>
  <c r="GR110" i="51"/>
  <c r="GQ262" i="51"/>
  <c r="GQ171" i="51"/>
  <c r="GO138" i="51"/>
  <c r="GL312" i="51"/>
  <c r="GJ138" i="51"/>
  <c r="GD233" i="51"/>
  <c r="GB312" i="51"/>
  <c r="GB300" i="51"/>
  <c r="FY188" i="51"/>
  <c r="FV138" i="51"/>
  <c r="FT233" i="51"/>
  <c r="FQ138" i="51"/>
  <c r="FM177" i="51"/>
  <c r="FL240" i="51"/>
  <c r="GV285" i="51"/>
  <c r="GV251" i="51"/>
  <c r="GV174" i="51"/>
  <c r="GV171" i="51" s="1"/>
  <c r="E14" i="56" s="1"/>
  <c r="E13" i="63" s="1"/>
  <c r="GX214" i="51"/>
  <c r="GX97" i="51"/>
  <c r="GY350" i="51"/>
  <c r="GY301" i="51"/>
  <c r="GY285" i="51"/>
  <c r="GY217" i="51"/>
  <c r="GY174" i="51"/>
  <c r="GY171" i="51" s="1"/>
  <c r="GY152" i="51"/>
  <c r="GY69" i="51"/>
  <c r="EX254" i="51"/>
  <c r="EZ254" i="51"/>
  <c r="EZ241" i="51"/>
  <c r="EZ221" i="51"/>
  <c r="EZ163" i="51"/>
  <c r="EZ162" i="51" s="1"/>
  <c r="EY201" i="51"/>
  <c r="EY189" i="51"/>
  <c r="EW251" i="51"/>
  <c r="EW217" i="51"/>
  <c r="EV312" i="51"/>
  <c r="EV281" i="51"/>
  <c r="EV171" i="51"/>
  <c r="EU312" i="51"/>
  <c r="EF268" i="51"/>
  <c r="EB138" i="51"/>
  <c r="BN12" i="51"/>
  <c r="BO58" i="51"/>
  <c r="BN201" i="51"/>
  <c r="BN308" i="51"/>
  <c r="BO221" i="51"/>
  <c r="BO217" i="51"/>
  <c r="BO192" i="51"/>
  <c r="BO184" i="51"/>
  <c r="BO178" i="51"/>
  <c r="BY162" i="51"/>
  <c r="BT171" i="51"/>
  <c r="BX171" i="51"/>
  <c r="CQ262" i="51"/>
  <c r="DB312" i="51"/>
  <c r="DJ312" i="51"/>
  <c r="EO312" i="51"/>
  <c r="CJ383" i="51"/>
  <c r="DD383" i="51"/>
  <c r="DL383" i="51"/>
  <c r="AJ177" i="51"/>
  <c r="DK188" i="51"/>
  <c r="DT188" i="51"/>
  <c r="DV188" i="51"/>
  <c r="GI188" i="51"/>
  <c r="BP74" i="51"/>
  <c r="BP42" i="51"/>
  <c r="BP37" i="51"/>
  <c r="BP139" i="51"/>
  <c r="BP97" i="51"/>
  <c r="BM86" i="51"/>
  <c r="BW138" i="51"/>
  <c r="CY262" i="51"/>
  <c r="AN353" i="51"/>
  <c r="DK162" i="51"/>
  <c r="DL177" i="51"/>
  <c r="DM162" i="51"/>
  <c r="DO177" i="51"/>
  <c r="DP162" i="51"/>
  <c r="DQ177" i="51"/>
  <c r="DR162" i="51"/>
  <c r="DT177" i="51"/>
  <c r="DU162" i="51"/>
  <c r="DV177" i="51"/>
  <c r="DW162" i="51"/>
  <c r="DY177" i="51"/>
  <c r="DM233" i="51"/>
  <c r="EO233" i="51"/>
  <c r="GW214" i="51"/>
  <c r="GW197" i="51"/>
  <c r="GS300" i="51"/>
  <c r="GS151" i="51"/>
  <c r="GP188" i="51"/>
  <c r="GO110" i="51"/>
  <c r="GG96" i="51"/>
  <c r="GF268" i="51"/>
  <c r="BN241" i="51"/>
  <c r="BN346" i="51"/>
  <c r="BN330" i="51"/>
  <c r="BN410" i="51"/>
  <c r="BN384" i="51"/>
  <c r="BN374" i="51"/>
  <c r="BN365" i="51"/>
  <c r="BO27" i="51"/>
  <c r="BO354" i="51"/>
  <c r="BO340" i="51"/>
  <c r="BO335" i="51"/>
  <c r="BO324" i="51"/>
  <c r="BO410" i="51"/>
  <c r="BO384" i="51"/>
  <c r="BP27" i="51"/>
  <c r="BP12" i="51"/>
  <c r="BP295" i="51"/>
  <c r="BP294" i="51" s="1"/>
  <c r="DE263" i="51"/>
  <c r="DE262" i="51" s="1"/>
  <c r="GZ250" i="51"/>
  <c r="DC262" i="51"/>
  <c r="CT312" i="51"/>
  <c r="DY312" i="51"/>
  <c r="ED312" i="51"/>
  <c r="DC312" i="51"/>
  <c r="DK312" i="51"/>
  <c r="DU312" i="51"/>
  <c r="BR353" i="51"/>
  <c r="CE353" i="51"/>
  <c r="CQ353" i="51"/>
  <c r="DU353" i="51"/>
  <c r="EP353" i="51"/>
  <c r="AR312" i="51"/>
  <c r="AO353" i="51"/>
  <c r="BA353" i="51"/>
  <c r="FC177" i="51"/>
  <c r="DQ188" i="51"/>
  <c r="DT240" i="51"/>
  <c r="ED188" i="51"/>
  <c r="EG188" i="51"/>
  <c r="GW275" i="51"/>
  <c r="GP268" i="51"/>
  <c r="GD188" i="51"/>
  <c r="BN301" i="51"/>
  <c r="BN295" i="51"/>
  <c r="BN294" i="51" s="1"/>
  <c r="BN152" i="51"/>
  <c r="BN139" i="51"/>
  <c r="BN111" i="51"/>
  <c r="BN101" i="51"/>
  <c r="BN97" i="51"/>
  <c r="BN360" i="51"/>
  <c r="BO295" i="51"/>
  <c r="BO294" i="51" s="1"/>
  <c r="BP251" i="51"/>
  <c r="EW69" i="51"/>
  <c r="GZ66" i="51"/>
  <c r="DE42" i="51"/>
  <c r="DI110" i="51"/>
  <c r="BS81" i="51"/>
  <c r="BQ312" i="51"/>
  <c r="CX312" i="51"/>
  <c r="DI312" i="51"/>
  <c r="DM312" i="51"/>
  <c r="EM312" i="51"/>
  <c r="ER312" i="51"/>
  <c r="BZ353" i="51"/>
  <c r="CX353" i="51"/>
  <c r="DB353" i="51"/>
  <c r="ED353" i="51"/>
  <c r="EI353" i="51"/>
  <c r="CI383" i="51"/>
  <c r="DK177" i="51"/>
  <c r="DM177" i="51"/>
  <c r="DP177" i="51"/>
  <c r="DQ162" i="51"/>
  <c r="DR177" i="51"/>
  <c r="DU177" i="51"/>
  <c r="DW177" i="51"/>
  <c r="DZ177" i="51"/>
  <c r="FF262" i="51"/>
  <c r="DL188" i="51"/>
  <c r="DP188" i="51"/>
  <c r="EI188" i="51"/>
  <c r="EL188" i="51"/>
  <c r="GW301" i="51"/>
  <c r="GW139" i="51"/>
  <c r="GU174" i="51"/>
  <c r="GU171" i="51" s="1"/>
  <c r="GM110" i="51"/>
  <c r="GI312" i="51"/>
  <c r="EX192" i="51"/>
  <c r="EX54" i="51"/>
  <c r="EY192" i="51"/>
  <c r="EY145" i="51"/>
  <c r="EB339" i="51"/>
  <c r="DX240" i="51"/>
  <c r="GI240" i="51"/>
  <c r="GI96" i="51"/>
  <c r="GF233" i="51"/>
  <c r="FZ281" i="51"/>
  <c r="FZ268" i="51"/>
  <c r="FZ162" i="51"/>
  <c r="FW162" i="51"/>
  <c r="FU281" i="51"/>
  <c r="FU268" i="51"/>
  <c r="FU162" i="51"/>
  <c r="FP281" i="51"/>
  <c r="FP268" i="51"/>
  <c r="FP162" i="51"/>
  <c r="FN110" i="51"/>
  <c r="FN96" i="51"/>
  <c r="FM268" i="51"/>
  <c r="FL281" i="51"/>
  <c r="FK312" i="51"/>
  <c r="FJ300" i="51"/>
  <c r="DU188" i="51"/>
  <c r="DV233" i="51"/>
  <c r="DY240" i="51"/>
  <c r="EA233" i="51"/>
  <c r="ED240" i="51"/>
  <c r="EE188" i="51"/>
  <c r="EG233" i="51"/>
  <c r="EI240" i="51"/>
  <c r="EK188" i="51"/>
  <c r="EL233" i="51"/>
  <c r="EO240" i="51"/>
  <c r="EQ233" i="51"/>
  <c r="FH300" i="51"/>
  <c r="GW241" i="51"/>
  <c r="GW201" i="51"/>
  <c r="GU271" i="51"/>
  <c r="GU247" i="51"/>
  <c r="GU229" i="51"/>
  <c r="GS96" i="51"/>
  <c r="GK312" i="51"/>
  <c r="GK281" i="51"/>
  <c r="GK177" i="51"/>
  <c r="GK162" i="51"/>
  <c r="GJ177" i="51"/>
  <c r="GJ151" i="51"/>
  <c r="GF312" i="51"/>
  <c r="GF281" i="51"/>
  <c r="GF177" i="51"/>
  <c r="GF162" i="51"/>
  <c r="GC262" i="51"/>
  <c r="GC171" i="51"/>
  <c r="GC110" i="51"/>
  <c r="GB262" i="51"/>
  <c r="FX262" i="51"/>
  <c r="FX171" i="51"/>
  <c r="FX110" i="51"/>
  <c r="FW262" i="51"/>
  <c r="FS262" i="51"/>
  <c r="FS171" i="51"/>
  <c r="FS110" i="51"/>
  <c r="FR262" i="51"/>
  <c r="FN151" i="51"/>
  <c r="FN138" i="51"/>
  <c r="FM151" i="51"/>
  <c r="FM138" i="51"/>
  <c r="FL110" i="51"/>
  <c r="FK268" i="51"/>
  <c r="FK110" i="51"/>
  <c r="FJ240" i="51"/>
  <c r="FJ177" i="51"/>
  <c r="FJ162" i="51"/>
  <c r="FJ151" i="51"/>
  <c r="FI268" i="51"/>
  <c r="GV295" i="51"/>
  <c r="GV294" i="51" s="1"/>
  <c r="E23" i="56" s="1"/>
  <c r="E22" i="63" s="1"/>
  <c r="GV131" i="51"/>
  <c r="GX313" i="51"/>
  <c r="GX312" i="51" s="1"/>
  <c r="I25" i="56" s="1"/>
  <c r="GX271" i="51"/>
  <c r="GY192" i="51"/>
  <c r="GX86" i="51"/>
  <c r="EX354" i="51"/>
  <c r="EZ360" i="51"/>
  <c r="FA138" i="51"/>
  <c r="FC262" i="51"/>
  <c r="FF177" i="51"/>
  <c r="DK233" i="51"/>
  <c r="DM188" i="51"/>
  <c r="DP233" i="51"/>
  <c r="DR188" i="51"/>
  <c r="DU233" i="51"/>
  <c r="DW188" i="51"/>
  <c r="DZ233" i="51"/>
  <c r="EC188" i="51"/>
  <c r="EE233" i="51"/>
  <c r="EH188" i="51"/>
  <c r="EK233" i="51"/>
  <c r="EM188" i="51"/>
  <c r="EP233" i="51"/>
  <c r="ER188" i="51"/>
  <c r="FH171" i="51"/>
  <c r="GW174" i="51"/>
  <c r="GW171" i="51" s="1"/>
  <c r="G14" i="56" s="1"/>
  <c r="GW97" i="51"/>
  <c r="GU241" i="51"/>
  <c r="GU233" i="51"/>
  <c r="GU226" i="51"/>
  <c r="GU192" i="51"/>
  <c r="GS138" i="51"/>
  <c r="GQ312" i="51"/>
  <c r="GP312" i="51"/>
  <c r="GP281" i="51"/>
  <c r="GP177" i="51"/>
  <c r="GP162" i="51"/>
  <c r="GO177" i="51"/>
  <c r="GL162" i="51"/>
  <c r="GK262" i="51"/>
  <c r="GJ281" i="51"/>
  <c r="GJ268" i="51"/>
  <c r="GJ171" i="51"/>
  <c r="GF262" i="51"/>
  <c r="GF171" i="51"/>
  <c r="GD281" i="51"/>
  <c r="GD268" i="51"/>
  <c r="GD262" i="51"/>
  <c r="GD240" i="51"/>
  <c r="GD138" i="51"/>
  <c r="GD96" i="51"/>
  <c r="FY262" i="51"/>
  <c r="FY240" i="51"/>
  <c r="FY138" i="51"/>
  <c r="FX268" i="51"/>
  <c r="FX177" i="51"/>
  <c r="FT240" i="51"/>
  <c r="FT138" i="51"/>
  <c r="FT96" i="51"/>
  <c r="FO240" i="51"/>
  <c r="FN312" i="51"/>
  <c r="FN262" i="51"/>
  <c r="FN177" i="51"/>
  <c r="FN162" i="51"/>
  <c r="FM312" i="51"/>
  <c r="FL171" i="51"/>
  <c r="FL138" i="51"/>
  <c r="FK233" i="51"/>
  <c r="FJ171" i="51"/>
  <c r="FI312" i="51"/>
  <c r="FI177" i="51"/>
  <c r="FI151" i="51"/>
  <c r="GY197" i="51"/>
  <c r="EZ258" i="51"/>
  <c r="EZ257" i="51" s="1"/>
  <c r="EZ69" i="51"/>
  <c r="EY229" i="51"/>
  <c r="EZ340" i="51"/>
  <c r="EY340" i="51"/>
  <c r="EB323" i="51"/>
  <c r="GV313" i="51"/>
  <c r="GV312" i="51" s="1"/>
  <c r="E25" i="56" s="1"/>
  <c r="GV271" i="51"/>
  <c r="GX285" i="51"/>
  <c r="GX254" i="51"/>
  <c r="GX241" i="51"/>
  <c r="GX174" i="51"/>
  <c r="GX171" i="51" s="1"/>
  <c r="I14" i="56" s="1"/>
  <c r="GX139" i="51"/>
  <c r="GY365" i="51"/>
  <c r="GY360" i="51"/>
  <c r="GY254" i="51"/>
  <c r="GY221" i="51"/>
  <c r="GY189" i="51"/>
  <c r="EX365" i="51"/>
  <c r="EX251" i="51"/>
  <c r="EX226" i="51"/>
  <c r="EX214" i="51"/>
  <c r="EZ365" i="51"/>
  <c r="EZ247" i="51"/>
  <c r="EZ205" i="51"/>
  <c r="EZ189" i="51"/>
  <c r="EZ82" i="51"/>
  <c r="EY214" i="51"/>
  <c r="EY205" i="51"/>
  <c r="EY74" i="51"/>
  <c r="EY73" i="51" s="1"/>
  <c r="EY42" i="51"/>
  <c r="EX360" i="51"/>
  <c r="EX313" i="51"/>
  <c r="EX312" i="51" s="1"/>
  <c r="EX301" i="51"/>
  <c r="EY354" i="51"/>
  <c r="EW282" i="51"/>
  <c r="EV353" i="51"/>
  <c r="EV151" i="51"/>
  <c r="EU233" i="51"/>
  <c r="EU177" i="51"/>
  <c r="ES233" i="51"/>
  <c r="ES162" i="51"/>
  <c r="ES96" i="51"/>
  <c r="EN281" i="51"/>
  <c r="EN177" i="51"/>
  <c r="EN151" i="51"/>
  <c r="EJ268" i="51"/>
  <c r="EJ233" i="51"/>
  <c r="EJ138" i="51"/>
  <c r="EF353" i="51"/>
  <c r="EF281" i="51"/>
  <c r="EF177" i="51"/>
  <c r="EF162" i="51"/>
  <c r="EB353" i="51"/>
  <c r="DX300" i="51"/>
  <c r="DX171" i="51"/>
  <c r="DX110" i="51"/>
  <c r="DS312" i="51"/>
  <c r="DS171" i="51"/>
  <c r="DS96" i="51"/>
  <c r="DN312" i="51"/>
  <c r="DN171" i="51"/>
  <c r="EY404" i="51"/>
  <c r="EX404" i="51"/>
  <c r="EV240" i="51"/>
  <c r="EV162" i="51"/>
  <c r="ET323" i="51"/>
  <c r="ES323" i="51"/>
  <c r="ES281" i="51"/>
  <c r="EN162" i="51"/>
  <c r="FI96" i="51"/>
  <c r="GV350" i="51"/>
  <c r="GV335" i="51"/>
  <c r="GV258" i="51"/>
  <c r="GV257" i="51" s="1"/>
  <c r="E19" i="56" s="1"/>
  <c r="E18" i="63" s="1"/>
  <c r="GV211" i="51"/>
  <c r="GV159" i="51"/>
  <c r="GV152" i="51"/>
  <c r="GV111" i="51"/>
  <c r="GX275" i="51"/>
  <c r="GX226" i="51"/>
  <c r="GY282" i="51"/>
  <c r="GY258" i="51"/>
  <c r="GY257" i="51" s="1"/>
  <c r="GY214" i="51"/>
  <c r="GY205" i="51"/>
  <c r="GY159" i="51"/>
  <c r="GY139" i="51"/>
  <c r="EX247" i="51"/>
  <c r="EX131" i="51"/>
  <c r="EZ201" i="51"/>
  <c r="EZ174" i="51"/>
  <c r="EZ171" i="51" s="1"/>
  <c r="EZ64" i="51"/>
  <c r="EY365" i="51"/>
  <c r="EY241" i="51"/>
  <c r="EY211" i="51"/>
  <c r="EZ295" i="51"/>
  <c r="EZ294" i="51" s="1"/>
  <c r="EY301" i="51"/>
  <c r="EY275" i="51"/>
  <c r="EX370" i="51"/>
  <c r="EY370" i="51"/>
  <c r="EU373" i="51"/>
  <c r="ES373" i="51"/>
  <c r="EJ373" i="51"/>
  <c r="EB373" i="51"/>
  <c r="DS373" i="51"/>
  <c r="EW285" i="51"/>
  <c r="EW263" i="51"/>
  <c r="EW262" i="51" s="1"/>
  <c r="EW174" i="51"/>
  <c r="EW171" i="51" s="1"/>
  <c r="EU323" i="51"/>
  <c r="EU96" i="51"/>
  <c r="ET339" i="51"/>
  <c r="ES339" i="51"/>
  <c r="ES138" i="51"/>
  <c r="EN268" i="51"/>
  <c r="EN233" i="51"/>
  <c r="EJ110" i="51"/>
  <c r="EF323" i="51"/>
  <c r="EF233" i="51"/>
  <c r="EF171" i="51"/>
  <c r="EF138" i="51"/>
  <c r="EB300" i="51"/>
  <c r="DX353" i="51"/>
  <c r="DX151" i="51"/>
  <c r="DS339" i="51"/>
  <c r="DN339" i="51"/>
  <c r="DN138" i="51"/>
  <c r="BP250" i="51"/>
  <c r="AN247" i="51"/>
  <c r="AN240" i="51" s="1"/>
  <c r="Z270" i="51"/>
  <c r="Z267" i="51"/>
  <c r="DE145" i="51"/>
  <c r="GZ150" i="51"/>
  <c r="DG233" i="51"/>
  <c r="CA171" i="51"/>
  <c r="CI262" i="51"/>
  <c r="BW312" i="51"/>
  <c r="CI353" i="51"/>
  <c r="BN407" i="51"/>
  <c r="Z246" i="51"/>
  <c r="DH370" i="51"/>
  <c r="DI81" i="51"/>
  <c r="DB81" i="51"/>
  <c r="CA262" i="51"/>
  <c r="CU262" i="51"/>
  <c r="DZ312" i="51"/>
  <c r="EE312" i="51"/>
  <c r="BM79" i="51"/>
  <c r="DD11" i="51"/>
  <c r="DD10" i="51" s="1"/>
  <c r="BV171" i="51"/>
  <c r="CD171" i="51"/>
  <c r="CC171" i="51"/>
  <c r="BS262" i="51"/>
  <c r="CN262" i="51"/>
  <c r="BW353" i="51"/>
  <c r="EQ312" i="51"/>
  <c r="CA353" i="51"/>
  <c r="CM353" i="51"/>
  <c r="DV353" i="51"/>
  <c r="DI383" i="51"/>
  <c r="DO383" i="51"/>
  <c r="CK312" i="51"/>
  <c r="DA312" i="51"/>
  <c r="DR312" i="51"/>
  <c r="DW312" i="51"/>
  <c r="EC312" i="51"/>
  <c r="DQ353" i="51"/>
  <c r="AF177" i="51"/>
  <c r="EP312" i="51"/>
  <c r="CU353" i="51"/>
  <c r="DK353" i="51"/>
  <c r="DZ353" i="51"/>
  <c r="CC383" i="51"/>
  <c r="AF312" i="51"/>
  <c r="AJ312" i="51"/>
  <c r="AY339" i="51"/>
  <c r="DZ162" i="51"/>
  <c r="EA162" i="51"/>
  <c r="EC162" i="51"/>
  <c r="ED162" i="51"/>
  <c r="EE162" i="51"/>
  <c r="EG162" i="51"/>
  <c r="EH162" i="51"/>
  <c r="EI162" i="51"/>
  <c r="EK162" i="51"/>
  <c r="EL162" i="51"/>
  <c r="EM162" i="51"/>
  <c r="EO162" i="51"/>
  <c r="EP162" i="51"/>
  <c r="EQ162" i="51"/>
  <c r="ER162" i="51"/>
  <c r="FA171" i="51"/>
  <c r="FA110" i="51"/>
  <c r="FC138" i="51"/>
  <c r="FE151" i="51"/>
  <c r="DK240" i="51"/>
  <c r="DP240" i="51"/>
  <c r="DU240" i="51"/>
  <c r="DZ240" i="51"/>
  <c r="EE240" i="51"/>
  <c r="EK240" i="51"/>
  <c r="EP240" i="51"/>
  <c r="FA240" i="51"/>
  <c r="FC233" i="51"/>
  <c r="FF233" i="51"/>
  <c r="FH262" i="51"/>
  <c r="FH162" i="51"/>
  <c r="GW163" i="51"/>
  <c r="GW162" i="51" s="1"/>
  <c r="G13" i="56" s="1"/>
  <c r="G12" i="63" s="1"/>
  <c r="GW131" i="51"/>
  <c r="GU308" i="51"/>
  <c r="GU285" i="51"/>
  <c r="GU275" i="51"/>
  <c r="GU197" i="51"/>
  <c r="GU139" i="51"/>
  <c r="GM188" i="51"/>
  <c r="GL171" i="51"/>
  <c r="GK188" i="51"/>
  <c r="GJ110" i="51"/>
  <c r="GG171" i="51"/>
  <c r="GF188" i="51"/>
  <c r="GE110" i="51"/>
  <c r="FZ240" i="51"/>
  <c r="FZ151" i="51"/>
  <c r="FY268" i="51"/>
  <c r="FU240" i="51"/>
  <c r="FU151" i="51"/>
  <c r="FT268" i="51"/>
  <c r="FP240" i="51"/>
  <c r="FP151" i="51"/>
  <c r="FO268" i="51"/>
  <c r="GY384" i="51"/>
  <c r="DK110" i="51"/>
  <c r="DL110" i="51"/>
  <c r="DM110" i="51"/>
  <c r="DO110" i="51"/>
  <c r="DP110" i="51"/>
  <c r="DQ110" i="51"/>
  <c r="DR110" i="51"/>
  <c r="DT110" i="51"/>
  <c r="DU110" i="51"/>
  <c r="DV110" i="51"/>
  <c r="DW110" i="51"/>
  <c r="DY110" i="51"/>
  <c r="DZ110" i="51"/>
  <c r="EA110" i="51"/>
  <c r="EC110" i="51"/>
  <c r="ED110" i="51"/>
  <c r="EE110" i="51"/>
  <c r="EG110" i="51"/>
  <c r="EH110" i="51"/>
  <c r="EI110" i="51"/>
  <c r="EK110" i="51"/>
  <c r="EL110" i="51"/>
  <c r="EM110" i="51"/>
  <c r="EO110" i="51"/>
  <c r="EP110" i="51"/>
  <c r="EQ110" i="51"/>
  <c r="ER110" i="51"/>
  <c r="FA151" i="51"/>
  <c r="FE177" i="51"/>
  <c r="FE110" i="51"/>
  <c r="FF138" i="51"/>
  <c r="DM240" i="51"/>
  <c r="DR240" i="51"/>
  <c r="DW240" i="51"/>
  <c r="EC240" i="51"/>
  <c r="EH240" i="51"/>
  <c r="EM240" i="51"/>
  <c r="ER240" i="51"/>
  <c r="FE233" i="51"/>
  <c r="FH312" i="51"/>
  <c r="GW308" i="51"/>
  <c r="GW295" i="51"/>
  <c r="GW294" i="51" s="1"/>
  <c r="G23" i="56" s="1"/>
  <c r="GW271" i="51"/>
  <c r="GW247" i="51"/>
  <c r="GW178" i="51"/>
  <c r="GT262" i="51"/>
  <c r="GP233" i="51"/>
  <c r="GO151" i="51"/>
  <c r="GN268" i="51"/>
  <c r="GJ240" i="51"/>
  <c r="GI268" i="51"/>
  <c r="GE281" i="51"/>
  <c r="GB171" i="51"/>
  <c r="GA188" i="51"/>
  <c r="FZ110" i="51"/>
  <c r="FX188" i="51"/>
  <c r="FW171" i="51"/>
  <c r="FV188" i="51"/>
  <c r="FU110" i="51"/>
  <c r="FR171" i="51"/>
  <c r="FQ188" i="51"/>
  <c r="FP110" i="51"/>
  <c r="FN281" i="51"/>
  <c r="FK188" i="51"/>
  <c r="EO353" i="51"/>
  <c r="CF383" i="51"/>
  <c r="AN177" i="51"/>
  <c r="AR177" i="51"/>
  <c r="AL312" i="51"/>
  <c r="AN373" i="51"/>
  <c r="DK151" i="51"/>
  <c r="DL151" i="51"/>
  <c r="DM151" i="51"/>
  <c r="DO151" i="51"/>
  <c r="DP151" i="51"/>
  <c r="DQ151" i="51"/>
  <c r="DR151" i="51"/>
  <c r="DT151" i="51"/>
  <c r="DU151" i="51"/>
  <c r="DV151" i="51"/>
  <c r="DW151" i="51"/>
  <c r="DY151" i="51"/>
  <c r="DZ151" i="51"/>
  <c r="EA151" i="51"/>
  <c r="EC151" i="51"/>
  <c r="ED151" i="51"/>
  <c r="EE151" i="51"/>
  <c r="EG151" i="51"/>
  <c r="EH151" i="51"/>
  <c r="EI151" i="51"/>
  <c r="EK151" i="51"/>
  <c r="EL151" i="51"/>
  <c r="EM151" i="51"/>
  <c r="EO151" i="51"/>
  <c r="EP151" i="51"/>
  <c r="EQ151" i="51"/>
  <c r="ER151" i="51"/>
  <c r="FA162" i="51"/>
  <c r="FC110" i="51"/>
  <c r="FF151" i="51"/>
  <c r="DL240" i="51"/>
  <c r="DQ240" i="51"/>
  <c r="DV240" i="51"/>
  <c r="EA240" i="51"/>
  <c r="EG240" i="51"/>
  <c r="EL240" i="51"/>
  <c r="EQ240" i="51"/>
  <c r="FA233" i="51"/>
  <c r="GW258" i="51"/>
  <c r="GW257" i="51" s="1"/>
  <c r="G19" i="56" s="1"/>
  <c r="GW221" i="51"/>
  <c r="GW205" i="51"/>
  <c r="GW145" i="51"/>
  <c r="GU295" i="51"/>
  <c r="GU294" i="51" s="1"/>
  <c r="GU205" i="51"/>
  <c r="GO240" i="51"/>
  <c r="GO162" i="51"/>
  <c r="GJ162" i="51"/>
  <c r="GE188" i="51"/>
  <c r="GA233" i="51"/>
  <c r="FV233" i="51"/>
  <c r="FQ233" i="51"/>
  <c r="GU163" i="51"/>
  <c r="GU162" i="51" s="1"/>
  <c r="GU131" i="51"/>
  <c r="GT240" i="51"/>
  <c r="GT177" i="51"/>
  <c r="GT151" i="51"/>
  <c r="GS312" i="51"/>
  <c r="GS110" i="51"/>
  <c r="GR162" i="51"/>
  <c r="GR96" i="51"/>
  <c r="GQ151" i="51"/>
  <c r="GP151" i="51"/>
  <c r="GP138" i="51"/>
  <c r="GN262" i="51"/>
  <c r="GN110" i="51"/>
  <c r="GM162" i="51"/>
  <c r="GM96" i="51"/>
  <c r="GK300" i="51"/>
  <c r="GK151" i="51"/>
  <c r="GK138" i="51"/>
  <c r="GI262" i="51"/>
  <c r="GI110" i="51"/>
  <c r="GH162" i="51"/>
  <c r="GH96" i="51"/>
  <c r="GG151" i="51"/>
  <c r="GF151" i="51"/>
  <c r="GF96" i="51"/>
  <c r="GE312" i="51"/>
  <c r="GE162" i="51"/>
  <c r="GD171" i="51"/>
  <c r="GD110" i="51"/>
  <c r="GC162" i="51"/>
  <c r="GC96" i="51"/>
  <c r="GB151" i="51"/>
  <c r="GA151" i="51"/>
  <c r="FZ262" i="51"/>
  <c r="FY171" i="51"/>
  <c r="FY110" i="51"/>
  <c r="FX162" i="51"/>
  <c r="FX96" i="51"/>
  <c r="FV300" i="51"/>
  <c r="FV151" i="51"/>
  <c r="FU262" i="51"/>
  <c r="FT171" i="51"/>
  <c r="FT110" i="51"/>
  <c r="FS162" i="51"/>
  <c r="FS96" i="51"/>
  <c r="FR151" i="51"/>
  <c r="FQ151" i="51"/>
  <c r="FP262" i="51"/>
  <c r="FO262" i="51"/>
  <c r="FO171" i="51"/>
  <c r="FO110" i="51"/>
  <c r="FN300" i="51"/>
  <c r="GV354" i="51"/>
  <c r="GX229" i="51"/>
  <c r="GX201" i="51"/>
  <c r="GX101" i="51"/>
  <c r="GY313" i="51"/>
  <c r="GY312" i="51" s="1"/>
  <c r="GY233" i="51"/>
  <c r="EX201" i="51"/>
  <c r="EX97" i="51"/>
  <c r="GU178" i="51"/>
  <c r="GT171" i="51"/>
  <c r="GT110" i="51"/>
  <c r="GS262" i="51"/>
  <c r="GR300" i="51"/>
  <c r="GR138" i="51"/>
  <c r="GQ268" i="51"/>
  <c r="GQ233" i="51"/>
  <c r="GP110" i="51"/>
  <c r="GO300" i="51"/>
  <c r="GO96" i="51"/>
  <c r="GN300" i="51"/>
  <c r="GN151" i="51"/>
  <c r="GN138" i="51"/>
  <c r="GM300" i="51"/>
  <c r="GM281" i="51"/>
  <c r="GM233" i="51"/>
  <c r="GM138" i="51"/>
  <c r="GL268" i="51"/>
  <c r="GL233" i="51"/>
  <c r="GK110" i="51"/>
  <c r="GJ300" i="51"/>
  <c r="GJ96" i="51"/>
  <c r="GI151" i="51"/>
  <c r="GI138" i="51"/>
  <c r="GH300" i="51"/>
  <c r="GH138" i="51"/>
  <c r="GG268" i="51"/>
  <c r="GG233" i="51"/>
  <c r="GE268" i="51"/>
  <c r="GE240" i="51"/>
  <c r="GD300" i="51"/>
  <c r="GD151" i="51"/>
  <c r="GC300" i="51"/>
  <c r="GC138" i="51"/>
  <c r="GB268" i="51"/>
  <c r="GB233" i="51"/>
  <c r="GA110" i="51"/>
  <c r="FZ300" i="51"/>
  <c r="FZ138" i="51"/>
  <c r="FZ96" i="51"/>
  <c r="FY300" i="51"/>
  <c r="FY151" i="51"/>
  <c r="FX300" i="51"/>
  <c r="FX281" i="51"/>
  <c r="FX233" i="51"/>
  <c r="FX138" i="51"/>
  <c r="FW268" i="51"/>
  <c r="FW233" i="51"/>
  <c r="FV110" i="51"/>
  <c r="FU300" i="51"/>
  <c r="FU138" i="51"/>
  <c r="FU96" i="51"/>
  <c r="FT151" i="51"/>
  <c r="FS300" i="51"/>
  <c r="FS138" i="51"/>
  <c r="FR268" i="51"/>
  <c r="FR233" i="51"/>
  <c r="FQ110" i="51"/>
  <c r="FP300" i="51"/>
  <c r="FP138" i="51"/>
  <c r="FP96" i="51"/>
  <c r="FO300" i="51"/>
  <c r="FO151" i="51"/>
  <c r="FO138" i="51"/>
  <c r="FN240" i="51"/>
  <c r="FM188" i="51"/>
  <c r="GV145" i="51"/>
  <c r="GX192" i="51"/>
  <c r="GY410" i="51"/>
  <c r="GY101" i="51"/>
  <c r="EZ42" i="51"/>
  <c r="EY120" i="51"/>
  <c r="EW101" i="51"/>
  <c r="EF188" i="51"/>
  <c r="GU159" i="51"/>
  <c r="GU145" i="51"/>
  <c r="GU189" i="51"/>
  <c r="GT300" i="51"/>
  <c r="GT138" i="51"/>
  <c r="GS268" i="51"/>
  <c r="GS233" i="51"/>
  <c r="GS177" i="51"/>
  <c r="GR240" i="51"/>
  <c r="GR177" i="51"/>
  <c r="GR151" i="51"/>
  <c r="GQ110" i="51"/>
  <c r="GP240" i="51"/>
  <c r="GP96" i="51"/>
  <c r="GO312" i="51"/>
  <c r="GO233" i="51"/>
  <c r="GN281" i="51"/>
  <c r="GN162" i="51"/>
  <c r="GM177" i="51"/>
  <c r="GM151" i="51"/>
  <c r="GK240" i="51"/>
  <c r="GJ312" i="51"/>
  <c r="GJ233" i="51"/>
  <c r="GI281" i="51"/>
  <c r="GI162" i="51"/>
  <c r="GH240" i="51"/>
  <c r="GH177" i="51"/>
  <c r="GH151" i="51"/>
  <c r="GG110" i="51"/>
  <c r="GF240" i="51"/>
  <c r="GE300" i="51"/>
  <c r="GE151" i="51"/>
  <c r="GE138" i="51"/>
  <c r="GE96" i="51"/>
  <c r="GD312" i="51"/>
  <c r="GD162" i="51"/>
  <c r="GC240" i="51"/>
  <c r="GC177" i="51"/>
  <c r="GC151" i="51"/>
  <c r="GB177" i="51"/>
  <c r="GB110" i="51"/>
  <c r="GA262" i="51"/>
  <c r="GA240" i="51"/>
  <c r="GA96" i="51"/>
  <c r="FZ312" i="51"/>
  <c r="FZ233" i="51"/>
  <c r="FZ171" i="51"/>
  <c r="FY281" i="51"/>
  <c r="FY162" i="51"/>
  <c r="FX151" i="51"/>
  <c r="FW177" i="51"/>
  <c r="FV262" i="51"/>
  <c r="FV240" i="51"/>
  <c r="FU312" i="51"/>
  <c r="FU233" i="51"/>
  <c r="FU171" i="51"/>
  <c r="FT281" i="51"/>
  <c r="FT162" i="51"/>
  <c r="FS240" i="51"/>
  <c r="FS177" i="51"/>
  <c r="FS151" i="51"/>
  <c r="FR177" i="51"/>
  <c r="FR110" i="51"/>
  <c r="FQ262" i="51"/>
  <c r="FQ240" i="51"/>
  <c r="FQ96" i="51"/>
  <c r="FP312" i="51"/>
  <c r="FP233" i="51"/>
  <c r="FP171" i="51"/>
  <c r="FO281" i="51"/>
  <c r="FO162" i="51"/>
  <c r="FN268" i="51"/>
  <c r="FI188" i="51"/>
  <c r="GV178" i="51"/>
  <c r="GV101" i="51"/>
  <c r="GV86" i="51"/>
  <c r="GX350" i="51"/>
  <c r="GX197" i="51"/>
  <c r="GY229" i="51"/>
  <c r="EX197" i="51"/>
  <c r="EX174" i="51"/>
  <c r="EX171" i="51" s="1"/>
  <c r="EX139" i="51"/>
  <c r="FM240" i="51"/>
  <c r="FM96" i="51"/>
  <c r="FL312" i="51"/>
  <c r="FL233" i="51"/>
  <c r="FK281" i="51"/>
  <c r="FK162" i="51"/>
  <c r="FJ268" i="51"/>
  <c r="FJ138" i="51"/>
  <c r="FI240" i="51"/>
  <c r="FI138" i="51"/>
  <c r="GV346" i="51"/>
  <c r="GV330" i="51"/>
  <c r="GV229" i="51"/>
  <c r="GV221" i="51"/>
  <c r="GV197" i="51"/>
  <c r="GX335" i="51"/>
  <c r="GX308" i="51"/>
  <c r="GX295" i="51"/>
  <c r="GX294" i="51" s="1"/>
  <c r="I23" i="56" s="1"/>
  <c r="GX247" i="51"/>
  <c r="GX205" i="51"/>
  <c r="GX163" i="51"/>
  <c r="GX162" i="51" s="1"/>
  <c r="I13" i="56" s="1"/>
  <c r="GX131" i="51"/>
  <c r="GY354" i="51"/>
  <c r="GY346" i="51"/>
  <c r="GY247" i="51"/>
  <c r="GY131" i="51"/>
  <c r="GY82" i="51"/>
  <c r="GY54" i="51"/>
  <c r="EX258" i="51"/>
  <c r="EX257" i="51" s="1"/>
  <c r="EX221" i="51"/>
  <c r="EX205" i="51"/>
  <c r="EX145" i="51"/>
  <c r="EX69" i="51"/>
  <c r="EX49" i="51"/>
  <c r="EZ251" i="51"/>
  <c r="EZ217" i="51"/>
  <c r="EZ211" i="51"/>
  <c r="EZ197" i="51"/>
  <c r="EZ159" i="51"/>
  <c r="EZ139" i="51"/>
  <c r="EZ97" i="51"/>
  <c r="EZ86" i="51"/>
  <c r="EZ74" i="51"/>
  <c r="EZ73" i="51" s="1"/>
  <c r="EY174" i="51"/>
  <c r="EY171" i="51" s="1"/>
  <c r="EY163" i="51"/>
  <c r="EY162" i="51" s="1"/>
  <c r="EY152" i="51"/>
  <c r="EX271" i="51"/>
  <c r="EZ335" i="51"/>
  <c r="EW178" i="51"/>
  <c r="EN240" i="51"/>
  <c r="DX281" i="51"/>
  <c r="FN233" i="51"/>
  <c r="FN171" i="51"/>
  <c r="FM281" i="51"/>
  <c r="FM162" i="51"/>
  <c r="FL268" i="51"/>
  <c r="FL177" i="51"/>
  <c r="FK240" i="51"/>
  <c r="FJ312" i="51"/>
  <c r="FJ233" i="51"/>
  <c r="FI281" i="51"/>
  <c r="FI162" i="51"/>
  <c r="GV360" i="51"/>
  <c r="GV282" i="51"/>
  <c r="GV120" i="51"/>
  <c r="GX360" i="51"/>
  <c r="GX211" i="51"/>
  <c r="GX178" i="51"/>
  <c r="GY330" i="51"/>
  <c r="GY275" i="51"/>
  <c r="GY178" i="51"/>
  <c r="GY163" i="51"/>
  <c r="GY162" i="51" s="1"/>
  <c r="GY64" i="51"/>
  <c r="GY263" i="51"/>
  <c r="GY262" i="51" s="1"/>
  <c r="EX184" i="51"/>
  <c r="EX152" i="51"/>
  <c r="EX74" i="51"/>
  <c r="EX73" i="51" s="1"/>
  <c r="EZ226" i="51"/>
  <c r="EZ184" i="51"/>
  <c r="EZ54" i="51"/>
  <c r="EY346" i="51"/>
  <c r="EW410" i="51"/>
  <c r="EW275" i="51"/>
  <c r="EW111" i="51"/>
  <c r="ET188" i="51"/>
  <c r="EJ300" i="51"/>
  <c r="FM110" i="51"/>
  <c r="FL96" i="51"/>
  <c r="FK300" i="51"/>
  <c r="FK151" i="51"/>
  <c r="FK138" i="51"/>
  <c r="FJ262" i="51"/>
  <c r="FI262" i="51"/>
  <c r="FI171" i="51"/>
  <c r="FI110" i="51"/>
  <c r="GV340" i="51"/>
  <c r="GV324" i="51"/>
  <c r="GV275" i="51"/>
  <c r="GV247" i="51"/>
  <c r="GV241" i="51"/>
  <c r="GV214" i="51"/>
  <c r="GV192" i="51"/>
  <c r="GX330" i="51"/>
  <c r="GX145" i="51"/>
  <c r="GX263" i="51"/>
  <c r="GX262" i="51" s="1"/>
  <c r="I20" i="56" s="1"/>
  <c r="GY404" i="51"/>
  <c r="GY335" i="51"/>
  <c r="GY308" i="51"/>
  <c r="GY295" i="51"/>
  <c r="GY294" i="51" s="1"/>
  <c r="GY184" i="51"/>
  <c r="GY145" i="51"/>
  <c r="GY49" i="51"/>
  <c r="EX178" i="51"/>
  <c r="EX64" i="51"/>
  <c r="EZ192" i="51"/>
  <c r="EZ58" i="51"/>
  <c r="EX275" i="51"/>
  <c r="EZ330" i="51"/>
  <c r="EY324" i="51"/>
  <c r="EZ410" i="51"/>
  <c r="EW184" i="51"/>
  <c r="EN110" i="51"/>
  <c r="EY97" i="51"/>
  <c r="EY58" i="51"/>
  <c r="EX335" i="51"/>
  <c r="EX285" i="51"/>
  <c r="EX263" i="51"/>
  <c r="EX262" i="51" s="1"/>
  <c r="EZ282" i="51"/>
  <c r="EW258" i="51"/>
  <c r="EW257" i="51" s="1"/>
  <c r="EW241" i="51"/>
  <c r="EW221" i="51"/>
  <c r="EW145" i="51"/>
  <c r="EV339" i="51"/>
  <c r="ET300" i="51"/>
  <c r="ET171" i="51"/>
  <c r="ET110" i="51"/>
  <c r="ES312" i="51"/>
  <c r="ES268" i="51"/>
  <c r="ES151" i="51"/>
  <c r="EN312" i="51"/>
  <c r="EN262" i="51"/>
  <c r="EJ339" i="51"/>
  <c r="EJ262" i="51"/>
  <c r="EF151" i="51"/>
  <c r="EB240" i="51"/>
  <c r="EB171" i="51"/>
  <c r="EB110" i="51"/>
  <c r="EB96" i="51"/>
  <c r="DS268" i="51"/>
  <c r="DS233" i="51"/>
  <c r="DS177" i="51"/>
  <c r="DN353" i="51"/>
  <c r="DN268" i="51"/>
  <c r="DN233" i="51"/>
  <c r="DN177" i="51"/>
  <c r="EY184" i="51"/>
  <c r="EY139" i="51"/>
  <c r="EY49" i="51"/>
  <c r="EX282" i="51"/>
  <c r="EZ346" i="51"/>
  <c r="EZ308" i="51"/>
  <c r="EY350" i="51"/>
  <c r="EY330" i="51"/>
  <c r="EY295" i="51"/>
  <c r="EY294" i="51" s="1"/>
  <c r="EV373" i="51"/>
  <c r="ET373" i="51"/>
  <c r="EN373" i="51"/>
  <c r="EF373" i="51"/>
  <c r="DX373" i="51"/>
  <c r="EW346" i="51"/>
  <c r="EW313" i="51"/>
  <c r="EW312" i="51" s="1"/>
  <c r="EW301" i="51"/>
  <c r="EW254" i="51"/>
  <c r="EW229" i="51"/>
  <c r="EW214" i="51"/>
  <c r="EW163" i="51"/>
  <c r="EW162" i="51" s="1"/>
  <c r="EV268" i="51"/>
  <c r="EV188" i="51"/>
  <c r="EU353" i="51"/>
  <c r="EU262" i="51"/>
  <c r="EU151" i="51"/>
  <c r="ET353" i="51"/>
  <c r="ET281" i="51"/>
  <c r="ET151" i="51"/>
  <c r="ES240" i="51"/>
  <c r="ES171" i="51"/>
  <c r="EN323" i="51"/>
  <c r="EN171" i="51"/>
  <c r="EJ312" i="51"/>
  <c r="EJ151" i="51"/>
  <c r="EF339" i="51"/>
  <c r="EF300" i="51"/>
  <c r="EF262" i="51"/>
  <c r="EF110" i="51"/>
  <c r="EB312" i="51"/>
  <c r="EB268" i="51"/>
  <c r="EB177" i="51"/>
  <c r="EB151" i="51"/>
  <c r="DX339" i="51"/>
  <c r="DX312" i="51"/>
  <c r="DX233" i="51"/>
  <c r="DX96" i="51"/>
  <c r="DS323" i="51"/>
  <c r="DS151" i="51"/>
  <c r="DN151" i="51"/>
  <c r="EY178" i="51"/>
  <c r="EX346" i="51"/>
  <c r="EX330" i="51"/>
  <c r="EX324" i="51"/>
  <c r="EZ350" i="51"/>
  <c r="EZ324" i="51"/>
  <c r="EZ313" i="51"/>
  <c r="EZ312" i="51" s="1"/>
  <c r="EZ301" i="51"/>
  <c r="EZ285" i="51"/>
  <c r="EZ271" i="51"/>
  <c r="EY335" i="51"/>
  <c r="EY308" i="51"/>
  <c r="EX410" i="51"/>
  <c r="EV383" i="51"/>
  <c r="ET383" i="51"/>
  <c r="EN383" i="51"/>
  <c r="EF383" i="51"/>
  <c r="DX383" i="51"/>
  <c r="EV300" i="51"/>
  <c r="EV96" i="51"/>
  <c r="EU268" i="51"/>
  <c r="ES300" i="51"/>
  <c r="EN339" i="51"/>
  <c r="EN300" i="51"/>
  <c r="EN96" i="51"/>
  <c r="EJ162" i="51"/>
  <c r="EF240" i="51"/>
  <c r="EB281" i="51"/>
  <c r="EB233" i="51"/>
  <c r="EB162" i="51"/>
  <c r="DX268" i="51"/>
  <c r="DS162" i="51"/>
  <c r="DN162" i="51"/>
  <c r="BM288" i="51"/>
  <c r="BM136" i="51"/>
  <c r="FC188" i="51"/>
  <c r="FF188" i="51"/>
  <c r="FH151" i="51"/>
  <c r="GW211" i="51"/>
  <c r="GW101" i="51"/>
  <c r="GU263" i="51"/>
  <c r="GU262" i="51" s="1"/>
  <c r="GU251" i="51"/>
  <c r="GT281" i="51"/>
  <c r="GT233" i="51"/>
  <c r="GR281" i="51"/>
  <c r="GR233" i="51"/>
  <c r="GO262" i="51"/>
  <c r="GN171" i="51"/>
  <c r="GN96" i="51"/>
  <c r="GM312" i="51"/>
  <c r="GL151" i="51"/>
  <c r="GK171" i="51"/>
  <c r="GK96" i="51"/>
  <c r="GH281" i="51"/>
  <c r="GH233" i="51"/>
  <c r="FR281" i="51"/>
  <c r="FR240" i="51"/>
  <c r="FH188" i="51"/>
  <c r="GW111" i="51"/>
  <c r="GS281" i="51"/>
  <c r="GS240" i="51"/>
  <c r="GQ281" i="51"/>
  <c r="GQ240" i="51"/>
  <c r="GO188" i="51"/>
  <c r="GL188" i="51"/>
  <c r="GG281" i="51"/>
  <c r="GG240" i="51"/>
  <c r="FZ188" i="51"/>
  <c r="FW188" i="51"/>
  <c r="EZ404" i="51"/>
  <c r="EW354" i="51"/>
  <c r="FE188" i="51"/>
  <c r="GW159" i="51"/>
  <c r="GW120" i="51"/>
  <c r="GU111" i="51"/>
  <c r="GT312" i="51"/>
  <c r="GR312" i="51"/>
  <c r="GP171" i="51"/>
  <c r="GJ262" i="51"/>
  <c r="GI171" i="51"/>
  <c r="GH312" i="51"/>
  <c r="GB281" i="51"/>
  <c r="GB240" i="51"/>
  <c r="FC162" i="51"/>
  <c r="FE162" i="51"/>
  <c r="FF162" i="51"/>
  <c r="FH281" i="51"/>
  <c r="FH240" i="51"/>
  <c r="FH110" i="51"/>
  <c r="GW263" i="51"/>
  <c r="GW262" i="51" s="1"/>
  <c r="G20" i="56" s="1"/>
  <c r="GW251" i="51"/>
  <c r="GU258" i="51"/>
  <c r="GU257" i="51" s="1"/>
  <c r="GU221" i="51"/>
  <c r="GU120" i="51"/>
  <c r="GT268" i="51"/>
  <c r="GT188" i="51"/>
  <c r="GS188" i="51"/>
  <c r="GS162" i="51"/>
  <c r="GR268" i="51"/>
  <c r="GR188" i="51"/>
  <c r="GQ188" i="51"/>
  <c r="GQ162" i="51"/>
  <c r="GP300" i="51"/>
  <c r="GM240" i="51"/>
  <c r="GL281" i="51"/>
  <c r="GL240" i="51"/>
  <c r="GL110" i="51"/>
  <c r="GJ188" i="51"/>
  <c r="GI300" i="51"/>
  <c r="GH268" i="51"/>
  <c r="GH188" i="51"/>
  <c r="GG188" i="51"/>
  <c r="GG162" i="51"/>
  <c r="GF300" i="51"/>
  <c r="FP188" i="51"/>
  <c r="FL188" i="51"/>
  <c r="GC281" i="51"/>
  <c r="GC233" i="51"/>
  <c r="FY96" i="51"/>
  <c r="FW151" i="51"/>
  <c r="FV96" i="51"/>
  <c r="FS281" i="51"/>
  <c r="FS233" i="51"/>
  <c r="FO96" i="51"/>
  <c r="FL262" i="51"/>
  <c r="FK96" i="51"/>
  <c r="GV254" i="51"/>
  <c r="GV226" i="51"/>
  <c r="GV205" i="51"/>
  <c r="GV97" i="51"/>
  <c r="GX354" i="51"/>
  <c r="GX251" i="51"/>
  <c r="EX111" i="51"/>
  <c r="GE171" i="51"/>
  <c r="GC312" i="51"/>
  <c r="FM171" i="51"/>
  <c r="GV139" i="51"/>
  <c r="GX111" i="51"/>
  <c r="GC268" i="51"/>
  <c r="GC188" i="51"/>
  <c r="GB188" i="51"/>
  <c r="GB162" i="51"/>
  <c r="GA300" i="51"/>
  <c r="FX240" i="51"/>
  <c r="FW281" i="51"/>
  <c r="FW240" i="51"/>
  <c r="FW110" i="51"/>
  <c r="FU188" i="51"/>
  <c r="FT300" i="51"/>
  <c r="FS268" i="51"/>
  <c r="FS188" i="51"/>
  <c r="FR188" i="51"/>
  <c r="FR162" i="51"/>
  <c r="FQ300" i="51"/>
  <c r="FN188" i="51"/>
  <c r="FM300" i="51"/>
  <c r="FJ188" i="51"/>
  <c r="FI300" i="51"/>
  <c r="GV217" i="51"/>
  <c r="GV201" i="51"/>
  <c r="GX340" i="51"/>
  <c r="GX324" i="51"/>
  <c r="GX258" i="51"/>
  <c r="GX257" i="51" s="1"/>
  <c r="I19" i="56" s="1"/>
  <c r="GX221" i="51"/>
  <c r="GX120" i="51"/>
  <c r="EX86" i="51"/>
  <c r="EX58" i="51"/>
  <c r="GY211" i="51"/>
  <c r="GY120" i="51"/>
  <c r="GY42" i="51"/>
  <c r="EX211" i="51"/>
  <c r="EX101" i="51"/>
  <c r="EZ131" i="51"/>
  <c r="EZ101" i="51"/>
  <c r="EZ49" i="51"/>
  <c r="EY251" i="51"/>
  <c r="GY340" i="51"/>
  <c r="GY324" i="51"/>
  <c r="GY374" i="51"/>
  <c r="GY373" i="51" s="1"/>
  <c r="EX159" i="51"/>
  <c r="EX120" i="51"/>
  <c r="EX42" i="51"/>
  <c r="EY384" i="51"/>
  <c r="GY111" i="51"/>
  <c r="GY86" i="51"/>
  <c r="GY58" i="51"/>
  <c r="EZ178" i="51"/>
  <c r="EZ111" i="51"/>
  <c r="EY258" i="51"/>
  <c r="EY257" i="51" s="1"/>
  <c r="EY221" i="51"/>
  <c r="EY111" i="51"/>
  <c r="EY101" i="51"/>
  <c r="EY86" i="51"/>
  <c r="EX350" i="51"/>
  <c r="EX308" i="51"/>
  <c r="EX295" i="51"/>
  <c r="EX294" i="51" s="1"/>
  <c r="EX384" i="51"/>
  <c r="EB188" i="51"/>
  <c r="EX340" i="51"/>
  <c r="EZ354" i="51"/>
  <c r="EY410" i="51"/>
  <c r="EZ374" i="51"/>
  <c r="EZ373" i="51" s="1"/>
  <c r="EW384" i="51"/>
  <c r="EW233" i="51"/>
  <c r="EW120" i="51"/>
  <c r="EU281" i="51"/>
  <c r="EY131" i="51"/>
  <c r="EZ275" i="51"/>
  <c r="EY271" i="51"/>
  <c r="EX374" i="51"/>
  <c r="EX373" i="51" s="1"/>
  <c r="EY374" i="51"/>
  <c r="EY373" i="51" s="1"/>
  <c r="EW340" i="51"/>
  <c r="EW308" i="51"/>
  <c r="EW197" i="51"/>
  <c r="EW139" i="51"/>
  <c r="EV323" i="51"/>
  <c r="EV233" i="51"/>
  <c r="EU188" i="51"/>
  <c r="EU162" i="51"/>
  <c r="ET162" i="51"/>
  <c r="ET96" i="51"/>
  <c r="EN188" i="51"/>
  <c r="EJ281" i="51"/>
  <c r="EJ240" i="51"/>
  <c r="EF96" i="51"/>
  <c r="DX323" i="51"/>
  <c r="DS353" i="51"/>
  <c r="DS281" i="51"/>
  <c r="DS240" i="51"/>
  <c r="DN281" i="51"/>
  <c r="DN240" i="51"/>
  <c r="DN110" i="51"/>
  <c r="EV262" i="51"/>
  <c r="EU339" i="51"/>
  <c r="EU240" i="51"/>
  <c r="EU110" i="51"/>
  <c r="ET240" i="51"/>
  <c r="ET138" i="51"/>
  <c r="ES188" i="51"/>
  <c r="ES177" i="51"/>
  <c r="EJ188" i="51"/>
  <c r="DX262" i="51"/>
  <c r="DS188" i="51"/>
  <c r="DN188" i="51"/>
  <c r="EW192" i="51"/>
  <c r="DX188" i="51"/>
  <c r="GZ382" i="51" l="1"/>
  <c r="GZ381" i="51" s="1"/>
  <c r="BM346" i="51"/>
  <c r="BM339" i="51" s="1"/>
  <c r="GZ272" i="51"/>
  <c r="GZ255" i="51"/>
  <c r="GZ254" i="51" s="1"/>
  <c r="DF97" i="51"/>
  <c r="GZ296" i="51"/>
  <c r="GZ295" i="51" s="1"/>
  <c r="GZ294" i="51" s="1"/>
  <c r="GZ298" i="51"/>
  <c r="GZ89" i="51"/>
  <c r="GZ86" i="51" s="1"/>
  <c r="BM12" i="51"/>
  <c r="Z16" i="51" s="1"/>
  <c r="GZ164" i="51"/>
  <c r="DQ81" i="51"/>
  <c r="GZ333" i="51"/>
  <c r="GZ330" i="51" s="1"/>
  <c r="BM241" i="51"/>
  <c r="Z243" i="51" s="1"/>
  <c r="GZ270" i="51"/>
  <c r="GZ269" i="51" s="1"/>
  <c r="GZ202" i="51"/>
  <c r="GZ201" i="51" s="1"/>
  <c r="DE159" i="51"/>
  <c r="DE151" i="51" s="1"/>
  <c r="BM285" i="51"/>
  <c r="Z287" i="51" s="1"/>
  <c r="DO81" i="51"/>
  <c r="DO35" i="51" s="1"/>
  <c r="GZ93" i="51"/>
  <c r="DF73" i="51"/>
  <c r="DP81" i="51"/>
  <c r="DP35" i="51" s="1"/>
  <c r="DF247" i="51"/>
  <c r="DF240" i="51" s="1"/>
  <c r="GZ302" i="51"/>
  <c r="GZ301" i="51" s="1"/>
  <c r="DH97" i="51"/>
  <c r="DH96" i="51" s="1"/>
  <c r="DE163" i="51"/>
  <c r="DE162" i="51" s="1"/>
  <c r="EW350" i="51"/>
  <c r="EW339" i="51" s="1"/>
  <c r="EW324" i="51"/>
  <c r="GU97" i="51"/>
  <c r="BM214" i="51"/>
  <c r="Z216" i="51" s="1"/>
  <c r="BM197" i="51"/>
  <c r="Z200" i="51" s="1"/>
  <c r="GU101" i="51"/>
  <c r="GZ98" i="51"/>
  <c r="GZ97" i="51" s="1"/>
  <c r="EW404" i="51"/>
  <c r="EW383" i="51" s="1"/>
  <c r="BP312" i="51"/>
  <c r="BO350" i="51"/>
  <c r="BO339" i="51" s="1"/>
  <c r="BO233" i="51"/>
  <c r="BP373" i="51"/>
  <c r="BO162" i="51"/>
  <c r="BN162" i="51"/>
  <c r="BN312" i="51"/>
  <c r="BM365" i="51"/>
  <c r="Z366" i="51" s="1"/>
  <c r="BN262" i="51"/>
  <c r="BP262" i="51"/>
  <c r="BO312" i="51"/>
  <c r="BN233" i="51"/>
  <c r="GU301" i="51"/>
  <c r="GU300" i="51" s="1"/>
  <c r="BN373" i="51"/>
  <c r="EW330" i="51"/>
  <c r="BO262" i="51"/>
  <c r="BO373" i="51"/>
  <c r="DF82" i="51"/>
  <c r="DF81" i="51" s="1"/>
  <c r="BP171" i="51"/>
  <c r="Z280" i="51"/>
  <c r="GZ280" i="51"/>
  <c r="GZ279" i="51" s="1"/>
  <c r="BN171" i="51"/>
  <c r="EO188" i="51"/>
  <c r="EO95" i="51" s="1"/>
  <c r="BP73" i="51"/>
  <c r="BN73" i="51"/>
  <c r="BP162" i="51"/>
  <c r="BO171" i="51"/>
  <c r="BO73" i="51"/>
  <c r="BP233" i="51"/>
  <c r="BN404" i="51"/>
  <c r="BN383" i="51" s="1"/>
  <c r="BP247" i="51"/>
  <c r="BP240" i="51" s="1"/>
  <c r="BO247" i="51"/>
  <c r="BO240" i="51" s="1"/>
  <c r="DJ363" i="51"/>
  <c r="E10" i="66"/>
  <c r="E11" i="66"/>
  <c r="I12" i="66"/>
  <c r="E7" i="66"/>
  <c r="G12" i="66"/>
  <c r="E9" i="66"/>
  <c r="K12" i="66"/>
  <c r="M12" i="66"/>
  <c r="E8" i="66"/>
  <c r="EQ363" i="51"/>
  <c r="GV163" i="51"/>
  <c r="GV162" i="51" s="1"/>
  <c r="E13" i="56" s="1"/>
  <c r="E12" i="63" s="1"/>
  <c r="AS363" i="51"/>
  <c r="EC363" i="51"/>
  <c r="AY363" i="51"/>
  <c r="AE363" i="51"/>
  <c r="EW81" i="51"/>
  <c r="EX162" i="51"/>
  <c r="Z140" i="51"/>
  <c r="DE353" i="51"/>
  <c r="EY281" i="51"/>
  <c r="ED363" i="51"/>
  <c r="GW73" i="51"/>
  <c r="G7" i="56" s="1"/>
  <c r="G6" i="63" s="1"/>
  <c r="FZ363" i="51"/>
  <c r="FR363" i="51"/>
  <c r="GV364" i="51"/>
  <c r="E30" i="56" s="1"/>
  <c r="E29" i="63" s="1"/>
  <c r="GU353" i="51"/>
  <c r="FO363" i="51"/>
  <c r="CY35" i="51"/>
  <c r="EG363" i="51"/>
  <c r="FW35" i="51"/>
  <c r="FO35" i="51"/>
  <c r="AF35" i="51"/>
  <c r="FO322" i="51"/>
  <c r="GL363" i="51"/>
  <c r="BH363" i="51"/>
  <c r="BK322" i="51"/>
  <c r="GD363" i="51"/>
  <c r="AS322" i="51"/>
  <c r="EN35" i="51"/>
  <c r="BG322" i="51"/>
  <c r="GR363" i="51"/>
  <c r="GX364" i="51"/>
  <c r="I30" i="56" s="1"/>
  <c r="I29" i="63" s="1"/>
  <c r="BF363" i="51"/>
  <c r="EL363" i="51"/>
  <c r="GE322" i="51"/>
  <c r="BC322" i="51"/>
  <c r="DI322" i="51"/>
  <c r="BZ35" i="51"/>
  <c r="GH363" i="51"/>
  <c r="GO35" i="51"/>
  <c r="EO363" i="51"/>
  <c r="GD35" i="51"/>
  <c r="GW81" i="51"/>
  <c r="G8" i="56" s="1"/>
  <c r="G7" i="63" s="1"/>
  <c r="FN35" i="51"/>
  <c r="FU322" i="51"/>
  <c r="FJ363" i="51"/>
  <c r="BS322" i="51"/>
  <c r="Z142" i="51"/>
  <c r="EU35" i="51"/>
  <c r="FU363" i="51"/>
  <c r="GW364" i="51"/>
  <c r="G30" i="56" s="1"/>
  <c r="G29" i="63" s="1"/>
  <c r="FM35" i="51"/>
  <c r="FE322" i="51"/>
  <c r="BP353" i="51"/>
  <c r="BL322" i="51"/>
  <c r="GJ363" i="51"/>
  <c r="GI363" i="51"/>
  <c r="DM35" i="51"/>
  <c r="DS35" i="51"/>
  <c r="FI363" i="51"/>
  <c r="EI363" i="51"/>
  <c r="FY322" i="51"/>
  <c r="EB35" i="51"/>
  <c r="GE363" i="51"/>
  <c r="BC363" i="51"/>
  <c r="Z141" i="51"/>
  <c r="GT363" i="51"/>
  <c r="CN35" i="51"/>
  <c r="FE363" i="51"/>
  <c r="FY35" i="51"/>
  <c r="GM363" i="51"/>
  <c r="FS35" i="51"/>
  <c r="FP363" i="51"/>
  <c r="DG353" i="51"/>
  <c r="BP177" i="51"/>
  <c r="CI322" i="51"/>
  <c r="AW322" i="51"/>
  <c r="AN35" i="51"/>
  <c r="BR35" i="51"/>
  <c r="GF322" i="51"/>
  <c r="FI35" i="51"/>
  <c r="BQ322" i="51"/>
  <c r="DU35" i="51"/>
  <c r="AO322" i="51"/>
  <c r="AM363" i="51"/>
  <c r="FS322" i="51"/>
  <c r="GL322" i="51"/>
  <c r="FV363" i="51"/>
  <c r="FK322" i="51"/>
  <c r="CP363" i="51"/>
  <c r="BG363" i="51"/>
  <c r="DP363" i="51"/>
  <c r="DK35" i="51"/>
  <c r="GB322" i="51"/>
  <c r="FW363" i="51"/>
  <c r="FK363" i="51"/>
  <c r="ED322" i="51"/>
  <c r="GV81" i="51"/>
  <c r="E8" i="56" s="1"/>
  <c r="E7" i="63" s="1"/>
  <c r="Z149" i="51"/>
  <c r="GU364" i="51"/>
  <c r="Z148" i="51"/>
  <c r="DA322" i="51"/>
  <c r="BV363" i="51"/>
  <c r="BY322" i="51"/>
  <c r="Z146" i="51"/>
  <c r="AJ35" i="51"/>
  <c r="Z144" i="51"/>
  <c r="Z143" i="51"/>
  <c r="GZ152" i="51"/>
  <c r="EA35" i="51"/>
  <c r="FZ322" i="51"/>
  <c r="FH322" i="51"/>
  <c r="GI322" i="51"/>
  <c r="FJ322" i="51"/>
  <c r="GH35" i="51"/>
  <c r="GE35" i="51"/>
  <c r="BY35" i="51"/>
  <c r="ET35" i="51"/>
  <c r="CP35" i="51"/>
  <c r="EC322" i="51"/>
  <c r="DX35" i="51"/>
  <c r="CJ35" i="51"/>
  <c r="CJ322" i="51"/>
  <c r="CD363" i="51"/>
  <c r="FN363" i="51"/>
  <c r="DL322" i="51"/>
  <c r="Z57" i="51"/>
  <c r="FD35" i="51"/>
  <c r="AT363" i="51"/>
  <c r="GD322" i="51"/>
  <c r="FP322" i="51"/>
  <c r="GW323" i="51"/>
  <c r="G27" i="56" s="1"/>
  <c r="G26" i="63" s="1"/>
  <c r="ED35" i="51"/>
  <c r="CU322" i="51"/>
  <c r="BS35" i="51"/>
  <c r="EW364" i="51"/>
  <c r="BF35" i="51"/>
  <c r="BP339" i="51"/>
  <c r="Z50" i="51"/>
  <c r="GP322" i="51"/>
  <c r="AQ363" i="51"/>
  <c r="DK363" i="51"/>
  <c r="GI35" i="51"/>
  <c r="BI35" i="51"/>
  <c r="DY35" i="51"/>
  <c r="DI35" i="51"/>
  <c r="GX81" i="51"/>
  <c r="I8" i="56" s="1"/>
  <c r="I7" i="63" s="1"/>
  <c r="EL322" i="51"/>
  <c r="DA363" i="51"/>
  <c r="BU363" i="51"/>
  <c r="DN363" i="51"/>
  <c r="Z56" i="51"/>
  <c r="AI35" i="51"/>
  <c r="DF353" i="51"/>
  <c r="GW339" i="51"/>
  <c r="G28" i="56" s="1"/>
  <c r="G27" i="63" s="1"/>
  <c r="FW322" i="51"/>
  <c r="FT322" i="51"/>
  <c r="EK322" i="51"/>
  <c r="CH322" i="51"/>
  <c r="BY363" i="51"/>
  <c r="BP81" i="51"/>
  <c r="GX11" i="51"/>
  <c r="I5" i="56" s="1"/>
  <c r="I4" i="63" s="1"/>
  <c r="EL35" i="51"/>
  <c r="GJ35" i="51"/>
  <c r="FF363" i="51"/>
  <c r="BM110" i="51"/>
  <c r="BX35" i="51"/>
  <c r="GB35" i="51"/>
  <c r="FX363" i="51"/>
  <c r="FR322" i="51"/>
  <c r="BE363" i="51"/>
  <c r="GN322" i="51"/>
  <c r="AF322" i="51"/>
  <c r="DV35" i="51"/>
  <c r="CK35" i="51"/>
  <c r="CQ35" i="51"/>
  <c r="BH322" i="51"/>
  <c r="CT363" i="51"/>
  <c r="DG281" i="51"/>
  <c r="CW363" i="51"/>
  <c r="AL35" i="51"/>
  <c r="Z302" i="51"/>
  <c r="BE322" i="51"/>
  <c r="CE35" i="51"/>
  <c r="DT35" i="51"/>
  <c r="DK322" i="51"/>
  <c r="DQ322" i="51"/>
  <c r="BZ322" i="51"/>
  <c r="CE322" i="51"/>
  <c r="AN322" i="51"/>
  <c r="AX322" i="51"/>
  <c r="Z351" i="51"/>
  <c r="BQ363" i="51"/>
  <c r="DG151" i="51"/>
  <c r="EQ35" i="51"/>
  <c r="GQ322" i="51"/>
  <c r="AS35" i="51"/>
  <c r="DQ363" i="51"/>
  <c r="EE322" i="51"/>
  <c r="CD322" i="51"/>
  <c r="DE81" i="51"/>
  <c r="EJ35" i="51"/>
  <c r="DH281" i="51"/>
  <c r="CV35" i="51"/>
  <c r="CA35" i="51"/>
  <c r="AC363" i="51"/>
  <c r="AY35" i="51"/>
  <c r="CL35" i="51"/>
  <c r="GX383" i="51"/>
  <c r="I32" i="56" s="1"/>
  <c r="I31" i="63" s="1"/>
  <c r="FV322" i="51"/>
  <c r="EK363" i="51"/>
  <c r="CE363" i="51"/>
  <c r="GN35" i="51"/>
  <c r="CV363" i="51"/>
  <c r="AO35" i="51"/>
  <c r="CM363" i="51"/>
  <c r="EO35" i="51"/>
  <c r="GG363" i="51"/>
  <c r="FB35" i="51"/>
  <c r="GO322" i="51"/>
  <c r="AJ363" i="51"/>
  <c r="BB322" i="51"/>
  <c r="AR322" i="51"/>
  <c r="FA81" i="51"/>
  <c r="FA35" i="51" s="1"/>
  <c r="GA363" i="51"/>
  <c r="AL322" i="51"/>
  <c r="BN353" i="51"/>
  <c r="GU383" i="51"/>
  <c r="DR35" i="51"/>
  <c r="FG322" i="51"/>
  <c r="BJ363" i="51"/>
  <c r="AR35" i="51"/>
  <c r="CD35" i="51"/>
  <c r="CO363" i="51"/>
  <c r="EP35" i="51"/>
  <c r="EI35" i="51"/>
  <c r="AX363" i="51"/>
  <c r="BZ363" i="51"/>
  <c r="GB363" i="51"/>
  <c r="FN322" i="51"/>
  <c r="FT35" i="51"/>
  <c r="Z208" i="51"/>
  <c r="Z207" i="51"/>
  <c r="EO322" i="51"/>
  <c r="DZ322" i="51"/>
  <c r="DI363" i="51"/>
  <c r="DV322" i="51"/>
  <c r="AQ322" i="51"/>
  <c r="CY322" i="51"/>
  <c r="CC322" i="51"/>
  <c r="Z13" i="51"/>
  <c r="Z72" i="51"/>
  <c r="BW363" i="51"/>
  <c r="DB363" i="51"/>
  <c r="DC363" i="51"/>
  <c r="CI35" i="51"/>
  <c r="FX322" i="51"/>
  <c r="AF363" i="51"/>
  <c r="EK35" i="51"/>
  <c r="GQ35" i="51"/>
  <c r="CK363" i="51"/>
  <c r="DM363" i="51"/>
  <c r="ER322" i="51"/>
  <c r="CF363" i="51"/>
  <c r="CC363" i="51"/>
  <c r="DO363" i="51"/>
  <c r="EQ322" i="51"/>
  <c r="DM322" i="51"/>
  <c r="CK322" i="51"/>
  <c r="GY11" i="51"/>
  <c r="GY10" i="51" s="1"/>
  <c r="Z14" i="51"/>
  <c r="FF322" i="51"/>
  <c r="BL363" i="51"/>
  <c r="AD95" i="51"/>
  <c r="DD363" i="51"/>
  <c r="EH322" i="51"/>
  <c r="CR322" i="51"/>
  <c r="AQ35" i="51"/>
  <c r="CM322" i="51"/>
  <c r="CN95" i="51"/>
  <c r="DH364" i="51"/>
  <c r="BP96" i="51"/>
  <c r="DL363" i="51"/>
  <c r="DJ95" i="51"/>
  <c r="DW322" i="51"/>
  <c r="AK95" i="51"/>
  <c r="BC35" i="51"/>
  <c r="AH35" i="51"/>
  <c r="GZ251" i="51"/>
  <c r="Z52" i="51"/>
  <c r="Z51" i="51"/>
  <c r="GZ374" i="51"/>
  <c r="GZ373" i="51" s="1"/>
  <c r="GZ74" i="51"/>
  <c r="GZ73" i="51" s="1"/>
  <c r="CM35" i="51"/>
  <c r="FS363" i="51"/>
  <c r="FP35" i="51"/>
  <c r="GL35" i="51"/>
  <c r="GU81" i="51"/>
  <c r="GF363" i="51"/>
  <c r="FA363" i="51"/>
  <c r="AV322" i="51"/>
  <c r="BJ95" i="51"/>
  <c r="CL363" i="51"/>
  <c r="CU35" i="51"/>
  <c r="DC35" i="51"/>
  <c r="AK35" i="51"/>
  <c r="GG322" i="51"/>
  <c r="FR35" i="51"/>
  <c r="FM322" i="51"/>
  <c r="FK35" i="51"/>
  <c r="FH35" i="51"/>
  <c r="FD95" i="51"/>
  <c r="FC35" i="51"/>
  <c r="GM322" i="51"/>
  <c r="AG322" i="51"/>
  <c r="BJ35" i="51"/>
  <c r="EP322" i="51"/>
  <c r="CZ35" i="51"/>
  <c r="CZ322" i="51"/>
  <c r="CB322" i="51"/>
  <c r="Z385" i="51"/>
  <c r="Z387" i="51"/>
  <c r="AE35" i="51"/>
  <c r="GZ350" i="51"/>
  <c r="DG268" i="51"/>
  <c r="CX95" i="51"/>
  <c r="BR322" i="51"/>
  <c r="BM73" i="51"/>
  <c r="Z206" i="51"/>
  <c r="EM322" i="51"/>
  <c r="CO322" i="51"/>
  <c r="BN281" i="51"/>
  <c r="BX322" i="51"/>
  <c r="Z372" i="51"/>
  <c r="ES35" i="51"/>
  <c r="AV363" i="51"/>
  <c r="BK95" i="51"/>
  <c r="AU95" i="51"/>
  <c r="FL322" i="51"/>
  <c r="FU35" i="51"/>
  <c r="AH322" i="51"/>
  <c r="BL35" i="51"/>
  <c r="DN35" i="51"/>
  <c r="CC35" i="51"/>
  <c r="EG322" i="51"/>
  <c r="FY363" i="51"/>
  <c r="GZ174" i="51"/>
  <c r="GZ171" i="51" s="1"/>
  <c r="GZ275" i="51"/>
  <c r="Z165" i="51"/>
  <c r="GJ322" i="51"/>
  <c r="Z231" i="51"/>
  <c r="BU322" i="51"/>
  <c r="AP35" i="51"/>
  <c r="DR363" i="51"/>
  <c r="GP363" i="51"/>
  <c r="CB35" i="51"/>
  <c r="BV35" i="51"/>
  <c r="DE364" i="51"/>
  <c r="GY281" i="51"/>
  <c r="AU363" i="51"/>
  <c r="BU35" i="51"/>
  <c r="CS35" i="51"/>
  <c r="BP364" i="51"/>
  <c r="GZ214" i="51"/>
  <c r="FH363" i="51"/>
  <c r="Z391" i="51"/>
  <c r="GZ308" i="51"/>
  <c r="AT322" i="51"/>
  <c r="BI363" i="51"/>
  <c r="AZ35" i="51"/>
  <c r="CU363" i="51"/>
  <c r="GU36" i="51"/>
  <c r="FA322" i="51"/>
  <c r="GW268" i="51"/>
  <c r="G21" i="56" s="1"/>
  <c r="G20" i="63" s="1"/>
  <c r="GY300" i="51"/>
  <c r="GY268" i="51"/>
  <c r="DH177" i="51"/>
  <c r="GH322" i="51"/>
  <c r="GG35" i="51"/>
  <c r="GC35" i="51"/>
  <c r="GC363" i="51"/>
  <c r="FZ35" i="51"/>
  <c r="FM363" i="51"/>
  <c r="FJ35" i="51"/>
  <c r="FE35" i="51"/>
  <c r="FD363" i="51"/>
  <c r="FC322" i="51"/>
  <c r="FL363" i="51"/>
  <c r="BH35" i="51"/>
  <c r="AV35" i="51"/>
  <c r="CR363" i="51"/>
  <c r="DT322" i="51"/>
  <c r="AT35" i="51"/>
  <c r="BB35" i="51"/>
  <c r="BE35" i="51"/>
  <c r="CN363" i="51"/>
  <c r="DV363" i="51"/>
  <c r="CE95" i="51"/>
  <c r="EH35" i="51"/>
  <c r="EF35" i="51"/>
  <c r="CW35" i="51"/>
  <c r="EG35" i="51"/>
  <c r="EM35" i="51"/>
  <c r="DW35" i="51"/>
  <c r="BB363" i="51"/>
  <c r="AL363" i="51"/>
  <c r="BR363" i="51"/>
  <c r="EE35" i="51"/>
  <c r="Z342" i="51"/>
  <c r="Z84" i="51"/>
  <c r="FQ363" i="51"/>
  <c r="BD363" i="51"/>
  <c r="GU11" i="51"/>
  <c r="GU10" i="51" s="1"/>
  <c r="GW353" i="51"/>
  <c r="G29" i="56" s="1"/>
  <c r="G28" i="63" s="1"/>
  <c r="GR35" i="51"/>
  <c r="FQ322" i="51"/>
  <c r="BF322" i="51"/>
  <c r="AI95" i="51"/>
  <c r="AX95" i="51"/>
  <c r="EH363" i="51"/>
  <c r="GU281" i="51"/>
  <c r="BM233" i="51"/>
  <c r="Z332" i="51"/>
  <c r="BC95" i="51"/>
  <c r="GZ226" i="51"/>
  <c r="Z343" i="51"/>
  <c r="GZ189" i="51"/>
  <c r="Z388" i="51"/>
  <c r="GZ258" i="51"/>
  <c r="GZ257" i="51" s="1"/>
  <c r="CX363" i="51"/>
  <c r="CH363" i="51"/>
  <c r="Z102" i="51"/>
  <c r="AU322" i="51"/>
  <c r="Z176" i="51"/>
  <c r="DR322" i="51"/>
  <c r="CG322" i="51"/>
  <c r="BG35" i="51"/>
  <c r="DF151" i="51"/>
  <c r="AG363" i="51"/>
  <c r="Z71" i="51"/>
  <c r="Z390" i="51"/>
  <c r="GS322" i="51"/>
  <c r="CT35" i="51"/>
  <c r="DG300" i="51"/>
  <c r="FT363" i="51"/>
  <c r="GR322" i="51"/>
  <c r="GQ363" i="51"/>
  <c r="GP35" i="51"/>
  <c r="AD363" i="51"/>
  <c r="EM363" i="51"/>
  <c r="CR35" i="51"/>
  <c r="EZ300" i="51"/>
  <c r="Z153" i="51"/>
  <c r="Z66" i="51"/>
  <c r="GZ271" i="51"/>
  <c r="BP151" i="51"/>
  <c r="EA322" i="51"/>
  <c r="Z203" i="51"/>
  <c r="BN81" i="51"/>
  <c r="Z396" i="51"/>
  <c r="BI95" i="51"/>
  <c r="CS363" i="51"/>
  <c r="DD322" i="51"/>
  <c r="CF322" i="51"/>
  <c r="Z17" i="51"/>
  <c r="DF281" i="51"/>
  <c r="CW322" i="51"/>
  <c r="Z403" i="51"/>
  <c r="GK322" i="51"/>
  <c r="FG363" i="51"/>
  <c r="Z180" i="51"/>
  <c r="DJ35" i="51"/>
  <c r="BX363" i="51"/>
  <c r="ER35" i="51"/>
  <c r="GT322" i="51"/>
  <c r="GA322" i="51"/>
  <c r="FG35" i="51"/>
  <c r="AZ363" i="51"/>
  <c r="DJ322" i="51"/>
  <c r="GX138" i="51"/>
  <c r="I11" i="56" s="1"/>
  <c r="I10" i="63" s="1"/>
  <c r="Z65" i="51"/>
  <c r="BK35" i="51"/>
  <c r="GZ54" i="51"/>
  <c r="DE11" i="51"/>
  <c r="DE10" i="51" s="1"/>
  <c r="Z406" i="51"/>
  <c r="GZ131" i="51"/>
  <c r="BM300" i="51"/>
  <c r="GU339" i="51"/>
  <c r="EZ364" i="51"/>
  <c r="GZ197" i="51"/>
  <c r="Z361" i="51"/>
  <c r="DE217" i="51"/>
  <c r="DE188" i="51" s="1"/>
  <c r="EW268" i="51"/>
  <c r="GX96" i="51"/>
  <c r="I9" i="56" s="1"/>
  <c r="BO353" i="51"/>
  <c r="Z68" i="51"/>
  <c r="Z264" i="51"/>
  <c r="GZ365" i="51"/>
  <c r="CF95" i="51"/>
  <c r="GV383" i="51"/>
  <c r="GF35" i="51"/>
  <c r="GC322" i="51"/>
  <c r="DU363" i="51"/>
  <c r="CT322" i="51"/>
  <c r="EJ322" i="51"/>
  <c r="GV281" i="51"/>
  <c r="E22" i="56" s="1"/>
  <c r="E21" i="63" s="1"/>
  <c r="GV177" i="51"/>
  <c r="E15" i="56" s="1"/>
  <c r="E14" i="63" s="1"/>
  <c r="GV151" i="51"/>
  <c r="E12" i="56" s="1"/>
  <c r="E11" i="63" s="1"/>
  <c r="BN138" i="51"/>
  <c r="BP138" i="51"/>
  <c r="CG363" i="51"/>
  <c r="Z405" i="51"/>
  <c r="Z83" i="51"/>
  <c r="GA35" i="51"/>
  <c r="AI363" i="51"/>
  <c r="CN322" i="51"/>
  <c r="BD35" i="51"/>
  <c r="GZ178" i="51"/>
  <c r="DH353" i="51"/>
  <c r="GZ159" i="51"/>
  <c r="CS95" i="51"/>
  <c r="Z265" i="51"/>
  <c r="Z408" i="51"/>
  <c r="Z386" i="51"/>
  <c r="Z397" i="51"/>
  <c r="Z393" i="51"/>
  <c r="GZ346" i="51"/>
  <c r="DE339" i="51"/>
  <c r="Z392" i="51"/>
  <c r="Z179" i="51"/>
  <c r="DE96" i="51"/>
  <c r="FD322" i="51"/>
  <c r="GX36" i="51"/>
  <c r="I6" i="56" s="1"/>
  <c r="I5" i="63" s="1"/>
  <c r="GV36" i="51"/>
  <c r="E6" i="56" s="1"/>
  <c r="E5" i="63" s="1"/>
  <c r="FV35" i="51"/>
  <c r="EZ11" i="51"/>
  <c r="EZ10" i="51" s="1"/>
  <c r="AR363" i="51"/>
  <c r="AP322" i="51"/>
  <c r="BG95" i="51"/>
  <c r="AT95" i="51"/>
  <c r="AP95" i="51"/>
  <c r="AC95" i="51"/>
  <c r="AH95" i="51"/>
  <c r="CM95" i="51"/>
  <c r="CL95" i="51"/>
  <c r="DZ35" i="51"/>
  <c r="BQ35" i="51"/>
  <c r="DL35" i="51"/>
  <c r="BW35" i="51"/>
  <c r="EX11" i="51"/>
  <c r="EX10" i="51" s="1"/>
  <c r="DG364" i="51"/>
  <c r="FX35" i="51"/>
  <c r="AI322" i="51"/>
  <c r="FI322" i="51"/>
  <c r="GO363" i="51"/>
  <c r="GN363" i="51"/>
  <c r="GW383" i="51"/>
  <c r="G32" i="56" s="1"/>
  <c r="G31" i="63" s="1"/>
  <c r="FL35" i="51"/>
  <c r="AC322" i="51"/>
  <c r="AY95" i="51"/>
  <c r="BH95" i="51"/>
  <c r="BL95" i="51"/>
  <c r="AV95" i="51"/>
  <c r="AD35" i="51"/>
  <c r="CZ363" i="51"/>
  <c r="BT363" i="51"/>
  <c r="AM95" i="51"/>
  <c r="AW35" i="51"/>
  <c r="AG35" i="51"/>
  <c r="DW363" i="51"/>
  <c r="CQ363" i="51"/>
  <c r="CA363" i="51"/>
  <c r="EE363" i="51"/>
  <c r="DT363" i="51"/>
  <c r="CY363" i="51"/>
  <c r="BS363" i="51"/>
  <c r="CP322" i="51"/>
  <c r="DP322" i="51"/>
  <c r="DY322" i="51"/>
  <c r="CL322" i="51"/>
  <c r="CO35" i="51"/>
  <c r="CH95" i="51"/>
  <c r="CX35" i="51"/>
  <c r="CH35" i="51"/>
  <c r="CZ95" i="51"/>
  <c r="CG35" i="51"/>
  <c r="EY151" i="51"/>
  <c r="AN363" i="51"/>
  <c r="DS363" i="51"/>
  <c r="EU363" i="51"/>
  <c r="Z204" i="51"/>
  <c r="FB363" i="51"/>
  <c r="Z407" i="51"/>
  <c r="BM323" i="51"/>
  <c r="GZ211" i="51"/>
  <c r="Z133" i="51"/>
  <c r="BM383" i="51"/>
  <c r="GZ404" i="51"/>
  <c r="DE240" i="51"/>
  <c r="Z394" i="51"/>
  <c r="GK35" i="51"/>
  <c r="DF11" i="51"/>
  <c r="DF10" i="51" s="1"/>
  <c r="DF383" i="51"/>
  <c r="Z395" i="51"/>
  <c r="Z182" i="51"/>
  <c r="DF364" i="51"/>
  <c r="DG339" i="51"/>
  <c r="DE110" i="51"/>
  <c r="DE383" i="51"/>
  <c r="GZ313" i="51"/>
  <c r="GZ312" i="51" s="1"/>
  <c r="FQ35" i="51"/>
  <c r="GM35" i="51"/>
  <c r="GW11" i="51"/>
  <c r="GW10" i="51" s="1"/>
  <c r="F4" i="64" s="1"/>
  <c r="F4" i="65" s="1"/>
  <c r="DA95" i="51"/>
  <c r="CD95" i="51"/>
  <c r="DB35" i="51"/>
  <c r="DE138" i="51"/>
  <c r="EI322" i="51"/>
  <c r="BM353" i="51"/>
  <c r="CS322" i="51"/>
  <c r="AH363" i="51"/>
  <c r="BE95" i="51"/>
  <c r="BA95" i="51"/>
  <c r="CB363" i="51"/>
  <c r="BT322" i="51"/>
  <c r="BR95" i="51"/>
  <c r="BP300" i="51"/>
  <c r="DG177" i="51"/>
  <c r="Z209" i="51"/>
  <c r="EC35" i="51"/>
  <c r="DF300" i="51"/>
  <c r="GZ335" i="51"/>
  <c r="FF35" i="51"/>
  <c r="FC363" i="51"/>
  <c r="GW36" i="51"/>
  <c r="G6" i="56" s="1"/>
  <c r="G5" i="63" s="1"/>
  <c r="GV11" i="51"/>
  <c r="GV10" i="51" s="1"/>
  <c r="D4" i="64" s="1"/>
  <c r="GT35" i="51"/>
  <c r="BD322" i="51"/>
  <c r="AQ95" i="51"/>
  <c r="DG240" i="51"/>
  <c r="BS95" i="51"/>
  <c r="CU95" i="51"/>
  <c r="CI95" i="51"/>
  <c r="DB322" i="51"/>
  <c r="BA322" i="51"/>
  <c r="DU322" i="51"/>
  <c r="BN364" i="51"/>
  <c r="CY95" i="51"/>
  <c r="Z107" i="51"/>
  <c r="AZ322" i="51"/>
  <c r="DC322" i="51"/>
  <c r="CR95" i="51"/>
  <c r="AE95" i="51"/>
  <c r="BA35" i="51"/>
  <c r="AM35" i="51"/>
  <c r="BK363" i="51"/>
  <c r="GZ354" i="51"/>
  <c r="BM36" i="51"/>
  <c r="GZ101" i="51"/>
  <c r="GZ184" i="51"/>
  <c r="BO281" i="51"/>
  <c r="DQ35" i="51"/>
  <c r="EV35" i="51"/>
  <c r="BT35" i="51"/>
  <c r="DH339" i="51"/>
  <c r="DE268" i="51"/>
  <c r="AC35" i="51"/>
  <c r="AL95" i="51"/>
  <c r="GW177" i="51"/>
  <c r="G15" i="56" s="1"/>
  <c r="G14" i="63" s="1"/>
  <c r="CC95" i="51"/>
  <c r="GZ145" i="51"/>
  <c r="EY353" i="51"/>
  <c r="CI363" i="51"/>
  <c r="CX322" i="51"/>
  <c r="BN151" i="51"/>
  <c r="CQ322" i="51"/>
  <c r="CT95" i="51"/>
  <c r="CJ363" i="51"/>
  <c r="CQ95" i="51"/>
  <c r="DE300" i="51"/>
  <c r="BV322" i="51"/>
  <c r="DF96" i="51"/>
  <c r="DA35" i="51"/>
  <c r="AE322" i="51"/>
  <c r="AX35" i="51"/>
  <c r="CV322" i="51"/>
  <c r="GZ360" i="51"/>
  <c r="BM257" i="51"/>
  <c r="Z104" i="51"/>
  <c r="DD35" i="51"/>
  <c r="DH268" i="51"/>
  <c r="BD95" i="51"/>
  <c r="Z222" i="51"/>
  <c r="GZ263" i="51"/>
  <c r="GZ262" i="51" s="1"/>
  <c r="CF35" i="51"/>
  <c r="DG323" i="51"/>
  <c r="BJ322" i="51"/>
  <c r="DF323" i="51"/>
  <c r="AK322" i="51"/>
  <c r="EY11" i="51"/>
  <c r="EY10" i="51" s="1"/>
  <c r="GZ241" i="51"/>
  <c r="GU151" i="51"/>
  <c r="AY322" i="51"/>
  <c r="G30" i="63"/>
  <c r="Z419" i="51"/>
  <c r="EW11" i="51"/>
  <c r="EW10" i="51" s="1"/>
  <c r="BP281" i="51"/>
  <c r="AJ322" i="51"/>
  <c r="BB95" i="51"/>
  <c r="GZ370" i="51"/>
  <c r="AZ95" i="51"/>
  <c r="AU35" i="51"/>
  <c r="I6" i="63"/>
  <c r="GY96" i="51"/>
  <c r="GX281" i="51"/>
  <c r="I22" i="56" s="1"/>
  <c r="Z415" i="51"/>
  <c r="GS35" i="51"/>
  <c r="Z105" i="51"/>
  <c r="CP95" i="51"/>
  <c r="DH110" i="51"/>
  <c r="Z106" i="51"/>
  <c r="AP363" i="51"/>
  <c r="BM151" i="51"/>
  <c r="DF268" i="51"/>
  <c r="DH300" i="51"/>
  <c r="GZ82" i="51"/>
  <c r="BO300" i="51"/>
  <c r="GU268" i="51"/>
  <c r="BO364" i="51"/>
  <c r="DF138" i="51"/>
  <c r="DH151" i="51"/>
  <c r="EV322" i="51"/>
  <c r="EW177" i="51"/>
  <c r="DG11" i="51"/>
  <c r="DG10" i="51" s="1"/>
  <c r="BF95" i="51"/>
  <c r="Z252" i="51"/>
  <c r="CG95" i="51"/>
  <c r="GS363" i="51"/>
  <c r="Z399" i="51"/>
  <c r="GZ192" i="51"/>
  <c r="EZ138" i="51"/>
  <c r="BW322" i="51"/>
  <c r="Z166" i="51"/>
  <c r="GY151" i="51"/>
  <c r="BO268" i="51"/>
  <c r="BM96" i="51"/>
  <c r="GZ285" i="51"/>
  <c r="GZ217" i="51"/>
  <c r="BN177" i="51"/>
  <c r="GZ282" i="51"/>
  <c r="DG81" i="51"/>
  <c r="DG383" i="51"/>
  <c r="GZ233" i="51"/>
  <c r="Z100" i="51"/>
  <c r="CJ95" i="51"/>
  <c r="DF339" i="51"/>
  <c r="DH240" i="51"/>
  <c r="GZ37" i="51"/>
  <c r="GZ58" i="51"/>
  <c r="GX177" i="51"/>
  <c r="I15" i="56" s="1"/>
  <c r="I14" i="63" s="1"/>
  <c r="EZ151" i="51"/>
  <c r="GY353" i="51"/>
  <c r="BV95" i="51"/>
  <c r="BT95" i="51"/>
  <c r="DD95" i="51"/>
  <c r="Z341" i="51"/>
  <c r="GZ19" i="51"/>
  <c r="FG95" i="51"/>
  <c r="GZ69" i="51"/>
  <c r="GZ221" i="51"/>
  <c r="BO138" i="51"/>
  <c r="DG96" i="51"/>
  <c r="AD322" i="51"/>
  <c r="EZ268" i="51"/>
  <c r="EZ81" i="51"/>
  <c r="BW95" i="51"/>
  <c r="EB363" i="51"/>
  <c r="BN323" i="51"/>
  <c r="Z191" i="51"/>
  <c r="Z99" i="51"/>
  <c r="Z345" i="51"/>
  <c r="GZ139" i="51"/>
  <c r="BO151" i="51"/>
  <c r="BN268" i="51"/>
  <c r="DH81" i="51"/>
  <c r="DF36" i="51"/>
  <c r="GW151" i="51"/>
  <c r="G12" i="56" s="1"/>
  <c r="G11" i="63" s="1"/>
  <c r="GW96" i="51"/>
  <c r="G9" i="56" s="1"/>
  <c r="EY300" i="51"/>
  <c r="CA322" i="51"/>
  <c r="ES363" i="51"/>
  <c r="BN240" i="51"/>
  <c r="CW95" i="51"/>
  <c r="Z355" i="51"/>
  <c r="GV300" i="51"/>
  <c r="E24" i="56" s="1"/>
  <c r="E23" i="63" s="1"/>
  <c r="AK363" i="51"/>
  <c r="AM322" i="51"/>
  <c r="Z24" i="51"/>
  <c r="GZ340" i="51"/>
  <c r="Z232" i="51"/>
  <c r="EZ353" i="51"/>
  <c r="EX81" i="51"/>
  <c r="GU240" i="51"/>
  <c r="GY138" i="51"/>
  <c r="BQ95" i="51"/>
  <c r="GZ64" i="51"/>
  <c r="DB95" i="51"/>
  <c r="Z357" i="51"/>
  <c r="Z175" i="51"/>
  <c r="Z21" i="51"/>
  <c r="BO110" i="51"/>
  <c r="BP323" i="51"/>
  <c r="DG138" i="51"/>
  <c r="DE323" i="51"/>
  <c r="EU322" i="51"/>
  <c r="EY240" i="51"/>
  <c r="BN339" i="51"/>
  <c r="GZ324" i="51"/>
  <c r="CV95" i="51"/>
  <c r="GZ229" i="51"/>
  <c r="Z25" i="51"/>
  <c r="Z356" i="51"/>
  <c r="FB322" i="51"/>
  <c r="Z283" i="51"/>
  <c r="Z125" i="51"/>
  <c r="GZ410" i="51"/>
  <c r="BP383" i="51"/>
  <c r="BP110" i="51"/>
  <c r="Z129" i="51"/>
  <c r="DH11" i="51"/>
  <c r="DH10" i="51" s="1"/>
  <c r="GV96" i="51"/>
  <c r="E9" i="56" s="1"/>
  <c r="E8" i="63" s="1"/>
  <c r="EW281" i="51"/>
  <c r="GX268" i="51"/>
  <c r="I21" i="56" s="1"/>
  <c r="I20" i="63" s="1"/>
  <c r="GW138" i="51"/>
  <c r="G11" i="56" s="1"/>
  <c r="G10" i="63" s="1"/>
  <c r="AO363" i="51"/>
  <c r="Z398" i="51"/>
  <c r="Z401" i="51"/>
  <c r="Z181" i="51"/>
  <c r="Z135" i="51"/>
  <c r="DF177" i="51"/>
  <c r="DG36" i="51"/>
  <c r="DG188" i="51"/>
  <c r="DF188" i="51"/>
  <c r="DH188" i="51"/>
  <c r="DH36" i="51"/>
  <c r="GX353" i="51"/>
  <c r="I29" i="56" s="1"/>
  <c r="GV110" i="51"/>
  <c r="E10" i="56" s="1"/>
  <c r="E9" i="63" s="1"/>
  <c r="EW151" i="51"/>
  <c r="Z359" i="51"/>
  <c r="Z402" i="51"/>
  <c r="Z400" i="51"/>
  <c r="DH138" i="51"/>
  <c r="DH323" i="51"/>
  <c r="DH383" i="51"/>
  <c r="Z336" i="51"/>
  <c r="Z338" i="51"/>
  <c r="Z337" i="51"/>
  <c r="Z311" i="51"/>
  <c r="Z309" i="51"/>
  <c r="Z310" i="51"/>
  <c r="EY81" i="51"/>
  <c r="EW353" i="51"/>
  <c r="BM268" i="51"/>
  <c r="GV353" i="51"/>
  <c r="E29" i="56" s="1"/>
  <c r="E28" i="63" s="1"/>
  <c r="GU138" i="51"/>
  <c r="GU177" i="51"/>
  <c r="CK95" i="51"/>
  <c r="EJ363" i="51"/>
  <c r="EW36" i="51"/>
  <c r="BO36" i="51"/>
  <c r="Z31" i="51"/>
  <c r="GZ163" i="51"/>
  <c r="GZ162" i="51" s="1"/>
  <c r="BO96" i="51"/>
  <c r="GZ384" i="51"/>
  <c r="GZ111" i="51"/>
  <c r="GZ49" i="51"/>
  <c r="Z186" i="51"/>
  <c r="GK363" i="51"/>
  <c r="BM177" i="51"/>
  <c r="BM162" i="51"/>
  <c r="GX300" i="51"/>
  <c r="I24" i="56" s="1"/>
  <c r="I23" i="63" s="1"/>
  <c r="AR95" i="51"/>
  <c r="AJ95" i="51"/>
  <c r="DE36" i="51"/>
  <c r="BN110" i="51"/>
  <c r="BN300" i="51"/>
  <c r="BO11" i="51"/>
  <c r="BO10" i="51" s="1"/>
  <c r="GX151" i="51"/>
  <c r="I12" i="56" s="1"/>
  <c r="I11" i="63" s="1"/>
  <c r="Z278" i="51"/>
  <c r="Z185" i="51"/>
  <c r="DG110" i="51"/>
  <c r="AS95" i="51"/>
  <c r="GY188" i="51"/>
  <c r="GZ247" i="51"/>
  <c r="GZ27" i="51"/>
  <c r="BP188" i="51"/>
  <c r="GZ120" i="51"/>
  <c r="GZ42" i="51"/>
  <c r="DF110" i="51"/>
  <c r="Z321" i="51"/>
  <c r="Z276" i="51"/>
  <c r="EX353" i="51"/>
  <c r="EW138" i="51"/>
  <c r="DN322" i="51"/>
  <c r="GV339" i="51"/>
  <c r="E28" i="56" s="1"/>
  <c r="AO95" i="51"/>
  <c r="EW300" i="51"/>
  <c r="GX240" i="51"/>
  <c r="I18" i="56" s="1"/>
  <c r="GY364" i="51"/>
  <c r="DE281" i="51"/>
  <c r="GZ12" i="51"/>
  <c r="Z380" i="51"/>
  <c r="Z378" i="51"/>
  <c r="BM373" i="51"/>
  <c r="Z377" i="51"/>
  <c r="Z379" i="51"/>
  <c r="Z376" i="51"/>
  <c r="Z375" i="51"/>
  <c r="Z194" i="51"/>
  <c r="Z193" i="51"/>
  <c r="Z195" i="51"/>
  <c r="BM138" i="51"/>
  <c r="EY138" i="51"/>
  <c r="BX95" i="51"/>
  <c r="GW281" i="51"/>
  <c r="G22" i="56" s="1"/>
  <c r="FB95" i="51"/>
  <c r="BA363" i="51"/>
  <c r="BO81" i="51"/>
  <c r="Z334" i="51"/>
  <c r="Z333" i="51"/>
  <c r="EZ177" i="51"/>
  <c r="EZ240" i="51"/>
  <c r="GW300" i="51"/>
  <c r="G24" i="56" s="1"/>
  <c r="G23" i="63" s="1"/>
  <c r="AW95" i="51"/>
  <c r="AW363" i="51"/>
  <c r="DO322" i="51"/>
  <c r="GY240" i="51"/>
  <c r="BO323" i="51"/>
  <c r="BY95" i="51"/>
  <c r="GZ205" i="51"/>
  <c r="CO95" i="51"/>
  <c r="EF322" i="51"/>
  <c r="GV268" i="51"/>
  <c r="E21" i="56" s="1"/>
  <c r="E20" i="63" s="1"/>
  <c r="EB322" i="51"/>
  <c r="BN188" i="51"/>
  <c r="CB95" i="51"/>
  <c r="BP268" i="51"/>
  <c r="Z161" i="51"/>
  <c r="Z160" i="51"/>
  <c r="EW110" i="51"/>
  <c r="GF95" i="51"/>
  <c r="Z219" i="51"/>
  <c r="Z220" i="51"/>
  <c r="Z248" i="51"/>
  <c r="Z250" i="51"/>
  <c r="Z249" i="51"/>
  <c r="Z59" i="51"/>
  <c r="Z60" i="51"/>
  <c r="Z62" i="51"/>
  <c r="Z63" i="51"/>
  <c r="Z61" i="51"/>
  <c r="Z28" i="51"/>
  <c r="Z32" i="51"/>
  <c r="Z29" i="51"/>
  <c r="Z34" i="51"/>
  <c r="Z30" i="51"/>
  <c r="BM312" i="51"/>
  <c r="Z315" i="51"/>
  <c r="Z316" i="51"/>
  <c r="Z314" i="51"/>
  <c r="EZ96" i="51"/>
  <c r="EZ281" i="51"/>
  <c r="EN322" i="51"/>
  <c r="EW240" i="51"/>
  <c r="DX363" i="51"/>
  <c r="EV363" i="51"/>
  <c r="Z213" i="51"/>
  <c r="Z212" i="51"/>
  <c r="AG95" i="51"/>
  <c r="Z325" i="51"/>
  <c r="Z328" i="51"/>
  <c r="Z326" i="51"/>
  <c r="Z329" i="51"/>
  <c r="Z327" i="51"/>
  <c r="DE177" i="51"/>
  <c r="Z22" i="51"/>
  <c r="Z20" i="51"/>
  <c r="Z420" i="51"/>
  <c r="Z418" i="51"/>
  <c r="Z416" i="51"/>
  <c r="Z411" i="51"/>
  <c r="Z417" i="51"/>
  <c r="Z412" i="51"/>
  <c r="Z413" i="51"/>
  <c r="BZ95" i="51"/>
  <c r="BU95" i="51"/>
  <c r="GU323" i="51"/>
  <c r="FI95" i="51"/>
  <c r="EY36" i="51"/>
  <c r="Z347" i="51"/>
  <c r="Z348" i="51"/>
  <c r="EX240" i="51"/>
  <c r="BN36" i="51"/>
  <c r="GB95" i="51"/>
  <c r="EX339" i="51"/>
  <c r="GV323" i="51"/>
  <c r="E27" i="56" s="1"/>
  <c r="EX268" i="51"/>
  <c r="EY323" i="51"/>
  <c r="EN363" i="51"/>
  <c r="EY268" i="51"/>
  <c r="EX300" i="51"/>
  <c r="FJ95" i="51"/>
  <c r="EX110" i="51"/>
  <c r="GW240" i="51"/>
  <c r="G18" i="56" s="1"/>
  <c r="G17" i="63" s="1"/>
  <c r="BN96" i="51"/>
  <c r="BO383" i="51"/>
  <c r="BP36" i="51"/>
  <c r="BO177" i="51"/>
  <c r="EX151" i="51"/>
  <c r="GY339" i="51"/>
  <c r="EX188" i="51"/>
  <c r="GX323" i="51"/>
  <c r="I27" i="56" s="1"/>
  <c r="FU95" i="51"/>
  <c r="FX95" i="51"/>
  <c r="GC95" i="51"/>
  <c r="GV240" i="51"/>
  <c r="E18" i="56" s="1"/>
  <c r="E17" i="63" s="1"/>
  <c r="ET322" i="51"/>
  <c r="EW96" i="51"/>
  <c r="DC95" i="51"/>
  <c r="BN11" i="51"/>
  <c r="BN10" i="51" s="1"/>
  <c r="EJ95" i="51"/>
  <c r="EY188" i="51"/>
  <c r="GY81" i="51"/>
  <c r="GX339" i="51"/>
  <c r="I28" i="56" s="1"/>
  <c r="I27" i="63" s="1"/>
  <c r="FN95" i="51"/>
  <c r="GA95" i="51"/>
  <c r="GV138" i="51"/>
  <c r="E11" i="56" s="1"/>
  <c r="E10" i="63" s="1"/>
  <c r="FK95" i="51"/>
  <c r="FP95" i="51"/>
  <c r="FF95" i="51"/>
  <c r="FA95" i="51"/>
  <c r="BP11" i="51"/>
  <c r="BP10" i="51" s="1"/>
  <c r="EZ383" i="51"/>
  <c r="ES322" i="51"/>
  <c r="EX364" i="51"/>
  <c r="BO188" i="51"/>
  <c r="Z286" i="51"/>
  <c r="EV95" i="51"/>
  <c r="EY110" i="51"/>
  <c r="EX36" i="51"/>
  <c r="FS95" i="51"/>
  <c r="GY177" i="51"/>
  <c r="FQ95" i="51"/>
  <c r="GP95" i="51"/>
  <c r="GW188" i="51"/>
  <c r="G16" i="56" s="1"/>
  <c r="G15" i="63" s="1"/>
  <c r="CA95" i="51"/>
  <c r="Z223" i="51"/>
  <c r="Z225" i="51"/>
  <c r="Z273" i="51"/>
  <c r="Z274" i="51"/>
  <c r="Z272" i="51"/>
  <c r="DS322" i="51"/>
  <c r="EX383" i="51"/>
  <c r="GH95" i="51"/>
  <c r="GL95" i="51"/>
  <c r="EB95" i="51"/>
  <c r="EW188" i="51"/>
  <c r="EZ339" i="51"/>
  <c r="E24" i="63"/>
  <c r="K24" i="63" s="1"/>
  <c r="H25" i="56"/>
  <c r="K25" i="56"/>
  <c r="DX322" i="51"/>
  <c r="EX281" i="51"/>
  <c r="EX177" i="51"/>
  <c r="EZ323" i="51"/>
  <c r="EZ188" i="51"/>
  <c r="FM95" i="51"/>
  <c r="EX138" i="51"/>
  <c r="GD95" i="51"/>
  <c r="GU188" i="51"/>
  <c r="GY383" i="51"/>
  <c r="EY364" i="51"/>
  <c r="DI95" i="51"/>
  <c r="Z88" i="51"/>
  <c r="Z94" i="51"/>
  <c r="Z89" i="51"/>
  <c r="BM81" i="51"/>
  <c r="Z87" i="51"/>
  <c r="Z92" i="51"/>
  <c r="Z90" i="51"/>
  <c r="Z91" i="51"/>
  <c r="Z93" i="51"/>
  <c r="J23" i="56"/>
  <c r="L23" i="56"/>
  <c r="I22" i="63"/>
  <c r="L22" i="63" s="1"/>
  <c r="EN95" i="51"/>
  <c r="EZ36" i="51"/>
  <c r="GY36" i="51"/>
  <c r="FT95" i="51"/>
  <c r="DS95" i="51"/>
  <c r="ES95" i="51"/>
  <c r="DN95" i="51"/>
  <c r="EF95" i="51"/>
  <c r="EU95" i="51"/>
  <c r="EZ110" i="51"/>
  <c r="EX96" i="51"/>
  <c r="GX188" i="51"/>
  <c r="I16" i="56" s="1"/>
  <c r="FR95" i="51"/>
  <c r="GE95" i="51"/>
  <c r="FY95" i="51"/>
  <c r="FL95" i="51"/>
  <c r="GJ95" i="51"/>
  <c r="GM95" i="51"/>
  <c r="GR95" i="51"/>
  <c r="GT95" i="51"/>
  <c r="FH95" i="51"/>
  <c r="GK95" i="51"/>
  <c r="GN95" i="51"/>
  <c r="EX323" i="51"/>
  <c r="EF363" i="51"/>
  <c r="J17" i="56"/>
  <c r="I16" i="63"/>
  <c r="K14" i="56"/>
  <c r="G13" i="63"/>
  <c r="K13" i="63" s="1"/>
  <c r="H14" i="56"/>
  <c r="G22" i="63"/>
  <c r="K22" i="63" s="1"/>
  <c r="H23" i="56"/>
  <c r="K23" i="56"/>
  <c r="EQ95" i="51"/>
  <c r="EL95" i="51"/>
  <c r="EG95" i="51"/>
  <c r="EA95" i="51"/>
  <c r="DV95" i="51"/>
  <c r="DQ95" i="51"/>
  <c r="DL95" i="51"/>
  <c r="EP95" i="51"/>
  <c r="EK95" i="51"/>
  <c r="EE95" i="51"/>
  <c r="DZ95" i="51"/>
  <c r="DU95" i="51"/>
  <c r="DP95" i="51"/>
  <c r="DK95" i="51"/>
  <c r="AF95" i="51"/>
  <c r="AN95" i="51"/>
  <c r="Z299" i="51"/>
  <c r="BM294" i="51"/>
  <c r="Z298" i="51"/>
  <c r="Z297" i="51"/>
  <c r="Z296" i="51"/>
  <c r="I19" i="63"/>
  <c r="L19" i="63" s="1"/>
  <c r="L20" i="56"/>
  <c r="EY96" i="51"/>
  <c r="GV188" i="51"/>
  <c r="E16" i="56" s="1"/>
  <c r="E15" i="63" s="1"/>
  <c r="FW95" i="51"/>
  <c r="FV95" i="51"/>
  <c r="GS95" i="51"/>
  <c r="GI95" i="51"/>
  <c r="ET363" i="51"/>
  <c r="EY177" i="51"/>
  <c r="I24" i="63"/>
  <c r="L25" i="56"/>
  <c r="EI95" i="51"/>
  <c r="ED95" i="51"/>
  <c r="DY95" i="51"/>
  <c r="DT95" i="51"/>
  <c r="DO95" i="51"/>
  <c r="Z80" i="51"/>
  <c r="DX95" i="51"/>
  <c r="GY323" i="51"/>
  <c r="GX110" i="51"/>
  <c r="I10" i="56" s="1"/>
  <c r="FO95" i="51"/>
  <c r="GG95" i="51"/>
  <c r="GQ95" i="51"/>
  <c r="FZ95" i="51"/>
  <c r="GO95" i="51"/>
  <c r="EY339" i="51"/>
  <c r="G18" i="63"/>
  <c r="K18" i="63" s="1"/>
  <c r="H19" i="56"/>
  <c r="K19" i="56"/>
  <c r="ER95" i="51"/>
  <c r="EM95" i="51"/>
  <c r="EH95" i="51"/>
  <c r="EC95" i="51"/>
  <c r="DW95" i="51"/>
  <c r="DR95" i="51"/>
  <c r="DM95" i="51"/>
  <c r="ET95" i="51"/>
  <c r="EY383" i="51"/>
  <c r="I13" i="63"/>
  <c r="L14" i="56"/>
  <c r="J14" i="56"/>
  <c r="E16" i="63"/>
  <c r="L17" i="56"/>
  <c r="H17" i="56"/>
  <c r="K17" i="56"/>
  <c r="GW110" i="51"/>
  <c r="G10" i="56" s="1"/>
  <c r="I18" i="63"/>
  <c r="J19" i="56"/>
  <c r="L19" i="56"/>
  <c r="FE95" i="51"/>
  <c r="GU110" i="51"/>
  <c r="Z137" i="51"/>
  <c r="GY110" i="51"/>
  <c r="FC95" i="51"/>
  <c r="Z289" i="51"/>
  <c r="I12" i="63"/>
  <c r="J13" i="56"/>
  <c r="K20" i="56"/>
  <c r="J20" i="56"/>
  <c r="H20" i="56"/>
  <c r="G19" i="63"/>
  <c r="E6" i="63"/>
  <c r="E30" i="63"/>
  <c r="L7" i="56"/>
  <c r="Z349" i="51" l="1"/>
  <c r="BM11" i="51"/>
  <c r="BM10" i="51" s="1"/>
  <c r="BM240" i="51"/>
  <c r="BM281" i="51"/>
  <c r="Z18" i="51"/>
  <c r="Z15" i="51"/>
  <c r="EW323" i="51"/>
  <c r="GU96" i="51"/>
  <c r="GU95" i="51" s="1"/>
  <c r="Z215" i="51"/>
  <c r="BM188" i="51"/>
  <c r="Z198" i="51"/>
  <c r="GU363" i="51"/>
  <c r="Z199" i="51"/>
  <c r="BM364" i="51"/>
  <c r="BM363" i="51" s="1"/>
  <c r="Z369" i="51"/>
  <c r="Z367" i="51"/>
  <c r="Z368" i="51"/>
  <c r="J7" i="56"/>
  <c r="H13" i="56"/>
  <c r="E12" i="66"/>
  <c r="E32" i="56"/>
  <c r="E31" i="63" s="1"/>
  <c r="K31" i="63" s="1"/>
  <c r="L13" i="56"/>
  <c r="H7" i="56"/>
  <c r="K13" i="56"/>
  <c r="K6" i="63"/>
  <c r="EW35" i="51"/>
  <c r="K7" i="56"/>
  <c r="L30" i="56"/>
  <c r="K29" i="63"/>
  <c r="L29" i="63"/>
  <c r="FO421" i="51"/>
  <c r="I30" i="63"/>
  <c r="L30" i="63" s="1"/>
  <c r="K7" i="63"/>
  <c r="J30" i="56"/>
  <c r="H30" i="56"/>
  <c r="K30" i="56"/>
  <c r="BP35" i="51"/>
  <c r="BP322" i="51"/>
  <c r="FU421" i="51"/>
  <c r="GD421" i="51"/>
  <c r="K8" i="56"/>
  <c r="H8" i="56"/>
  <c r="GX10" i="51"/>
  <c r="H4" i="64" s="1"/>
  <c r="K4" i="64" s="1"/>
  <c r="J8" i="56"/>
  <c r="GI421" i="51"/>
  <c r="EW363" i="51"/>
  <c r="L8" i="56"/>
  <c r="DI421" i="51"/>
  <c r="GZ151" i="51"/>
  <c r="GE421" i="51"/>
  <c r="FW421" i="51"/>
  <c r="L24" i="63"/>
  <c r="BY421" i="51"/>
  <c r="GL421" i="51"/>
  <c r="FY421" i="51"/>
  <c r="AS421" i="51"/>
  <c r="AL421" i="51"/>
  <c r="GW322" i="51"/>
  <c r="F7" i="64" s="1"/>
  <c r="F7" i="65" s="1"/>
  <c r="J29" i="56"/>
  <c r="CD421" i="51"/>
  <c r="CM421" i="51"/>
  <c r="GX363" i="51"/>
  <c r="H8" i="64" s="1"/>
  <c r="H8" i="65" s="1"/>
  <c r="DE35" i="51"/>
  <c r="AQ421" i="51"/>
  <c r="FN421" i="51"/>
  <c r="CE421" i="51"/>
  <c r="CW421" i="51"/>
  <c r="GZ81" i="51"/>
  <c r="AT421" i="51"/>
  <c r="K28" i="56"/>
  <c r="DE322" i="51"/>
  <c r="GZ364" i="51"/>
  <c r="DG322" i="51"/>
  <c r="GB421" i="51"/>
  <c r="K22" i="56"/>
  <c r="AM421" i="51"/>
  <c r="GZ96" i="51"/>
  <c r="CI421" i="51"/>
  <c r="AC421" i="51"/>
  <c r="FS421" i="51"/>
  <c r="GQ421" i="51"/>
  <c r="BF421" i="51"/>
  <c r="GO421" i="51"/>
  <c r="BN35" i="51"/>
  <c r="BN363" i="51"/>
  <c r="L22" i="56"/>
  <c r="BK421" i="51"/>
  <c r="CY421" i="51"/>
  <c r="J10" i="56"/>
  <c r="BZ421" i="51"/>
  <c r="K6" i="56"/>
  <c r="K15" i="56"/>
  <c r="I21" i="63"/>
  <c r="L21" i="63" s="1"/>
  <c r="L7" i="63"/>
  <c r="FZ421" i="51"/>
  <c r="AF421" i="51"/>
  <c r="CX421" i="51"/>
  <c r="CC421" i="51"/>
  <c r="BL421" i="51"/>
  <c r="BC421" i="51"/>
  <c r="CN421" i="51"/>
  <c r="GU35" i="51"/>
  <c r="GZ268" i="51"/>
  <c r="FP421" i="51"/>
  <c r="CO421" i="51"/>
  <c r="CL421" i="51"/>
  <c r="FH421" i="51"/>
  <c r="FK421" i="51"/>
  <c r="CK421" i="51"/>
  <c r="FA421" i="51"/>
  <c r="BU421" i="51"/>
  <c r="FG421" i="51"/>
  <c r="BJ421" i="51"/>
  <c r="GC421" i="51"/>
  <c r="DH363" i="51"/>
  <c r="FR421" i="51"/>
  <c r="FJ421" i="51"/>
  <c r="GF421" i="51"/>
  <c r="CQ421" i="51"/>
  <c r="DB421" i="51"/>
  <c r="AJ421" i="51"/>
  <c r="AE421" i="51"/>
  <c r="FF421" i="51"/>
  <c r="DA421" i="51"/>
  <c r="BH421" i="51"/>
  <c r="GA421" i="51"/>
  <c r="BI421" i="51"/>
  <c r="K28" i="63"/>
  <c r="AV421" i="51"/>
  <c r="BQ421" i="51"/>
  <c r="DD421" i="51"/>
  <c r="E5" i="56"/>
  <c r="E4" i="63" s="1"/>
  <c r="L4" i="63" s="1"/>
  <c r="AN421" i="51"/>
  <c r="EL421" i="51"/>
  <c r="GK421" i="51"/>
  <c r="GM421" i="51"/>
  <c r="CJ421" i="51"/>
  <c r="EY322" i="51"/>
  <c r="GG421" i="51"/>
  <c r="GT421" i="51"/>
  <c r="GH421" i="51"/>
  <c r="AG421" i="51"/>
  <c r="BP363" i="51"/>
  <c r="GZ300" i="51"/>
  <c r="AU421" i="51"/>
  <c r="CU421" i="51"/>
  <c r="BR421" i="51"/>
  <c r="BE421" i="51"/>
  <c r="DE363" i="51"/>
  <c r="BG421" i="51"/>
  <c r="I28" i="63"/>
  <c r="L28" i="63" s="1"/>
  <c r="J18" i="56"/>
  <c r="K18" i="56"/>
  <c r="J32" i="56"/>
  <c r="AK421" i="51"/>
  <c r="AX421" i="51"/>
  <c r="GV363" i="51"/>
  <c r="D8" i="64" s="1"/>
  <c r="CR421" i="51"/>
  <c r="L5" i="63"/>
  <c r="J21" i="56"/>
  <c r="GJ421" i="51"/>
  <c r="FM421" i="51"/>
  <c r="GP421" i="51"/>
  <c r="GV35" i="51"/>
  <c r="D5" i="64" s="1"/>
  <c r="D5" i="65" s="1"/>
  <c r="BO363" i="51"/>
  <c r="GU322" i="51"/>
  <c r="GW363" i="51"/>
  <c r="F8" i="64" s="1"/>
  <c r="F8" i="65" s="1"/>
  <c r="GZ110" i="51"/>
  <c r="CF421" i="51"/>
  <c r="EV421" i="51"/>
  <c r="GY95" i="51"/>
  <c r="GX35" i="51"/>
  <c r="H5" i="64" s="1"/>
  <c r="H5" i="65" s="1"/>
  <c r="AR421" i="51"/>
  <c r="DH35" i="51"/>
  <c r="CV421" i="51"/>
  <c r="CG421" i="51"/>
  <c r="BV421" i="51"/>
  <c r="K5" i="63"/>
  <c r="FD421" i="51"/>
  <c r="K29" i="56"/>
  <c r="FX421" i="51"/>
  <c r="BO322" i="51"/>
  <c r="BB421" i="51"/>
  <c r="AY421" i="51"/>
  <c r="CH421" i="51"/>
  <c r="EZ363" i="51"/>
  <c r="CS421" i="51"/>
  <c r="FQ421" i="51"/>
  <c r="L18" i="56"/>
  <c r="EB421" i="51"/>
  <c r="AP421" i="51"/>
  <c r="CP421" i="51"/>
  <c r="CZ421" i="51"/>
  <c r="GZ177" i="51"/>
  <c r="J11" i="56"/>
  <c r="DJ421" i="51"/>
  <c r="I17" i="63"/>
  <c r="L17" i="63" s="1"/>
  <c r="FT421" i="51"/>
  <c r="DC421" i="51"/>
  <c r="FI421" i="51"/>
  <c r="GZ339" i="51"/>
  <c r="CT421" i="51"/>
  <c r="L6" i="56"/>
  <c r="K21" i="56"/>
  <c r="L10" i="56"/>
  <c r="DZ421" i="51"/>
  <c r="GN421" i="51"/>
  <c r="GR421" i="51"/>
  <c r="GW35" i="51"/>
  <c r="F5" i="64" s="1"/>
  <c r="F5" i="65" s="1"/>
  <c r="CB421" i="51"/>
  <c r="BX421" i="51"/>
  <c r="H6" i="56"/>
  <c r="DH322" i="51"/>
  <c r="K12" i="56"/>
  <c r="BW421" i="51"/>
  <c r="AD421" i="51"/>
  <c r="BS421" i="51"/>
  <c r="DV421" i="51"/>
  <c r="GZ138" i="51"/>
  <c r="EO421" i="51"/>
  <c r="DN421" i="51"/>
  <c r="AZ421" i="51"/>
  <c r="BD421" i="51"/>
  <c r="EN421" i="51"/>
  <c r="DF363" i="51"/>
  <c r="BM322" i="51"/>
  <c r="AH421" i="51"/>
  <c r="AI421" i="51"/>
  <c r="EJ421" i="51"/>
  <c r="J4" i="64"/>
  <c r="BA421" i="51"/>
  <c r="J15" i="56"/>
  <c r="DG363" i="51"/>
  <c r="GZ353" i="51"/>
  <c r="BT421" i="51"/>
  <c r="L29" i="56"/>
  <c r="L12" i="56"/>
  <c r="J28" i="56"/>
  <c r="GS421" i="51"/>
  <c r="FL421" i="51"/>
  <c r="FB421" i="51"/>
  <c r="J6" i="56"/>
  <c r="G5" i="56"/>
  <c r="G33" i="56" s="1"/>
  <c r="K31" i="56"/>
  <c r="H15" i="56"/>
  <c r="GX322" i="51"/>
  <c r="H7" i="64" s="1"/>
  <c r="BM35" i="51"/>
  <c r="GZ323" i="51"/>
  <c r="GZ383" i="51"/>
  <c r="ES421" i="51"/>
  <c r="BN322" i="51"/>
  <c r="EZ35" i="51"/>
  <c r="DF322" i="51"/>
  <c r="I9" i="63"/>
  <c r="L9" i="63" s="1"/>
  <c r="EX35" i="51"/>
  <c r="H24" i="56"/>
  <c r="H12" i="56"/>
  <c r="J24" i="56"/>
  <c r="G4" i="64"/>
  <c r="DG95" i="51"/>
  <c r="H31" i="56"/>
  <c r="GV322" i="51"/>
  <c r="D7" i="64" s="1"/>
  <c r="L24" i="56"/>
  <c r="L15" i="56"/>
  <c r="J12" i="56"/>
  <c r="D4" i="65"/>
  <c r="GZ240" i="51"/>
  <c r="DG35" i="51"/>
  <c r="DF35" i="51"/>
  <c r="DL421" i="51"/>
  <c r="J16" i="56"/>
  <c r="EZ322" i="51"/>
  <c r="GZ281" i="51"/>
  <c r="DK421" i="51"/>
  <c r="AO421" i="51"/>
  <c r="EU421" i="51"/>
  <c r="H29" i="56"/>
  <c r="DH95" i="51"/>
  <c r="H21" i="56"/>
  <c r="H18" i="56"/>
  <c r="GZ11" i="51"/>
  <c r="GZ10" i="51" s="1"/>
  <c r="L21" i="56"/>
  <c r="K24" i="56"/>
  <c r="GZ36" i="51"/>
  <c r="GX95" i="51"/>
  <c r="G21" i="63"/>
  <c r="K21" i="63" s="1"/>
  <c r="CA421" i="51"/>
  <c r="DF95" i="51"/>
  <c r="GY35" i="51"/>
  <c r="EY35" i="51"/>
  <c r="GZ188" i="51"/>
  <c r="BP95" i="51"/>
  <c r="BO35" i="51"/>
  <c r="H11" i="56"/>
  <c r="L28" i="56"/>
  <c r="L11" i="56"/>
  <c r="I15" i="63"/>
  <c r="L15" i="63" s="1"/>
  <c r="DX421" i="51"/>
  <c r="EF421" i="51"/>
  <c r="EW95" i="51"/>
  <c r="E27" i="63"/>
  <c r="K27" i="63" s="1"/>
  <c r="H22" i="56"/>
  <c r="EW322" i="51"/>
  <c r="H28" i="56"/>
  <c r="J22" i="56"/>
  <c r="K11" i="56"/>
  <c r="GY363" i="51"/>
  <c r="AW421" i="51"/>
  <c r="EX322" i="51"/>
  <c r="BN95" i="51"/>
  <c r="DE95" i="51"/>
  <c r="BO95" i="51"/>
  <c r="K16" i="56"/>
  <c r="GY322" i="51"/>
  <c r="EZ95" i="51"/>
  <c r="DS421" i="51"/>
  <c r="EX95" i="51"/>
  <c r="FV421" i="51"/>
  <c r="EX363" i="51"/>
  <c r="GW95" i="51"/>
  <c r="GV95" i="51"/>
  <c r="L16" i="56"/>
  <c r="EY95" i="51"/>
  <c r="DQ421" i="51"/>
  <c r="H16" i="56"/>
  <c r="EY363" i="51"/>
  <c r="EC421" i="51"/>
  <c r="ED421" i="51"/>
  <c r="DM421" i="51"/>
  <c r="EH421" i="51"/>
  <c r="EI421" i="51"/>
  <c r="EE421" i="51"/>
  <c r="EQ421" i="51"/>
  <c r="DR421" i="51"/>
  <c r="EM421" i="51"/>
  <c r="DT421" i="51"/>
  <c r="DP421" i="51"/>
  <c r="EK421" i="51"/>
  <c r="EA421" i="51"/>
  <c r="DW421" i="51"/>
  <c r="ER421" i="51"/>
  <c r="DY421" i="51"/>
  <c r="DO421" i="51"/>
  <c r="DU421" i="51"/>
  <c r="EP421" i="51"/>
  <c r="EG421" i="51"/>
  <c r="H9" i="56"/>
  <c r="G8" i="63"/>
  <c r="K9" i="56"/>
  <c r="K20" i="63"/>
  <c r="L20" i="63"/>
  <c r="K23" i="63"/>
  <c r="L23" i="63"/>
  <c r="L16" i="63"/>
  <c r="K16" i="63"/>
  <c r="K14" i="63"/>
  <c r="L14" i="63"/>
  <c r="L12" i="63"/>
  <c r="FC421" i="51"/>
  <c r="L11" i="63"/>
  <c r="K10" i="63"/>
  <c r="K12" i="63"/>
  <c r="L27" i="56"/>
  <c r="J27" i="56"/>
  <c r="I26" i="63"/>
  <c r="L10" i="63"/>
  <c r="K30" i="63"/>
  <c r="K19" i="63"/>
  <c r="J9" i="56"/>
  <c r="L9" i="56"/>
  <c r="I8" i="63"/>
  <c r="L6" i="63"/>
  <c r="K17" i="63"/>
  <c r="FE421" i="51"/>
  <c r="K10" i="56"/>
  <c r="G9" i="63"/>
  <c r="H10" i="56"/>
  <c r="ET421" i="51"/>
  <c r="H27" i="56"/>
  <c r="K27" i="56"/>
  <c r="E26" i="63"/>
  <c r="K15" i="63"/>
  <c r="L18" i="63"/>
  <c r="L13" i="63"/>
  <c r="K11" i="63"/>
  <c r="BM95" i="51" l="1"/>
  <c r="L32" i="56"/>
  <c r="H32" i="56"/>
  <c r="K32" i="56"/>
  <c r="L31" i="63"/>
  <c r="L31" i="56"/>
  <c r="J31" i="56"/>
  <c r="I33" i="56"/>
  <c r="D6" i="64"/>
  <c r="D6" i="65" s="1"/>
  <c r="I4" i="64"/>
  <c r="H4" i="65"/>
  <c r="I4" i="65" s="1"/>
  <c r="I8" i="65"/>
  <c r="G7" i="64"/>
  <c r="K8" i="64"/>
  <c r="GZ363" i="51"/>
  <c r="GZ35" i="51"/>
  <c r="GZ322" i="51"/>
  <c r="L5" i="56"/>
  <c r="L27" i="63"/>
  <c r="J8" i="64"/>
  <c r="D8" i="65"/>
  <c r="K8" i="65" s="1"/>
  <c r="DE421" i="51"/>
  <c r="K5" i="64"/>
  <c r="I5" i="65"/>
  <c r="E33" i="56"/>
  <c r="G8" i="64"/>
  <c r="I8" i="64"/>
  <c r="BP421" i="51"/>
  <c r="GX421" i="51"/>
  <c r="DH421" i="51"/>
  <c r="H6" i="64"/>
  <c r="H6" i="65" s="1"/>
  <c r="D7" i="65"/>
  <c r="G7" i="65" s="1"/>
  <c r="J5" i="64"/>
  <c r="GU421" i="51"/>
  <c r="J7" i="64"/>
  <c r="I5" i="64"/>
  <c r="GW421" i="51"/>
  <c r="BM421" i="51"/>
  <c r="G5" i="64"/>
  <c r="G4" i="63"/>
  <c r="K4" i="63" s="1"/>
  <c r="H5" i="56"/>
  <c r="J5" i="56"/>
  <c r="K5" i="56"/>
  <c r="GZ95" i="51"/>
  <c r="BN421" i="51"/>
  <c r="DG421" i="51"/>
  <c r="J4" i="65"/>
  <c r="G4" i="65"/>
  <c r="DF421" i="51"/>
  <c r="GV421" i="51"/>
  <c r="GY421" i="51"/>
  <c r="BO421" i="51"/>
  <c r="EW421" i="51"/>
  <c r="F6" i="64"/>
  <c r="F6" i="65" s="1"/>
  <c r="EZ421" i="51"/>
  <c r="EX421" i="51"/>
  <c r="EY421" i="51"/>
  <c r="K9" i="63"/>
  <c r="L8" i="63"/>
  <c r="I32" i="63"/>
  <c r="G5" i="65"/>
  <c r="J5" i="65"/>
  <c r="K5" i="65"/>
  <c r="L26" i="63"/>
  <c r="K26" i="63"/>
  <c r="K7" i="64"/>
  <c r="I7" i="64"/>
  <c r="H7" i="65"/>
  <c r="E32" i="63"/>
  <c r="K8" i="63"/>
  <c r="G35" i="56" l="1"/>
  <c r="G36" i="56" s="1"/>
  <c r="I35" i="56"/>
  <c r="I36" i="56" s="1"/>
  <c r="E35" i="56"/>
  <c r="E36" i="56" s="1"/>
  <c r="D9" i="64"/>
  <c r="L33" i="56"/>
  <c r="K33" i="56"/>
  <c r="K4" i="65"/>
  <c r="GZ421" i="51"/>
  <c r="G8" i="65"/>
  <c r="H9" i="64"/>
  <c r="J8" i="65"/>
  <c r="K6" i="64"/>
  <c r="G32" i="63"/>
  <c r="J8" i="63" s="1"/>
  <c r="D9" i="65"/>
  <c r="J7" i="65"/>
  <c r="F9" i="64"/>
  <c r="G6" i="64"/>
  <c r="I6" i="64"/>
  <c r="J6" i="64"/>
  <c r="F18" i="63"/>
  <c r="H14" i="63"/>
  <c r="H23" i="63"/>
  <c r="F22" i="63"/>
  <c r="H25" i="63"/>
  <c r="H12" i="63"/>
  <c r="H16" i="63"/>
  <c r="H13" i="63"/>
  <c r="H4" i="63"/>
  <c r="F4" i="63"/>
  <c r="F19" i="63"/>
  <c r="H5" i="63"/>
  <c r="H18" i="63"/>
  <c r="H24" i="63"/>
  <c r="H30" i="63"/>
  <c r="F25" i="63"/>
  <c r="F29" i="63"/>
  <c r="H7" i="63"/>
  <c r="H26" i="63"/>
  <c r="F5" i="63"/>
  <c r="F13" i="63"/>
  <c r="H22" i="63"/>
  <c r="F28" i="63"/>
  <c r="F24" i="63"/>
  <c r="F20" i="63"/>
  <c r="H31" i="63"/>
  <c r="H28" i="63"/>
  <c r="H6" i="63"/>
  <c r="F15" i="63"/>
  <c r="F31" i="63"/>
  <c r="F21" i="63"/>
  <c r="F17" i="63"/>
  <c r="F9" i="63"/>
  <c r="F7" i="63"/>
  <c r="H29" i="63"/>
  <c r="H27" i="63"/>
  <c r="F10" i="63"/>
  <c r="F23" i="63"/>
  <c r="F6" i="63"/>
  <c r="F27" i="63"/>
  <c r="H20" i="63"/>
  <c r="H10" i="63"/>
  <c r="H21" i="63"/>
  <c r="F30" i="63"/>
  <c r="F16" i="63"/>
  <c r="F11" i="63"/>
  <c r="F12" i="63"/>
  <c r="H11" i="63"/>
  <c r="H19" i="63"/>
  <c r="H17" i="63"/>
  <c r="H15" i="63"/>
  <c r="F14" i="63"/>
  <c r="F8" i="63"/>
  <c r="G6" i="65"/>
  <c r="J6" i="65"/>
  <c r="F9" i="65"/>
  <c r="H8" i="63"/>
  <c r="L32" i="63"/>
  <c r="K6" i="65"/>
  <c r="I6" i="65"/>
  <c r="H9" i="65"/>
  <c r="K7" i="65"/>
  <c r="I7" i="65"/>
  <c r="F26" i="63"/>
  <c r="H9" i="63"/>
  <c r="K9" i="64" l="1"/>
  <c r="I9" i="64"/>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9" i="64"/>
  <c r="J9" i="64"/>
  <c r="J9" i="65"/>
  <c r="G9" i="65"/>
  <c r="F32" i="63"/>
  <c r="H32" i="63"/>
  <c r="I9" i="65"/>
  <c r="K9" i="65"/>
  <c r="J32" i="63" l="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<sst xmlns="http://schemas.openxmlformats.org/spreadsheetml/2006/main" count="2413" uniqueCount="998">
  <si>
    <t xml:space="preserve">Código </t>
  </si>
  <si>
    <t>F-PLA-05</t>
  </si>
  <si>
    <t xml:space="preserve">Version: </t>
  </si>
  <si>
    <t xml:space="preserve">Fecha: </t>
  </si>
  <si>
    <t>Octubre 1 de 2016</t>
  </si>
  <si>
    <t>Página</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</si>
  <si>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</si>
  <si>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</si>
  <si>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</si>
  <si>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</si>
  <si>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</si>
  <si>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</si>
  <si>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</si>
  <si>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</si>
  <si>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</si>
  <si>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</si>
  <si>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</si>
  <si>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</si>
  <si>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</si>
  <si>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</si>
  <si>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</si>
  <si>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</si>
  <si>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</si>
  <si>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</si>
  <si>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</si>
  <si>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</si>
  <si>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</si>
  <si>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</si>
  <si>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</si>
  <si>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</si>
  <si>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</si>
  <si>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</si>
  <si>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</si>
  <si>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</si>
  <si>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</si>
  <si>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</si>
  <si>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</si>
  <si>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</si>
  <si>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</si>
  <si>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</si>
  <si>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</si>
  <si>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</si>
  <si>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</si>
  <si>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</si>
  <si>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</si>
  <si>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</si>
  <si>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</si>
  <si>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</si>
  <si>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</si>
  <si>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</si>
  <si>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</si>
  <si>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</si>
  <si>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</si>
  <si>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</si>
  <si>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</si>
  <si>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</si>
  <si>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</si>
  <si>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</si>
  <si>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</si>
  <si>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</si>
  <si>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</si>
  <si>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</si>
  <si>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</si>
  <si>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</si>
  <si>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</si>
  <si>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</si>
  <si>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</si>
  <si>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</si>
  <si>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</si>
  <si>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</si>
  <si>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</si>
  <si>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</si>
  <si>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</si>
  <si>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</si>
  <si>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</si>
  <si>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</si>
  <si>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</si>
  <si>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</si>
  <si>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</si>
  <si>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</si>
  <si>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</si>
  <si>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</si>
  <si>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</si>
  <si>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</si>
  <si>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</si>
  <si>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</si>
  <si>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</si>
  <si>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</si>
  <si>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</si>
  <si>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</si>
  <si>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</si>
  <si>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</si>
  <si>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</si>
  <si>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</si>
  <si>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</si>
  <si>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</si>
  <si>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</si>
  <si>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</si>
  <si>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</si>
  <si>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</si>
  <si>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</si>
  <si>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</si>
  <si>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</si>
  <si>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</si>
  <si>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</si>
  <si>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</si>
  <si>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</si>
  <si>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</si>
  <si>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</si>
  <si>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</si>
  <si>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</si>
  <si>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</si>
  <si>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</si>
  <si>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</si>
  <si>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</si>
  <si>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</si>
  <si>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</si>
  <si>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</si>
  <si>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</si>
  <si>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</si>
  <si>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</si>
  <si>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</si>
  <si>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</si>
  <si>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</si>
  <si>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</si>
  <si>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</si>
  <si>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</si>
  <si>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</si>
  <si>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</si>
  <si>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</si>
  <si>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</si>
  <si>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</si>
  <si>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</si>
  <si>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</si>
  <si>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</si>
  <si>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</si>
  <si>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</si>
  <si>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</si>
  <si>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</si>
  <si>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</si>
  <si>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</si>
  <si>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</si>
  <si>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</si>
  <si>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</si>
  <si>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</si>
  <si>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</si>
  <si>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</si>
  <si>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</si>
  <si>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</si>
  <si>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</si>
  <si>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</si>
  <si>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</si>
  <si>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</si>
  <si>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</si>
  <si>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</si>
  <si>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</si>
  <si>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</si>
  <si>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</si>
  <si>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</si>
  <si>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</si>
  <si>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</si>
  <si>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</si>
  <si>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</si>
  <si>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</si>
  <si>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</si>
  <si>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</si>
  <si>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</si>
  <si>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</si>
  <si>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</si>
  <si>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</si>
  <si>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</si>
  <si>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</si>
  <si>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</si>
  <si>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</si>
  <si>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</si>
  <si>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</si>
  <si>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</si>
  <si>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</si>
  <si>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</si>
  <si>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</si>
  <si>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</si>
  <si>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</si>
  <si>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</si>
  <si>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</si>
  <si>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</si>
  <si>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</si>
  <si>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</si>
  <si>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</si>
  <si>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</si>
  <si>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</si>
  <si>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</si>
  <si>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</si>
  <si>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</si>
  <si>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</si>
  <si>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</si>
  <si>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</si>
  <si>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</si>
  <si>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</si>
  <si>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</si>
  <si>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</si>
  <si>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</si>
  <si>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</si>
  <si>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</si>
  <si>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</si>
  <si>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</si>
  <si>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</si>
  <si>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</si>
  <si>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</si>
  <si>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</si>
  <si>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</si>
  <si>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</si>
  <si>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</si>
  <si>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</si>
  <si>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</si>
  <si>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</si>
  <si>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</si>
  <si>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</si>
  <si>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</si>
  <si>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</si>
  <si>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</si>
  <si>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</si>
  <si>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</si>
  <si>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</si>
  <si>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</si>
  <si>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</si>
  <si>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</si>
  <si>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</si>
  <si>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</si>
  <si>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</si>
  <si>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</si>
  <si>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</si>
  <si>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</si>
  <si>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</si>
  <si>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</si>
  <si>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</si>
  <si>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</si>
  <si>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</si>
  <si>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</si>
  <si>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</si>
  <si>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</si>
  <si>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</si>
  <si>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</si>
  <si>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</si>
  <si>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</si>
  <si>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</si>
  <si>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</si>
  <si>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</si>
  <si>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</si>
  <si>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</si>
  <si>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</si>
  <si>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</si>
  <si>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</si>
  <si>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</si>
  <si>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</si>
  <si>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</si>
  <si>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</si>
  <si>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</si>
  <si>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</si>
  <si>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</si>
  <si>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</si>
  <si>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</si>
  <si>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</si>
  <si>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</si>
  <si>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</si>
  <si>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</si>
  <si>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</si>
  <si>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</si>
  <si>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</si>
  <si>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</si>
  <si>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</si>
  <si>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</si>
  <si>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</si>
  <si>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</si>
  <si>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</si>
  <si>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</si>
  <si>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</si>
  <si>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</si>
  <si>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</si>
  <si>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</si>
  <si>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</si>
  <si>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</si>
  <si>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</si>
  <si>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</si>
  <si>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</si>
  <si>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</si>
  <si>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</si>
  <si>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</si>
  <si>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</si>
  <si>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</si>
  <si>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</si>
  <si>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</si>
  <si>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</si>
  <si>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</si>
  <si>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</si>
  <si>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</si>
  <si>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</si>
  <si>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</si>
  <si>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</si>
  <si>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</si>
  <si>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</si>
  <si>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</si>
  <si>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</si>
  <si>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</si>
  <si>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</si>
  <si>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</si>
  <si>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</si>
  <si>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</si>
  <si>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</si>
  <si>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</si>
  <si>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</si>
  <si>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</si>
  <si>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</si>
  <si>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</si>
  <si>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</si>
  <si>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</si>
  <si>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</si>
  <si>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</si>
  <si>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</si>
  <si>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</si>
  <si>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</si>
  <si>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</si>
  <si>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</si>
  <si>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</si>
  <si>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</si>
  <si>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</si>
  <si>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</si>
  <si>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</si>
  <si>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</si>
  <si>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</si>
  <si>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</si>
  <si>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</si>
  <si>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</si>
  <si>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</si>
  <si>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</si>
  <si>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</si>
  <si>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</si>
  <si>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</si>
  <si>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</si>
  <si>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</si>
  <si>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</si>
  <si>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</si>
  <si>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</si>
  <si>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</si>
  <si>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</si>
  <si>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</si>
  <si>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</si>
  <si>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</si>
  <si>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</si>
  <si>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</si>
  <si>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</si>
  <si>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</si>
  <si>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</si>
  <si>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</si>
  <si>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</si>
  <si>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</si>
  <si>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</si>
  <si>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</si>
  <si>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</si>
  <si>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</si>
  <si>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</si>
  <si>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</si>
  <si>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</si>
  <si>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</si>
  <si>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</si>
  <si>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</si>
  <si>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</si>
  <si>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</si>
  <si>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</si>
  <si>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</si>
  <si>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</si>
  <si>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</si>
  <si>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</si>
  <si>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</si>
  <si>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</si>
  <si>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</si>
  <si>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</si>
  <si>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</si>
  <si>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</si>
  <si>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</si>
  <si>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</si>
  <si>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</si>
  <si>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</si>
  <si>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</si>
  <si>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</si>
  <si>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</si>
  <si>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</si>
  <si>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</si>
  <si>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</si>
  <si>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</si>
  <si>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</si>
  <si>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</si>
  <si>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</si>
  <si>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</si>
  <si>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</si>
  <si>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</si>
  <si>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</si>
  <si>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</si>
  <si>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</si>
  <si>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</si>
  <si>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</si>
  <si>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</si>
  <si>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</si>
  <si>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</si>
  <si>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</si>
  <si>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</si>
  <si>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</si>
  <si>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</si>
  <si>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</si>
  <si>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</si>
  <si>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</si>
  <si>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</si>
  <si>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</si>
  <si>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</si>
  <si>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</si>
  <si>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</si>
  <si>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</si>
  <si>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</si>
  <si>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</si>
  <si>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</si>
  <si>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</si>
  <si>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</si>
  <si>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</si>
  <si>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</si>
  <si>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</si>
  <si>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</si>
  <si>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</si>
  <si>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</si>
  <si>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</si>
  <si>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</si>
  <si>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</si>
  <si>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</si>
  <si>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</si>
  <si>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</si>
  <si>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</si>
  <si>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</si>
  <si>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</si>
  <si>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</si>
  <si>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</si>
  <si>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</si>
  <si>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</si>
  <si>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</si>
  <si>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</si>
  <si>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</si>
  <si>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</si>
  <si>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</si>
  <si>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</si>
  <si>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</si>
  <si>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</si>
  <si>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</si>
  <si>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</si>
  <si>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</si>
  <si>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</si>
  <si>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</si>
  <si>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</si>
  <si>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</si>
  <si>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</si>
  <si>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</si>
  <si>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</si>
  <si>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</si>
  <si>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</si>
  <si>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</si>
  <si>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</si>
  <si>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</si>
  <si>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</si>
  <si>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</si>
  <si>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</si>
  <si>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</si>
  <si>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</si>
  <si>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</si>
  <si>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</si>
  <si>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</si>
  <si>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</si>
  <si>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</si>
  <si>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</si>
  <si>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</si>
  <si>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</si>
  <si>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</si>
  <si>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</si>
  <si>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</si>
  <si>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</si>
  <si>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</si>
  <si>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</si>
  <si>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</si>
  <si>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</si>
  <si>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</si>
  <si>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</si>
  <si>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</si>
  <si>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</si>
  <si>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</si>
  <si>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</si>
  <si>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</si>
  <si>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</si>
  <si>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</si>
  <si>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</si>
  <si>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</si>
  <si>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</si>
  <si>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</si>
  <si>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</si>
  <si>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</si>
  <si>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</si>
  <si>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</si>
  <si>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</si>
  <si>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</si>
  <si>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</si>
  <si>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</si>
  <si>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</si>
  <si>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</si>
  <si>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</si>
  <si>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</si>
  <si>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</si>
  <si>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</si>
  <si>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</si>
  <si>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</si>
  <si>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</si>
  <si>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</si>
  <si>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</si>
  <si>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</si>
  <si>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</si>
  <si>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</si>
  <si>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</si>
  <si>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</si>
  <si>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</si>
  <si>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</si>
  <si>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</si>
  <si>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</si>
  <si>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</si>
  <si>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</si>
  <si>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</si>
  <si>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</si>
  <si>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</si>
  <si>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</si>
  <si>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</si>
  <si>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</si>
  <si>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</si>
  <si>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</si>
  <si>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</si>
  <si>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</si>
  <si>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</si>
  <si>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</si>
  <si>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</si>
  <si>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</si>
  <si>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</si>
  <si>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</si>
  <si>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</si>
  <si>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</si>
  <si>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</si>
  <si>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</si>
  <si>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</si>
  <si>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</si>
  <si>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</si>
  <si>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</si>
  <si>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</si>
  <si>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</si>
  <si>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</si>
  <si>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</si>
  <si>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</si>
  <si>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</si>
  <si>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</si>
  <si>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</si>
  <si>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</si>
  <si>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</si>
  <si>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</si>
  <si>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</si>
  <si>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</si>
  <si>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</si>
  <si>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</si>
  <si>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</si>
  <si>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</si>
  <si>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</si>
  <si>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</si>
  <si>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</si>
  <si>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</si>
  <si>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</si>
  <si>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</si>
  <si>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</si>
  <si>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</si>
  <si>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</si>
  <si>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</si>
  <si>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</si>
  <si>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</si>
  <si>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</si>
  <si>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</si>
  <si>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</si>
  <si>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</si>
  <si>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</si>
  <si>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</si>
  <si>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</si>
  <si>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</si>
  <si>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</si>
  <si>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</si>
  <si>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</si>
  <si>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</si>
  <si>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</si>
  <si>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</si>
  <si>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</si>
  <si>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</si>
  <si>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</si>
  <si>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</si>
  <si>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</si>
  <si>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</si>
  <si>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</si>
  <si>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</si>
  <si>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</si>
  <si>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</si>
  <si>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</si>
  <si>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</si>
  <si>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</si>
  <si>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</si>
  <si>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</si>
  <si>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</si>
  <si>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</si>
  <si>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</si>
  <si>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</si>
  <si>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</si>
  <si>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</si>
  <si>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</si>
  <si>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</si>
  <si>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</si>
  <si>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</si>
  <si>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</si>
  <si>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</si>
  <si>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</si>
  <si>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</si>
  <si>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</si>
  <si>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</si>
  <si>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</si>
  <si>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</si>
  <si>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</si>
  <si>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</si>
  <si>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</si>
  <si>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</si>
  <si>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</si>
  <si>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</si>
  <si>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</si>
  <si>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</si>
  <si>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</si>
  <si>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</si>
  <si>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</si>
  <si>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</si>
  <si>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</si>
  <si>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</si>
  <si>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</si>
  <si>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</si>
  <si>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</si>
  <si>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</si>
  <si>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</si>
  <si>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</si>
  <si>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</si>
  <si>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</si>
  <si>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</si>
  <si>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</si>
  <si>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</si>
  <si>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</si>
  <si>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</si>
  <si>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</si>
  <si>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</si>
  <si>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</si>
  <si>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</si>
  <si>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</si>
  <si>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</si>
  <si>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</si>
  <si>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</si>
  <si>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</si>
  <si>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</si>
  <si>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</si>
  <si>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</si>
  <si>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</si>
  <si>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</si>
  <si>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</si>
  <si>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</si>
  <si>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</si>
  <si>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</si>
  <si>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</si>
  <si>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</si>
  <si>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</si>
  <si>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</si>
  <si>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</si>
  <si>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</si>
  <si>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</si>
  <si>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</si>
  <si>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</si>
  <si>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</si>
  <si>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</si>
  <si>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</si>
  <si>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</si>
  <si>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</si>
  <si>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</si>
  <si>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</si>
  <si>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</si>
  <si>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</si>
  <si>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</si>
  <si>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</si>
  <si>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</si>
  <si>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</si>
  <si>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</si>
  <si>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</si>
  <si>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</si>
  <si>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</si>
  <si>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</si>
  <si>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</si>
  <si>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</si>
  <si>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</si>
  <si>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</si>
  <si>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</si>
  <si>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</si>
  <si>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</si>
  <si>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</si>
  <si>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</si>
  <si>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</si>
  <si>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</si>
  <si>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</si>
  <si>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</si>
  <si>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</si>
  <si>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</si>
  <si>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</si>
  <si>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</si>
  <si>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</si>
  <si>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</si>
  <si>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</si>
  <si>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</si>
  <si>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</si>
  <si>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</si>
  <si>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</si>
  <si>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</si>
  <si>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</si>
  <si>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</si>
  <si>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</si>
  <si>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</si>
  <si>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</si>
  <si>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</si>
  <si>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</si>
  <si>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</si>
  <si>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</si>
  <si>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</si>
  <si>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</si>
  <si>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</si>
  <si>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</si>
  <si>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</si>
  <si>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</si>
  <si>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</si>
  <si>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</si>
  <si>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</si>
  <si>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</si>
  <si>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</si>
  <si>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</si>
  <si>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</si>
  <si>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</si>
  <si>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</si>
  <si>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</si>
  <si>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</si>
  <si>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</si>
  <si>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</si>
  <si>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</si>
  <si>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</si>
  <si>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</si>
  <si>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</si>
  <si>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</si>
  <si>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</si>
  <si>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</si>
  <si>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</si>
  <si>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</si>
  <si>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</si>
  <si>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</si>
  <si>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</si>
  <si>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</si>
  <si>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</si>
  <si>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</si>
  <si>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</si>
  <si>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</si>
  <si>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</si>
  <si>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</si>
  <si>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</si>
  <si>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</si>
  <si>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</si>
  <si>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</si>
  <si>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</si>
  <si>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</si>
  <si>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</si>
  <si>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</si>
  <si>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</si>
  <si>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</si>
  <si>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</si>
  <si>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</si>
  <si>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</si>
  <si>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</si>
  <si>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</si>
  <si>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</si>
  <si>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</si>
  <si>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</si>
  <si>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</si>
  <si>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</si>
  <si>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</si>
  <si>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</si>
  <si>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</si>
  <si>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</si>
  <si>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</si>
  <si>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</si>
  <si>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</si>
  <si>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</si>
  <si>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</si>
  <si>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</si>
  <si>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</si>
  <si>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</si>
  <si>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</si>
  <si>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</si>
  <si>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</si>
  <si>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</si>
  <si>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</si>
  <si>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</si>
  <si>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</si>
  <si>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</si>
  <si>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</si>
  <si>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</si>
  <si>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</si>
  <si>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</si>
  <si>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</si>
  <si>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</si>
  <si>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</si>
  <si>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</si>
  <si>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</si>
  <si>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</si>
  <si>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</si>
  <si>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</si>
  <si>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</si>
  <si>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</si>
  <si>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</si>
  <si>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</si>
  <si>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</si>
  <si>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</si>
  <si>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</si>
  <si>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</si>
  <si>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</si>
  <si>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</si>
  <si>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</si>
  <si>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</si>
  <si>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</si>
  <si>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</si>
  <si>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</si>
  <si>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</si>
  <si>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</si>
  <si>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</si>
  <si>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</si>
  <si>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</si>
  <si>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</si>
  <si>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</si>
  <si>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</si>
  <si>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</si>
  <si>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</si>
  <si>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</si>
  <si>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</si>
  <si>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</si>
  <si>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</si>
  <si>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</si>
  <si>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</si>
  <si>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</si>
  <si>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</si>
  <si>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</si>
  <si>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</si>
  <si>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</si>
  <si>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</si>
  <si>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</si>
  <si>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</si>
  <si>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</si>
  <si>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</si>
  <si>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</si>
  <si>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</si>
  <si>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</si>
  <si>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</si>
  <si>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</si>
  <si>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</si>
  <si>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</si>
  <si>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</si>
  <si>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</si>
  <si>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</si>
  <si>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</si>
  <si>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</si>
  <si>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</si>
  <si>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</si>
  <si>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</si>
  <si>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</si>
  <si>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</si>
  <si>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</si>
  <si>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</si>
  <si>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</si>
  <si>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</si>
  <si>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</si>
  <si>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</si>
  <si>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</si>
  <si>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</si>
  <si>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</si>
  <si>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</si>
  <si>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</si>
  <si>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</si>
  <si>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</si>
  <si>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</si>
  <si>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</si>
  <si>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</si>
  <si>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</si>
  <si>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</si>
  <si>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</si>
  <si>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</si>
  <si>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</si>
  <si>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</si>
  <si>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</si>
  <si>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</si>
  <si>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</si>
  <si>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</si>
  <si>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</si>
  <si>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</si>
  <si>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</si>
  <si>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</si>
  <si>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</si>
  <si>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Fortalecer el programa de  infraestructura tecnológica de la  Administración Departamental ( hadware, aplicativos, redes, y capacitación)</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</si>
  <si>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</si>
  <si>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</si>
  <si>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</si>
  <si>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</si>
  <si>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</si>
  <si>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</si>
  <si>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</si>
  <si>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</si>
  <si>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</si>
  <si>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</si>
  <si>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</si>
  <si>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</si>
  <si>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</si>
  <si>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</si>
  <si>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</si>
  <si>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</si>
  <si>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</si>
  <si>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</si>
  <si>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</si>
  <si>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</si>
  <si>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</si>
  <si>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</si>
  <si>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</si>
  <si>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</si>
  <si>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</si>
  <si>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</si>
  <si>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</si>
  <si>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</si>
  <si>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TOTAL 2016-2019</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</si>
  <si>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</si>
  <si>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</si>
  <si>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</si>
  <si>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</si>
  <si>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</si>
  <si>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</si>
  <si>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</si>
  <si>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</si>
  <si>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</si>
  <si>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</si>
  <si>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</si>
  <si>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</si>
  <si>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</si>
  <si>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</si>
  <si>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</si>
  <si>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</si>
  <si>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</si>
  <si>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</si>
  <si>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</si>
  <si>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</si>
  <si>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</si>
  <si>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</si>
  <si>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</si>
  <si>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</si>
  <si>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</si>
  <si>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</si>
  <si>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</si>
  <si>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</si>
  <si>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</si>
  <si>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</si>
  <si>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</si>
  <si>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</si>
  <si>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</si>
  <si>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</si>
  <si>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MATRIZ</t>
  </si>
  <si>
    <t xml:space="preserve">Apoyar 12 centros de bienestar del departamento </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</si>
  <si>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</si>
  <si>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</si>
  <si>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</si>
  <si>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</si>
  <si>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</si>
  <si>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</si>
  <si>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POAI DEFINITIVO</t>
  </si>
  <si>
    <t>Sin programar  ocho: 5-13-36-56-61-221-256-286</t>
  </si>
  <si>
    <t>Estrategia 1 sin programar 2</t>
  </si>
  <si>
    <t>Estrategia 2 sin programar 3</t>
  </si>
  <si>
    <t>Estrategia 4 sin programar 1</t>
  </si>
  <si>
    <t>Estrategia 5 sin programar 2</t>
  </si>
  <si>
    <t>E (OBLIGACIONES RESERVAS 2018)</t>
  </si>
  <si>
    <t xml:space="preserve">E (OBLIGACIONES RESERVAS 2018) </t>
  </si>
  <si>
    <t>Ejecución de recursos de inversión por Ejes Estratégicos del Plan de Desarrollo "EN DEFENSA DEL BIEN COMÚN" II Trimestre 2019</t>
  </si>
  <si>
    <t>Ejecución de recursos de inversión por Programas del Plan de Desarrollo "EN DEFENSA DEL BIEN COMÚN"II Trimestre 2019</t>
  </si>
  <si>
    <t xml:space="preserve"> Ejecución de recursos de inversión por Ejes Estrategicos del Plan de Desarrollo "EN DEFENSA DEL BIEN COMÚN" II Trimestre 2019</t>
  </si>
  <si>
    <t>Ejecución de recursos de inversión por Programas del Plan de Desarrollo " EN DEFENSA DEL BIEN COMÚN" II Trimestre 2019</t>
  </si>
  <si>
    <t>II TRIMESTRE VIGENCIA 2019</t>
  </si>
  <si>
    <t>PLAN DE DESARROLLO "EN DEFENSA DEL BIEN COMUN"
SEGUIMIENTO PLAN INDICATIVO 
II TRIMESTRE VIGENCIA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</si>
</sst>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_(* #,##0.0_);_(* \(#,##0.0\);_(* &quot;-&quot;??_);_(@_)"/>
    <numFmt numFmtId="187" formatCode="0.000"/>
    <numFmt numFmtId="188" formatCode="_(* #,##0.000_);_(* \(#,##0.000\);_(* &quot;-&quot;??_);_(@_)"/>
    <numFmt numFmtId="189" formatCode="#,##0.0_);\(#,##0.0\)"/>
    <numFmt numFmtId="191" formatCode="#,##0.0"/>
  </numFmts>
  <fonts count="63"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b/>
      <sz val="12"/>
      <color rgb="FFFF0000"/>
      <name val="Arial"/>
      <family val="2"/>
    </font>
  </fonts>
  <fills count="4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rgb="FF0070C0"/>
        <bgColor indexed="64"/>
      </patternFill>
    </fill>
  </fills>
  <borders count="46">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5" fillId="29"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5" fillId="30" borderId="0" applyNumberFormat="0" applyBorder="0" applyAlignment="0" applyProtection="0"/>
    <xf numFmtId="0" fontId="15" fillId="21" borderId="0" applyNumberFormat="0" applyBorder="0" applyAlignment="0" applyProtection="0"/>
    <xf numFmtId="0" fontId="15" fillId="31"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6" fillId="18" borderId="0" applyNumberFormat="0" applyBorder="0" applyAlignment="0" applyProtection="0"/>
    <xf numFmtId="0" fontId="17" fillId="21" borderId="0" applyNumberFormat="0" applyBorder="0" applyAlignment="0" applyProtection="0"/>
    <xf numFmtId="0" fontId="17" fillId="19" borderId="0" applyNumberFormat="0" applyBorder="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0" fillId="39" borderId="15" applyNumberFormat="0" applyAlignment="0" applyProtection="0"/>
    <xf numFmtId="0" fontId="20" fillId="39"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9"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40"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5" borderId="0" applyNumberFormat="0" applyBorder="0" applyAlignment="0" applyProtection="0"/>
    <xf numFmtId="0" fontId="15" fillId="27" borderId="0" applyNumberFormat="0" applyBorder="0" applyAlignment="0" applyProtection="0"/>
    <xf numFmtId="0" fontId="15" fillId="36" borderId="0" applyNumberFormat="0" applyBorder="0" applyAlignment="0" applyProtection="0"/>
    <xf numFmtId="0" fontId="15" fillId="41"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3" borderId="0" applyNumberFormat="0" applyBorder="0" applyAlignment="0" applyProtection="0"/>
    <xf numFmtId="0" fontId="25" fillId="28" borderId="14" applyNumberFormat="0" applyAlignment="0" applyProtection="0"/>
    <xf numFmtId="0" fontId="25" fillId="22"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9"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20" borderId="0" applyNumberFormat="0" applyBorder="0" applyAlignment="0" applyProtection="0"/>
    <xf numFmtId="0" fontId="16" fillId="18" borderId="0" applyNumberFormat="0" applyBorder="0" applyAlignment="0" applyProtection="0"/>
    <xf numFmtId="0" fontId="25" fillId="22"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8" borderId="0" applyNumberFormat="0" applyBorder="0" applyAlignment="0" applyProtection="0"/>
    <xf numFmtId="0" fontId="31" fillId="28"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8" borderId="22" applyNumberFormat="0" applyAlignment="0" applyProtection="0"/>
    <xf numFmtId="0" fontId="32" fillId="37"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2"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7"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19" fillId="38" borderId="28" applyNumberFormat="0" applyAlignment="0" applyProtection="0"/>
    <xf numFmtId="43" fontId="3" fillId="0" borderId="0" applyFont="0" applyFill="0" applyBorder="0" applyAlignment="0" applyProtection="0"/>
    <xf numFmtId="0" fontId="19" fillId="38"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2"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43" fontId="3" fillId="0" borderId="0" applyFont="0" applyFill="0" applyBorder="0" applyAlignment="0" applyProtection="0"/>
    <xf numFmtId="0" fontId="25" fillId="28"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25" fillId="28"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19" fillId="38"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7" borderId="30" applyNumberFormat="0" applyAlignment="0" applyProtection="0"/>
    <xf numFmtId="0" fontId="19" fillId="38" borderId="28"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32" fillId="37" borderId="30"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18" fillId="37"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8" borderId="28" applyNumberFormat="0" applyAlignment="0" applyProtection="0"/>
    <xf numFmtId="0" fontId="32" fillId="37"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2" borderId="28"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0" fontId="19" fillId="3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0" fontId="19" fillId="38" borderId="28"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4" fillId="25" borderId="29" applyNumberFormat="0" applyFont="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25" fillId="28"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8"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7" borderId="30" applyNumberFormat="0" applyAlignment="0" applyProtection="0"/>
    <xf numFmtId="0" fontId="37" fillId="0" borderId="31"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19" fillId="38"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18" fillId="37" borderId="28" applyNumberFormat="0" applyAlignment="0" applyProtection="0"/>
    <xf numFmtId="43" fontId="3" fillId="0" borderId="0" applyFont="0" applyFill="0" applyBorder="0" applyAlignment="0" applyProtection="0"/>
    <xf numFmtId="0" fontId="32" fillId="38" borderId="30" applyNumberFormat="0" applyAlignment="0" applyProtection="0"/>
    <xf numFmtId="0" fontId="25" fillId="28" borderId="28" applyNumberFormat="0" applyAlignment="0" applyProtection="0"/>
    <xf numFmtId="0" fontId="4" fillId="25" borderId="29" applyNumberFormat="0" applyFont="0" applyAlignment="0" applyProtection="0"/>
    <xf numFmtId="0" fontId="32" fillId="37"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25" fillId="28"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7"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18" fillId="37" borderId="28" applyNumberFormat="0" applyAlignment="0" applyProtection="0"/>
    <xf numFmtId="0" fontId="4" fillId="25" borderId="29" applyNumberFormat="0" applyFon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166" fontId="3" fillId="0" borderId="0" applyFont="0" applyFill="0" applyBorder="0" applyAlignment="0" applyProtection="0"/>
    <xf numFmtId="0" fontId="6"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19" fillId="38" borderId="28" applyNumberFormat="0" applyAlignment="0" applyProtection="0"/>
    <xf numFmtId="0" fontId="32" fillId="37"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25" fillId="2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43" fontId="3" fillId="0" borderId="0" applyFont="0" applyFill="0" applyBorder="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8" borderId="30" applyNumberFormat="0" applyAlignment="0" applyProtection="0"/>
    <xf numFmtId="0" fontId="25" fillId="22"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2" applyNumberFormat="0" applyFill="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32" fillId="38" borderId="30" applyNumberFormat="0" applyAlignment="0" applyProtection="0"/>
    <xf numFmtId="43" fontId="3" fillId="0" borderId="0" applyFont="0" applyFill="0" applyBorder="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43" fontId="3" fillId="0" borderId="0" applyFont="0" applyFill="0" applyBorder="0" applyAlignment="0" applyProtection="0"/>
    <xf numFmtId="0" fontId="25" fillId="22" borderId="28" applyNumberFormat="0" applyAlignment="0" applyProtection="0"/>
    <xf numFmtId="0" fontId="6" fillId="25" borderId="29" applyNumberFormat="0" applyFont="0" applyAlignment="0" applyProtection="0"/>
    <xf numFmtId="166" fontId="3" fillId="0" borderId="0" applyFont="0" applyFill="0" applyBorder="0" applyAlignment="0" applyProtection="0"/>
    <xf numFmtId="0" fontId="19" fillId="38" borderId="28" applyNumberFormat="0" applyAlignment="0" applyProtection="0"/>
    <xf numFmtId="0" fontId="19" fillId="38"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8" borderId="30" applyNumberFormat="0" applyAlignment="0" applyProtection="0"/>
    <xf numFmtId="0" fontId="6"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25" fillId="28"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8"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0" fontId="25" fillId="2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37" fillId="0" borderId="32" applyNumberFormat="0" applyFill="0" applyAlignment="0" applyProtection="0"/>
    <xf numFmtId="0" fontId="25" fillId="28"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6"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8" borderId="28" applyNumberFormat="0" applyAlignment="0" applyProtection="0"/>
    <xf numFmtId="0" fontId="32" fillId="38" borderId="30" applyNumberFormat="0" applyAlignment="0" applyProtection="0"/>
    <xf numFmtId="0" fontId="32" fillId="37" borderId="30"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32" fillId="37" borderId="30"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0" fontId="37" fillId="0" borderId="32"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44" fontId="6" fillId="0" borderId="0" applyFont="0" applyFill="0" applyBorder="0" applyAlignment="0" applyProtection="0"/>
    <xf numFmtId="0" fontId="32" fillId="38" borderId="22" applyNumberFormat="0" applyAlignment="0" applyProtection="0"/>
    <xf numFmtId="43" fontId="3" fillId="0" borderId="0" applyFont="0" applyFill="0" applyBorder="0" applyAlignment="0" applyProtection="0"/>
    <xf numFmtId="0" fontId="6" fillId="25" borderId="21" applyNumberFormat="0" applyFont="0" applyAlignment="0" applyProtection="0"/>
    <xf numFmtId="0" fontId="25" fillId="22"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5"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44" fontId="6"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25" fillId="28"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25" fillId="22"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25" fillId="22"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166" fontId="3" fillId="0" borderId="0" applyFont="0" applyFill="0" applyBorder="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19" fillId="3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4"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1058">
    <xf numFmtId="0" fontId="0" fillId="0" borderId="0" xfId="0"/>
    <xf numFmtId="0" fontId="0" fillId="0" borderId="2" xfId="0" applyBorder="1" applyAlignment="1">
      <alignment horizontal="center"/>
    </xf>
    <xf numFmtId="0" fontId="0" fillId="0" borderId="0" xfId="0" applyAlignment="1">
      <alignment vertical="center"/>
    </xf>
    <xf numFmtId="0" fontId="7" fillId="12" borderId="2" xfId="0" applyFont="1" applyFill="1" applyBorder="1" applyAlignment="1">
      <alignment horizontal="center" vertical="center"/>
    </xf>
    <xf numFmtId="0" fontId="7" fillId="12" borderId="2" xfId="0" applyFont="1" applyFill="1" applyBorder="1" applyAlignment="1">
      <alignment horizontal="center" vertical="center" wrapText="1"/>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11" fillId="12" borderId="2" xfId="0" applyFont="1" applyFill="1" applyBorder="1" applyAlignment="1">
      <alignment horizontal="center" vertical="center" wrapText="1"/>
    </xf>
    <xf numFmtId="0" fontId="0" fillId="0" borderId="2" xfId="0" applyBorder="1" applyAlignment="1">
      <alignment horizontal="center" vertical="center"/>
    </xf>
    <xf numFmtId="0" fontId="7" fillId="12" borderId="2" xfId="0" applyFont="1" applyFill="1" applyBorder="1"/>
    <xf numFmtId="9" fontId="12" fillId="12" borderId="2" xfId="54" applyFont="1" applyFill="1" applyBorder="1" applyAlignment="1">
      <alignment horizontal="center"/>
    </xf>
    <xf numFmtId="10" fontId="7" fillId="12" borderId="2" xfId="0" applyNumberFormat="1" applyFont="1" applyFill="1" applyBorder="1" applyAlignment="1">
      <alignment horizontal="center"/>
    </xf>
    <xf numFmtId="10" fontId="7" fillId="12" borderId="2" xfId="54" applyNumberFormat="1" applyFont="1" applyFill="1" applyBorder="1" applyAlignment="1">
      <alignment horizontal="center"/>
    </xf>
    <xf numFmtId="3" fontId="0" fillId="0" borderId="2" xfId="0" applyNumberFormat="1" applyBorder="1"/>
    <xf numFmtId="3" fontId="7" fillId="12" borderId="2" xfId="0" applyNumberFormat="1" applyFont="1" applyFill="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0" fontId="12" fillId="12" borderId="2" xfId="0" applyFont="1" applyFill="1" applyBorder="1" applyAlignment="1">
      <alignment horizontal="center" vertical="center"/>
    </xf>
    <xf numFmtId="0" fontId="7" fillId="12" borderId="2" xfId="0" applyFont="1" applyFill="1" applyBorder="1" applyAlignment="1">
      <alignment horizontal="justify" vertical="justify"/>
    </xf>
    <xf numFmtId="3" fontId="7" fillId="12" borderId="2" xfId="0" applyNumberFormat="1" applyFont="1" applyFill="1" applyBorder="1" applyAlignment="1">
      <alignment horizontal="right" vertical="center"/>
    </xf>
    <xf numFmtId="9" fontId="7" fillId="12" borderId="2" xfId="54" applyFont="1" applyFill="1" applyBorder="1" applyAlignment="1">
      <alignment horizontal="center" vertical="center"/>
    </xf>
    <xf numFmtId="3" fontId="0" fillId="0" borderId="2" xfId="0" applyNumberFormat="1" applyBorder="1" applyAlignment="1">
      <alignment vertical="center"/>
    </xf>
    <xf numFmtId="174" fontId="0" fillId="0" borderId="2" xfId="54" applyNumberFormat="1" applyFont="1" applyBorder="1" applyAlignment="1">
      <alignment horizontal="center"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0" borderId="2" xfId="53" applyFont="1" applyBorder="1" applyAlignment="1">
      <alignment horizontal="righ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0" borderId="13" xfId="53" applyFont="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5" fillId="7" borderId="11" xfId="53" applyNumberFormat="1" applyFont="1" applyFill="1" applyBorder="1" applyAlignment="1">
      <alignment horizontal="center" vertical="center"/>
    </xf>
    <xf numFmtId="3" fontId="45" fillId="7" borderId="11" xfId="0" applyNumberFormat="1" applyFont="1" applyFill="1" applyBorder="1" applyAlignment="1">
      <alignment horizontal="center" vertical="center" wrapText="1"/>
    </xf>
    <xf numFmtId="3" fontId="45" fillId="10" borderId="11" xfId="53" applyNumberFormat="1" applyFont="1" applyFill="1" applyBorder="1" applyAlignment="1">
      <alignment horizontal="center" vertical="center"/>
    </xf>
    <xf numFmtId="43" fontId="42" fillId="2" borderId="8" xfId="53" applyFont="1" applyFill="1" applyBorder="1" applyAlignment="1">
      <alignment horizontal="right"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173" fontId="42" fillId="2" borderId="2" xfId="53" applyNumberFormat="1" applyFont="1" applyFill="1" applyBorder="1" applyAlignment="1">
      <alignment horizontal="right" vertical="center"/>
    </xf>
    <xf numFmtId="3" fontId="45" fillId="9" borderId="2"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2" fillId="2" borderId="40" xfId="53" applyFont="1" applyFill="1" applyBorder="1" applyAlignment="1">
      <alignment horizontal="center" vertical="center"/>
    </xf>
    <xf numFmtId="43" fontId="42" fillId="2" borderId="40" xfId="53" applyFont="1" applyFill="1" applyBorder="1" applyAlignment="1">
      <alignment vertical="center" wrapText="1"/>
    </xf>
    <xf numFmtId="43" fontId="42" fillId="2" borderId="40" xfId="53" applyFont="1" applyFill="1" applyBorder="1" applyAlignment="1">
      <alignment horizontal="right" vertical="center" wrapText="1"/>
    </xf>
    <xf numFmtId="43" fontId="42" fillId="0" borderId="40" xfId="53" applyFont="1" applyBorder="1" applyAlignment="1">
      <alignment horizontal="right" vertical="center" wrapText="1"/>
    </xf>
    <xf numFmtId="43" fontId="42" fillId="2" borderId="40" xfId="53" applyFont="1" applyFill="1" applyBorder="1" applyAlignment="1">
      <alignment horizontal="right" vertical="center"/>
    </xf>
    <xf numFmtId="43" fontId="42" fillId="2" borderId="40" xfId="53" applyFont="1" applyFill="1" applyBorder="1" applyAlignment="1">
      <alignment vertical="center"/>
    </xf>
    <xf numFmtId="43" fontId="42" fillId="0" borderId="8" xfId="53" applyFont="1" applyBorder="1" applyAlignment="1">
      <alignment horizontal="right"/>
    </xf>
    <xf numFmtId="43" fontId="42" fillId="2" borderId="41" xfId="53" applyFont="1" applyFill="1" applyBorder="1" applyAlignment="1">
      <alignment horizontal="center" vertical="center"/>
    </xf>
    <xf numFmtId="43" fontId="42" fillId="2" borderId="41" xfId="53" applyFont="1" applyFill="1" applyBorder="1" applyAlignment="1">
      <alignment vertical="center" wrapText="1"/>
    </xf>
    <xf numFmtId="43" fontId="42" fillId="2" borderId="41" xfId="53" applyFont="1" applyFill="1" applyBorder="1" applyAlignment="1">
      <alignment horizontal="right" vertical="center" wrapText="1"/>
    </xf>
    <xf numFmtId="43" fontId="42" fillId="0" borderId="41" xfId="53" applyFont="1" applyBorder="1" applyAlignment="1">
      <alignment horizontal="right" vertical="center" wrapText="1"/>
    </xf>
    <xf numFmtId="43" fontId="42" fillId="2" borderId="41" xfId="53" applyFont="1" applyFill="1" applyBorder="1" applyAlignment="1">
      <alignment horizontal="right" vertical="center"/>
    </xf>
    <xf numFmtId="43" fontId="42" fillId="2" borderId="41" xfId="53" applyFont="1" applyFill="1" applyBorder="1" applyAlignment="1">
      <alignment vertical="center"/>
    </xf>
    <xf numFmtId="3" fontId="45" fillId="7" borderId="2" xfId="53" applyNumberFormat="1" applyFont="1" applyFill="1" applyBorder="1" applyAlignment="1">
      <alignment horizontal="center" vertical="center"/>
    </xf>
    <xf numFmtId="164" fontId="0" fillId="0" borderId="0" xfId="0" applyNumberFormat="1"/>
    <xf numFmtId="188"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10" fontId="41" fillId="42" borderId="2" xfId="0" applyNumberFormat="1" applyFont="1" applyFill="1" applyBorder="1" applyAlignment="1">
      <alignment horizontal="center" vertical="center"/>
    </xf>
    <xf numFmtId="43" fontId="42" fillId="0" borderId="41" xfId="53" applyFont="1" applyBorder="1" applyAlignment="1">
      <alignment vertical="center"/>
    </xf>
    <xf numFmtId="0" fontId="7" fillId="47" borderId="2" xfId="0" applyFont="1" applyFill="1" applyBorder="1" applyAlignment="1">
      <alignment horizontal="center" vertical="center"/>
    </xf>
    <xf numFmtId="0" fontId="7" fillId="47" borderId="2" xfId="0" applyFont="1" applyFill="1" applyBorder="1" applyAlignment="1">
      <alignment horizontal="center" vertical="center" wrapText="1"/>
    </xf>
    <xf numFmtId="0" fontId="11" fillId="47" borderId="2" xfId="0" applyFont="1" applyFill="1" applyBorder="1" applyAlignment="1">
      <alignment horizontal="center" vertical="center" wrapText="1"/>
    </xf>
    <xf numFmtId="9" fontId="7" fillId="47" borderId="2" xfId="0" applyNumberFormat="1" applyFont="1" applyFill="1" applyBorder="1" applyAlignment="1">
      <alignment horizontal="center" vertical="center"/>
    </xf>
    <xf numFmtId="0" fontId="12" fillId="47" borderId="2" xfId="0" applyFont="1" applyFill="1" applyBorder="1" applyAlignment="1">
      <alignment horizontal="center" vertical="center"/>
    </xf>
    <xf numFmtId="0" fontId="7" fillId="47" borderId="2" xfId="0" applyFont="1" applyFill="1" applyBorder="1" applyAlignment="1">
      <alignment horizontal="justify" vertical="justify"/>
    </xf>
    <xf numFmtId="3" fontId="7" fillId="47" borderId="2" xfId="0" applyNumberFormat="1" applyFont="1" applyFill="1" applyBorder="1" applyAlignment="1">
      <alignment horizontal="right" vertical="center"/>
    </xf>
    <xf numFmtId="4" fontId="7" fillId="47" borderId="2" xfId="0" applyNumberFormat="1" applyFont="1" applyFill="1" applyBorder="1" applyAlignment="1">
      <alignment horizontal="center" vertical="center"/>
    </xf>
    <xf numFmtId="10" fontId="7" fillId="47" borderId="2" xfId="0" applyNumberFormat="1" applyFont="1" applyFill="1" applyBorder="1" applyAlignment="1">
      <alignment horizontal="center" vertical="center"/>
    </xf>
    <xf numFmtId="0" fontId="7" fillId="48" borderId="2" xfId="0" applyFont="1" applyFill="1" applyBorder="1" applyAlignment="1">
      <alignment horizontal="center" vertical="center"/>
    </xf>
    <xf numFmtId="0" fontId="7" fillId="48" borderId="2" xfId="0" applyFont="1" applyFill="1" applyBorder="1" applyAlignment="1">
      <alignment horizontal="center" vertical="center" wrapText="1"/>
    </xf>
    <xf numFmtId="0" fontId="11" fillId="48" borderId="2" xfId="0" applyFont="1" applyFill="1" applyBorder="1" applyAlignment="1">
      <alignment horizontal="center" vertical="center" wrapText="1"/>
    </xf>
    <xf numFmtId="0" fontId="7" fillId="48" borderId="2" xfId="0" applyFont="1" applyFill="1" applyBorder="1" applyAlignment="1">
      <alignment vertical="center"/>
    </xf>
    <xf numFmtId="3" fontId="7" fillId="48" borderId="2" xfId="0" applyNumberFormat="1" applyFont="1" applyFill="1" applyBorder="1" applyAlignment="1">
      <alignment vertical="center"/>
    </xf>
    <xf numFmtId="9" fontId="7" fillId="48" borderId="2" xfId="0" applyNumberFormat="1" applyFont="1" applyFill="1" applyBorder="1" applyAlignment="1">
      <alignment horizontal="center" vertical="center"/>
    </xf>
    <xf numFmtId="10" fontId="7" fillId="48" borderId="2" xfId="54" applyNumberFormat="1" applyFont="1" applyFill="1" applyBorder="1" applyAlignment="1">
      <alignment horizontal="center" vertical="center"/>
    </xf>
    <xf numFmtId="0" fontId="7" fillId="12" borderId="2" xfId="0" applyFont="1" applyFill="1" applyBorder="1" applyAlignment="1">
      <alignment horizontal="justify" vertical="center"/>
    </xf>
    <xf numFmtId="43" fontId="42" fillId="2" borderId="9" xfId="53" applyFont="1" applyFill="1" applyBorder="1" applyAlignment="1">
      <alignment horizontal="right" vertical="center" wrapText="1"/>
    </xf>
    <xf numFmtId="43" fontId="42" fillId="2" borderId="33" xfId="53" applyFont="1" applyFill="1" applyBorder="1" applyAlignment="1">
      <alignment horizontal="center" vertical="center" wrapText="1"/>
    </xf>
    <xf numFmtId="43" fontId="42" fillId="2" borderId="9" xfId="53" applyFont="1" applyFill="1" applyBorder="1" applyAlignment="1">
      <alignment horizontal="right" vertical="center"/>
    </xf>
    <xf numFmtId="43" fontId="42" fillId="2" borderId="33" xfId="53" applyFont="1" applyFill="1" applyBorder="1" applyAlignment="1">
      <alignment horizontal="right" vertical="center" wrapText="1"/>
    </xf>
    <xf numFmtId="43" fontId="42" fillId="2" borderId="42" xfId="53" applyFont="1" applyFill="1" applyBorder="1" applyAlignment="1">
      <alignment horizontal="right" vertical="center" wrapText="1"/>
    </xf>
    <xf numFmtId="43" fontId="42" fillId="2" borderId="33" xfId="53" applyFont="1" applyFill="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33" xfId="53" applyFont="1" applyFill="1" applyBorder="1" applyAlignment="1">
      <alignment vertical="center"/>
    </xf>
    <xf numFmtId="3" fontId="45" fillId="7" borderId="5" xfId="0" applyNumberFormat="1" applyFont="1" applyFill="1" applyBorder="1" applyAlignment="1">
      <alignment horizontal="center" vertical="center" wrapText="1"/>
    </xf>
    <xf numFmtId="43" fontId="53" fillId="2" borderId="0" xfId="53" applyFont="1" applyFill="1" applyAlignment="1" applyProtection="1">
      <alignment horizontal="right" vertical="center"/>
      <protection locked="0"/>
    </xf>
    <xf numFmtId="43" fontId="42" fillId="0" borderId="40" xfId="53" applyFont="1" applyBorder="1" applyAlignment="1">
      <alignment vertical="center"/>
    </xf>
    <xf numFmtId="43" fontId="42" fillId="0" borderId="40" xfId="53" applyFont="1" applyBorder="1" applyAlignment="1">
      <alignment vertical="center" wrapText="1"/>
    </xf>
    <xf numFmtId="43" fontId="42" fillId="0" borderId="41" xfId="53" applyFont="1" applyBorder="1" applyAlignment="1">
      <alignment vertical="center" wrapText="1"/>
    </xf>
    <xf numFmtId="0" fontId="58" fillId="48"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5" borderId="2" xfId="0" applyFont="1" applyFill="1" applyBorder="1" applyAlignment="1">
      <alignment horizontal="center" vertical="center" wrapText="1"/>
    </xf>
    <xf numFmtId="0" fontId="8" fillId="46" borderId="2" xfId="0" applyFont="1" applyFill="1" applyBorder="1" applyAlignment="1">
      <alignment horizontal="center" vertical="center" wrapText="1"/>
    </xf>
    <xf numFmtId="0" fontId="0" fillId="43" borderId="2" xfId="0" applyFill="1" applyBorder="1" applyAlignment="1">
      <alignment horizontal="center" vertical="center" wrapText="1"/>
    </xf>
    <xf numFmtId="0" fontId="8" fillId="42" borderId="2" xfId="0" applyFont="1" applyFill="1" applyBorder="1" applyAlignment="1">
      <alignment horizontal="center" vertical="center" wrapText="1"/>
    </xf>
    <xf numFmtId="0" fontId="8" fillId="44" borderId="2" xfId="0" applyFont="1" applyFill="1" applyBorder="1" applyAlignment="1">
      <alignment horizontal="center" vertical="center" wrapText="1"/>
    </xf>
    <xf numFmtId="0" fontId="0" fillId="43" borderId="2" xfId="0" applyFill="1" applyBorder="1" applyAlignment="1">
      <alignment horizontal="center" vertical="center"/>
    </xf>
    <xf numFmtId="0" fontId="8" fillId="46" borderId="2" xfId="0" applyFont="1" applyFill="1" applyBorder="1" applyAlignment="1">
      <alignment horizontal="center" vertical="center"/>
    </xf>
    <xf numFmtId="0" fontId="56" fillId="48" borderId="2" xfId="0" applyFont="1" applyFill="1" applyBorder="1" applyAlignment="1">
      <alignment vertical="center"/>
    </xf>
    <xf numFmtId="0" fontId="56" fillId="48" borderId="2" xfId="0" applyFont="1" applyFill="1" applyBorder="1" applyAlignment="1">
      <alignment horizontal="center" vertical="center"/>
    </xf>
    <xf numFmtId="9" fontId="56" fillId="48" borderId="2" xfId="0" applyNumberFormat="1"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40" xfId="53" applyFont="1" applyBorder="1" applyAlignment="1">
      <alignment horizontal="center" vertical="center" wrapText="1"/>
    </xf>
    <xf numFmtId="43" fontId="42" fillId="0" borderId="40" xfId="53" applyFont="1" applyBorder="1" applyAlignment="1">
      <alignment horizontal="center" vertical="center"/>
    </xf>
    <xf numFmtId="43" fontId="42" fillId="0" borderId="40" xfId="53" applyFont="1" applyBorder="1" applyAlignment="1">
      <alignment horizontal="right" vertical="center"/>
    </xf>
    <xf numFmtId="43" fontId="42" fillId="0" borderId="2" xfId="53" applyFont="1" applyBorder="1" applyAlignment="1">
      <alignment horizontal="center" vertical="center"/>
    </xf>
    <xf numFmtId="43" fontId="53" fillId="0" borderId="43" xfId="53" applyFont="1" applyBorder="1" applyAlignment="1">
      <alignment horizontal="center" vertical="center"/>
    </xf>
    <xf numFmtId="9" fontId="8" fillId="0" borderId="2" xfId="54" applyFont="1" applyBorder="1" applyAlignment="1">
      <alignment horizontal="center" vertical="center" wrapText="1"/>
    </xf>
    <xf numFmtId="1" fontId="0" fillId="0" borderId="2" xfId="0" applyNumberForma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0" fontId="43" fillId="14" borderId="7" xfId="0" applyFont="1" applyFill="1" applyBorder="1" applyAlignment="1">
      <alignment horizontal="center" vertical="center"/>
    </xf>
    <xf numFmtId="43" fontId="42" fillId="2" borderId="5" xfId="53" applyFont="1" applyFill="1" applyBorder="1" applyAlignment="1">
      <alignment horizontal="right" vertical="center" wrapText="1"/>
    </xf>
    <xf numFmtId="43" fontId="42" fillId="2" borderId="40" xfId="53" applyFont="1" applyFill="1" applyBorder="1" applyAlignment="1">
      <alignment horizontal="center" vertical="center" wrapText="1"/>
    </xf>
    <xf numFmtId="43" fontId="43" fillId="0" borderId="9" xfId="53" applyFont="1" applyBorder="1" applyAlignment="1">
      <alignment vertical="center"/>
    </xf>
    <xf numFmtId="43" fontId="42" fillId="2" borderId="41" xfId="53" applyFont="1" applyFill="1" applyBorder="1" applyAlignment="1">
      <alignment horizontal="center" vertical="center" wrapText="1"/>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51" fillId="0" borderId="44" xfId="59491" applyFont="1" applyBorder="1" applyAlignment="1">
      <alignment horizontal="center" vertical="center"/>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2"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3"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43" fontId="43" fillId="11" borderId="2" xfId="53" applyFont="1" applyFill="1" applyBorder="1" applyAlignment="1">
      <alignment horizontal="right" vertical="center" wrapText="1"/>
    </xf>
    <xf numFmtId="3" fontId="42" fillId="2" borderId="0" xfId="53" applyNumberFormat="1" applyFont="1" applyFill="1" applyAlignment="1">
      <alignment horizontal="right" vertical="center"/>
    </xf>
    <xf numFmtId="0" fontId="45" fillId="2" borderId="2" xfId="0" applyFont="1" applyFill="1" applyBorder="1" applyAlignment="1">
      <alignment vertical="center"/>
    </xf>
    <xf numFmtId="0" fontId="42" fillId="2" borderId="0" xfId="0" applyFont="1" applyFill="1"/>
    <xf numFmtId="177" fontId="45" fillId="2" borderId="2" xfId="0" applyNumberFormat="1" applyFont="1" applyFill="1" applyBorder="1" applyAlignment="1">
      <alignment horizontal="left" vertical="center"/>
    </xf>
    <xf numFmtId="0" fontId="45" fillId="0" borderId="2" xfId="0" applyFont="1" applyBorder="1" applyAlignment="1">
      <alignment vertical="center"/>
    </xf>
    <xf numFmtId="3" fontId="45" fillId="9" borderId="42"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5" borderId="2" xfId="0" applyFont="1" applyFill="1" applyBorder="1" applyAlignment="1">
      <alignment vertical="center" wrapText="1"/>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6" fillId="3" borderId="2" xfId="0" applyFont="1" applyFill="1" applyBorder="1" applyAlignment="1">
      <alignment horizontal="center" vertical="center" wrapText="1"/>
    </xf>
    <xf numFmtId="165"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10"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5"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5" fontId="43" fillId="4" borderId="9" xfId="62889" applyFont="1" applyFill="1" applyBorder="1" applyAlignment="1">
      <alignment vertical="center"/>
    </xf>
    <xf numFmtId="0" fontId="43" fillId="4" borderId="2" xfId="0"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0" fontId="42" fillId="2" borderId="2" xfId="0" applyFont="1" applyFill="1" applyBorder="1" applyAlignment="1">
      <alignment horizontal="justify"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9" fontId="47" fillId="0" borderId="40" xfId="59501" applyNumberFormat="1" applyFont="1" applyBorder="1" applyAlignment="1">
      <alignment horizontal="center" vertical="center"/>
    </xf>
    <xf numFmtId="165" fontId="47" fillId="0" borderId="40" xfId="62889" applyFont="1" applyBorder="1" applyAlignment="1">
      <alignment horizontal="center" vertical="center"/>
    </xf>
    <xf numFmtId="1" fontId="44" fillId="0" borderId="2" xfId="53" applyNumberFormat="1"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1" fontId="44" fillId="16" borderId="2" xfId="53"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0" borderId="2" xfId="0" applyNumberFormat="1" applyFont="1" applyBorder="1" applyAlignment="1">
      <alignment horizontal="center" vertical="center" wrapText="1"/>
    </xf>
    <xf numFmtId="185" fontId="47" fillId="0" borderId="40" xfId="62889" applyNumberFormat="1" applyFont="1" applyBorder="1" applyAlignment="1">
      <alignment horizontal="center" vertical="center"/>
    </xf>
    <xf numFmtId="175" fontId="44" fillId="2" borderId="2"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2" fillId="0" borderId="1" xfId="0" applyFont="1" applyBorder="1" applyAlignment="1">
      <alignment horizontal="center" vertical="center"/>
    </xf>
    <xf numFmtId="165" fontId="43" fillId="0" borderId="2" xfId="62889"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165" fontId="43" fillId="0" borderId="40" xfId="62889" applyFont="1" applyBorder="1" applyAlignment="1">
      <alignment horizontal="center" vertical="center" wrapText="1"/>
    </xf>
    <xf numFmtId="0" fontId="42" fillId="2" borderId="41"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1" fontId="44" fillId="16" borderId="2"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6" borderId="2" xfId="53" applyNumberFormat="1" applyFont="1" applyFill="1" applyBorder="1" applyAlignment="1">
      <alignment horizontal="center" vertical="center" wrapText="1"/>
    </xf>
    <xf numFmtId="0" fontId="44" fillId="0" borderId="2" xfId="53" applyNumberFormat="1" applyFont="1" applyBorder="1" applyAlignment="1">
      <alignment horizontal="center" vertical="center" wrapText="1"/>
    </xf>
    <xf numFmtId="0" fontId="44" fillId="16" borderId="2" xfId="0" applyFont="1" applyFill="1" applyBorder="1" applyAlignment="1">
      <alignment horizontal="center" vertical="center" wrapText="1"/>
    </xf>
    <xf numFmtId="0" fontId="43" fillId="6" borderId="8" xfId="0" applyFont="1" applyFill="1" applyBorder="1" applyAlignment="1">
      <alignment horizontal="center" vertical="center" wrapText="1"/>
    </xf>
    <xf numFmtId="1" fontId="44" fillId="0" borderId="2" xfId="0" applyNumberFormat="1" applyFont="1" applyBorder="1" applyAlignment="1">
      <alignment horizontal="center" vertical="center" wrapText="1"/>
    </xf>
    <xf numFmtId="10" fontId="42" fillId="0" borderId="8" xfId="54" applyNumberFormat="1" applyFont="1" applyBorder="1" applyAlignment="1">
      <alignment horizontal="center" vertical="center" wrapText="1"/>
    </xf>
    <xf numFmtId="0" fontId="42" fillId="16" borderId="2" xfId="0" applyFont="1" applyFill="1" applyBorder="1" applyAlignment="1">
      <alignment horizontal="center" vertical="center" wrapText="1"/>
    </xf>
    <xf numFmtId="165" fontId="43" fillId="16"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7" fillId="2" borderId="2" xfId="0" applyFont="1" applyFill="1" applyBorder="1" applyAlignment="1">
      <alignment horizontal="center" vertical="center" wrapText="1"/>
    </xf>
    <xf numFmtId="0" fontId="43" fillId="5" borderId="2" xfId="0" applyFont="1" applyFill="1" applyBorder="1" applyAlignment="1">
      <alignment horizontal="left"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1" fontId="44" fillId="0" borderId="2" xfId="59509" applyNumberFormat="1" applyFont="1" applyBorder="1" applyAlignment="1">
      <alignment horizontal="center" vertical="center" wrapText="1"/>
    </xf>
    <xf numFmtId="2" fontId="44" fillId="2" borderId="2" xfId="0" applyNumberFormat="1" applyFont="1" applyFill="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horizontal="center" vertical="center"/>
    </xf>
    <xf numFmtId="0" fontId="42" fillId="0" borderId="0" xfId="0" applyFont="1"/>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1" fontId="44" fillId="16"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165" fontId="47" fillId="0" borderId="2" xfId="62889" applyFont="1" applyBorder="1" applyAlignment="1">
      <alignment horizontal="center" vertical="center"/>
    </xf>
    <xf numFmtId="0" fontId="42" fillId="0" borderId="2" xfId="0" applyFont="1" applyBorder="1" applyAlignment="1">
      <alignment horizontal="center" wrapText="1"/>
    </xf>
    <xf numFmtId="0" fontId="44" fillId="0" borderId="1" xfId="0" applyFont="1" applyBorder="1" applyAlignment="1">
      <alignment horizontal="center" vertical="center" wrapText="1"/>
    </xf>
    <xf numFmtId="10" fontId="42" fillId="0" borderId="4" xfId="54" applyNumberFormat="1" applyFont="1" applyBorder="1" applyAlignment="1">
      <alignment horizontal="center" vertical="center" wrapText="1"/>
    </xf>
    <xf numFmtId="0" fontId="53" fillId="0" borderId="2" xfId="0" applyFont="1" applyBorder="1" applyAlignment="1">
      <alignment horizontal="justify" vertical="center" wrapText="1"/>
    </xf>
    <xf numFmtId="0" fontId="42" fillId="0" borderId="2" xfId="0" applyFont="1" applyBorder="1" applyAlignment="1">
      <alignment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173" fontId="47" fillId="0" borderId="1" xfId="53" applyNumberFormat="1" applyFont="1" applyBorder="1" applyAlignment="1">
      <alignment horizontal="center" vertical="center" wrapText="1"/>
    </xf>
    <xf numFmtId="43" fontId="47" fillId="0" borderId="1" xfId="53" applyFont="1" applyBorder="1" applyAlignment="1">
      <alignment vertical="center" wrapText="1"/>
    </xf>
    <xf numFmtId="43" fontId="47" fillId="0" borderId="4" xfId="53" applyFont="1" applyBorder="1" applyAlignment="1">
      <alignment vertical="center" wrapText="1"/>
    </xf>
    <xf numFmtId="0" fontId="42" fillId="6" borderId="2" xfId="0" applyFont="1" applyFill="1" applyBorder="1" applyAlignment="1">
      <alignment vertical="center"/>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2" borderId="2" xfId="0" applyFont="1" applyFill="1" applyBorder="1" applyAlignment="1">
      <alignment horizontal="center" wrapText="1"/>
    </xf>
    <xf numFmtId="0" fontId="42" fillId="16"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0" fontId="44" fillId="2" borderId="40" xfId="0" applyFont="1" applyFill="1" applyBorder="1" applyAlignment="1">
      <alignment horizontal="center" vertical="center" wrapText="1"/>
    </xf>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0" fontId="42" fillId="0" borderId="33" xfId="0" applyFont="1" applyBorder="1" applyAlignment="1">
      <alignment horizontal="center" vertical="center" wrapText="1"/>
    </xf>
    <xf numFmtId="9" fontId="42" fillId="2" borderId="1" xfId="0" applyNumberFormat="1" applyFont="1" applyFill="1" applyBorder="1" applyAlignment="1">
      <alignment horizontal="center" vertical="center"/>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0" fontId="44" fillId="0" borderId="2" xfId="0" applyFont="1" applyBorder="1" applyAlignment="1">
      <alignment horizontal="center" vertical="center"/>
    </xf>
    <xf numFmtId="1" fontId="44" fillId="2" borderId="2" xfId="0" applyNumberFormat="1" applyFont="1" applyFill="1" applyBorder="1" applyAlignment="1">
      <alignment horizontal="center" vertical="center"/>
    </xf>
    <xf numFmtId="0" fontId="44" fillId="2" borderId="2" xfId="0" applyFont="1" applyFill="1" applyBorder="1" applyAlignment="1">
      <alignment horizontal="center" vertical="center"/>
    </xf>
    <xf numFmtId="10" fontId="42" fillId="0" borderId="8" xfId="54" applyNumberFormat="1" applyFont="1" applyBorder="1" applyAlignment="1">
      <alignment horizontal="center" vertical="center"/>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3" fontId="44"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10" fontId="42" fillId="0" borderId="2" xfId="0" applyNumberFormat="1" applyFont="1" applyBorder="1" applyAlignment="1">
      <alignment horizontal="center" vertical="center"/>
    </xf>
    <xf numFmtId="1" fontId="44" fillId="16" borderId="2" xfId="0" applyNumberFormat="1" applyFont="1" applyFill="1" applyBorder="1" applyAlignment="1">
      <alignment horizontal="center" vertical="center"/>
    </xf>
    <xf numFmtId="3" fontId="42" fillId="16"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2" fillId="16" borderId="2"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2" borderId="3" xfId="0" applyFont="1" applyFill="1" applyBorder="1" applyAlignment="1">
      <alignment horizontal="center" vertical="top" wrapText="1"/>
    </xf>
    <xf numFmtId="0" fontId="43" fillId="6" borderId="8" xfId="0" applyFont="1" applyFill="1" applyBorder="1" applyAlignment="1">
      <alignment vertical="center" wrapText="1"/>
    </xf>
    <xf numFmtId="173" fontId="47" fillId="0" borderId="2" xfId="59491" applyNumberFormat="1" applyFont="1" applyBorder="1" applyAlignment="1">
      <alignment horizontal="justify" vertical="center"/>
    </xf>
    <xf numFmtId="0" fontId="42" fillId="2" borderId="10" xfId="0" applyFont="1" applyFill="1" applyBorder="1" applyAlignment="1">
      <alignment horizontal="justify" vertical="center" wrapText="1"/>
    </xf>
    <xf numFmtId="0" fontId="42" fillId="0" borderId="8" xfId="0" applyFont="1" applyBorder="1" applyAlignment="1">
      <alignment horizontal="center" vertical="center"/>
    </xf>
    <xf numFmtId="10" fontId="42" fillId="0" borderId="8" xfId="53" applyNumberFormat="1" applyFont="1" applyBorder="1" applyAlignment="1">
      <alignment horizontal="center" vertical="center"/>
    </xf>
    <xf numFmtId="0" fontId="42" fillId="0" borderId="40" xfId="0" applyFont="1" applyBorder="1" applyAlignment="1">
      <alignment horizontal="center" vertical="center"/>
    </xf>
    <xf numFmtId="0" fontId="44" fillId="0" borderId="40" xfId="0"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3" fontId="42" fillId="2" borderId="40" xfId="0" applyNumberFormat="1" applyFont="1" applyFill="1" applyBorder="1" applyAlignment="1">
      <alignment horizontal="justify" vertical="center"/>
    </xf>
    <xf numFmtId="3" fontId="42" fillId="0" borderId="40" xfId="0" applyNumberFormat="1" applyFont="1" applyBorder="1" applyAlignment="1">
      <alignment horizontal="center" vertical="center"/>
    </xf>
    <xf numFmtId="3" fontId="42" fillId="0" borderId="40" xfId="0" applyNumberFormat="1" applyFont="1" applyBorder="1" applyAlignment="1">
      <alignment horizontal="center" vertical="center" wrapText="1"/>
    </xf>
    <xf numFmtId="3" fontId="44" fillId="0" borderId="40" xfId="0" applyNumberFormat="1" applyFont="1" applyBorder="1" applyAlignment="1">
      <alignment horizontal="center" vertical="center"/>
    </xf>
    <xf numFmtId="1" fontId="44" fillId="0" borderId="40" xfId="0" applyNumberFormat="1" applyFont="1" applyBorder="1" applyAlignment="1">
      <alignment horizontal="center" vertical="center"/>
    </xf>
    <xf numFmtId="10" fontId="42" fillId="0" borderId="40" xfId="54" applyNumberFormat="1" applyFont="1" applyBorder="1" applyAlignment="1">
      <alignment horizontal="center" vertical="center"/>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165" fontId="47" fillId="0" borderId="3" xfId="62889" applyFont="1" applyBorder="1" applyAlignment="1">
      <alignment horizontal="center" vertical="center"/>
    </xf>
    <xf numFmtId="1" fontId="44" fillId="2" borderId="3" xfId="0" applyNumberFormat="1" applyFont="1" applyFill="1" applyBorder="1" applyAlignment="1">
      <alignment horizontal="center" vertical="center"/>
    </xf>
    <xf numFmtId="43" fontId="42" fillId="2" borderId="1" xfId="53" applyFont="1" applyFill="1" applyBorder="1" applyAlignment="1">
      <alignment horizontal="center" vertical="center"/>
    </xf>
    <xf numFmtId="0" fontId="43" fillId="6" borderId="42" xfId="0" applyFont="1" applyFill="1" applyBorder="1" applyAlignment="1">
      <alignment horizontal="center" vertical="center" wrapText="1"/>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4" fillId="0" borderId="2" xfId="0" applyNumberFormat="1" applyFont="1" applyBorder="1" applyAlignment="1">
      <alignment horizontal="center" vertical="center"/>
    </xf>
    <xf numFmtId="9" fontId="42" fillId="2" borderId="2" xfId="54" applyFont="1" applyFill="1" applyBorder="1" applyAlignment="1">
      <alignment horizontal="center" vertical="center"/>
    </xf>
    <xf numFmtId="9" fontId="44"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9" fontId="44" fillId="2" borderId="2" xfId="0" applyNumberFormat="1" applyFont="1" applyFill="1" applyBorder="1" applyAlignment="1">
      <alignment horizontal="center" vertical="center"/>
    </xf>
    <xf numFmtId="165"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4" fillId="0" borderId="7" xfId="0" applyFont="1" applyBorder="1" applyAlignment="1">
      <alignment horizontal="center" vertical="center"/>
    </xf>
    <xf numFmtId="0" fontId="44" fillId="16" borderId="7" xfId="0" applyFont="1" applyFill="1" applyBorder="1" applyAlignment="1">
      <alignment horizontal="center" vertical="center"/>
    </xf>
    <xf numFmtId="0" fontId="44" fillId="2" borderId="7" xfId="0" applyFont="1" applyFill="1" applyBorder="1" applyAlignment="1">
      <alignment horizontal="center" vertical="center"/>
    </xf>
    <xf numFmtId="0" fontId="44" fillId="0" borderId="6" xfId="0" applyFont="1" applyBorder="1" applyAlignment="1">
      <alignment horizontal="center" vertical="center"/>
    </xf>
    <xf numFmtId="0" fontId="42" fillId="2" borderId="6" xfId="0" applyFont="1" applyFill="1" applyBorder="1" applyAlignment="1">
      <alignment horizontal="center" vertical="center"/>
    </xf>
    <xf numFmtId="0" fontId="44"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2" fillId="2" borderId="40" xfId="0" applyFont="1" applyFill="1" applyBorder="1" applyAlignment="1">
      <alignment horizontal="center" vertical="center"/>
    </xf>
    <xf numFmtId="0" fontId="44" fillId="2" borderId="40" xfId="0" applyFont="1" applyFill="1" applyBorder="1" applyAlignment="1">
      <alignment horizontal="center" vertical="center"/>
    </xf>
    <xf numFmtId="0" fontId="42" fillId="2" borderId="41" xfId="0" applyFont="1" applyFill="1" applyBorder="1" applyAlignment="1">
      <alignment horizontal="center" vertical="center"/>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51" fillId="2" borderId="3" xfId="0" applyFont="1" applyFill="1" applyBorder="1" applyAlignment="1">
      <alignment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1" fillId="2" borderId="0" xfId="0" applyFont="1" applyFill="1"/>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0" fontId="44"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4" fillId="2" borderId="2" xfId="53" applyNumberFormat="1" applyFont="1" applyFill="1" applyBorder="1" applyAlignment="1">
      <alignment horizontal="center" vertical="center"/>
    </xf>
    <xf numFmtId="0" fontId="44" fillId="2" borderId="2" xfId="53" applyNumberFormat="1" applyFont="1" applyFill="1" applyBorder="1" applyAlignment="1">
      <alignment horizontal="center" vertical="center"/>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4" fillId="0" borderId="2" xfId="53" applyNumberFormat="1" applyFont="1" applyBorder="1" applyAlignment="1">
      <alignment horizontal="center" vertical="center"/>
    </xf>
    <xf numFmtId="37" fontId="47" fillId="0" borderId="40" xfId="62889" applyNumberFormat="1" applyFont="1" applyBorder="1" applyAlignment="1">
      <alignment horizontal="center" vertical="center"/>
    </xf>
    <xf numFmtId="1" fontId="44" fillId="2" borderId="2" xfId="53" applyNumberFormat="1" applyFont="1" applyFill="1" applyBorder="1" applyAlignment="1">
      <alignment horizontal="center" vertical="center"/>
    </xf>
    <xf numFmtId="37" fontId="42" fillId="2" borderId="40" xfId="53" applyNumberFormat="1" applyFont="1" applyFill="1" applyBorder="1" applyAlignment="1">
      <alignment horizontal="center" vertical="center"/>
    </xf>
    <xf numFmtId="39" fontId="44" fillId="2" borderId="40" xfId="53" applyNumberFormat="1" applyFont="1" applyFill="1" applyBorder="1" applyAlignment="1">
      <alignment horizontal="center" vertical="center"/>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37" fontId="44" fillId="0" borderId="1" xfId="53" applyNumberFormat="1" applyFont="1" applyBorder="1" applyAlignment="1">
      <alignment horizontal="center" vertical="center"/>
    </xf>
    <xf numFmtId="39" fontId="44" fillId="2" borderId="1" xfId="53" applyNumberFormat="1" applyFont="1" applyFill="1" applyBorder="1" applyAlignment="1">
      <alignment horizontal="center" vertical="center"/>
    </xf>
    <xf numFmtId="37" fontId="44" fillId="2" borderId="1" xfId="53" applyNumberFormat="1" applyFont="1" applyFill="1" applyBorder="1" applyAlignment="1">
      <alignment horizontal="center" vertical="center"/>
    </xf>
    <xf numFmtId="39" fontId="44" fillId="2" borderId="2" xfId="53" applyNumberFormat="1" applyFont="1" applyFill="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37" fontId="44" fillId="2" borderId="40" xfId="53"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1" fontId="42" fillId="2" borderId="2" xfId="54" applyNumberFormat="1" applyFont="1" applyFill="1" applyBorder="1" applyAlignment="1">
      <alignment horizontal="justify" vertical="center" wrapText="1"/>
    </xf>
    <xf numFmtId="43" fontId="41" fillId="0" borderId="1" xfId="53" applyFont="1" applyBorder="1" applyAlignment="1">
      <alignment horizontal="right" vertical="center" wrapText="1"/>
    </xf>
    <xf numFmtId="37" fontId="44" fillId="0" borderId="2" xfId="59492" applyNumberFormat="1" applyFont="1" applyBorder="1" applyAlignment="1">
      <alignment horizontal="center" vertical="center" wrapText="1"/>
    </xf>
    <xf numFmtId="37" fontId="44" fillId="0" borderId="2" xfId="0" applyNumberFormat="1" applyFont="1" applyBorder="1" applyAlignment="1">
      <alignment horizontal="center"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175" fontId="44" fillId="0" borderId="2" xfId="0" applyNumberFormat="1" applyFont="1" applyBorder="1" applyAlignment="1">
      <alignment horizontal="center" vertical="center"/>
    </xf>
    <xf numFmtId="184" fontId="47" fillId="0" borderId="2" xfId="59496" applyNumberFormat="1" applyFont="1" applyBorder="1" applyAlignment="1">
      <alignment horizontal="center" vertical="center" wrapText="1"/>
    </xf>
    <xf numFmtId="10" fontId="42" fillId="2" borderId="2" xfId="0" applyNumberFormat="1" applyFont="1" applyFill="1" applyBorder="1" applyAlignment="1">
      <alignment horizontal="center" vertical="center"/>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175" fontId="44"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43" fontId="50" fillId="16" borderId="2" xfId="53" applyFont="1" applyFill="1" applyBorder="1" applyAlignment="1">
      <alignment horizontal="center" vertical="center" wrapText="1"/>
    </xf>
    <xf numFmtId="43" fontId="42" fillId="0" borderId="2" xfId="53" applyFont="1" applyBorder="1" applyAlignment="1">
      <alignment horizontal="justify" vertical="center"/>
    </xf>
    <xf numFmtId="43" fontId="53"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4" fillId="2" borderId="1" xfId="0" applyFont="1" applyFill="1" applyBorder="1" applyAlignment="1">
      <alignment horizontal="center" vertical="center"/>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0" fontId="54" fillId="2" borderId="3" xfId="0" applyFont="1" applyFill="1" applyBorder="1" applyAlignment="1">
      <alignment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1" fontId="44" fillId="0" borderId="1" xfId="0" applyNumberFormat="1" applyFont="1" applyBorder="1" applyAlignment="1">
      <alignment horizontal="center" vertical="center"/>
    </xf>
    <xf numFmtId="0" fontId="44" fillId="2" borderId="3" xfId="0" applyFont="1" applyFill="1" applyBorder="1" applyAlignment="1">
      <alignment horizontal="center" vertical="center"/>
    </xf>
    <xf numFmtId="0" fontId="43" fillId="6" borderId="2" xfId="0" applyFont="1" applyFill="1" applyBorder="1" applyAlignment="1">
      <alignment vertical="center"/>
    </xf>
    <xf numFmtId="0" fontId="44" fillId="0" borderId="3" xfId="0" applyFont="1" applyBorder="1" applyAlignment="1">
      <alignment horizontal="center" vertical="center"/>
    </xf>
    <xf numFmtId="0" fontId="47" fillId="0" borderId="40" xfId="62889" applyNumberFormat="1" applyFont="1" applyBorder="1" applyAlignment="1">
      <alignment horizontal="center"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3" fontId="47" fillId="2" borderId="2" xfId="0" applyNumberFormat="1" applyFont="1" applyFill="1" applyBorder="1" applyAlignment="1">
      <alignment horizontal="right" vertical="center"/>
    </xf>
    <xf numFmtId="3" fontId="41" fillId="2" borderId="2" xfId="0" applyNumberFormat="1" applyFont="1" applyFill="1" applyBorder="1" applyAlignment="1">
      <alignment horizontal="right" vertical="center"/>
    </xf>
    <xf numFmtId="3" fontId="41" fillId="2" borderId="8" xfId="0" applyNumberFormat="1" applyFont="1" applyFill="1" applyBorder="1" applyAlignment="1">
      <alignment horizontal="right" vertical="center"/>
    </xf>
    <xf numFmtId="1" fontId="44" fillId="0" borderId="2" xfId="54" applyNumberFormat="1" applyFont="1" applyBorder="1" applyAlignment="1">
      <alignment horizontal="center" vertical="center"/>
    </xf>
    <xf numFmtId="4" fontId="41" fillId="2" borderId="2" xfId="0" applyNumberFormat="1" applyFont="1" applyFill="1" applyBorder="1" applyAlignment="1">
      <alignment horizontal="right" vertical="center"/>
    </xf>
    <xf numFmtId="1" fontId="44" fillId="2" borderId="8" xfId="0" applyNumberFormat="1" applyFont="1" applyFill="1" applyBorder="1" applyAlignment="1">
      <alignment horizontal="center" vertical="center"/>
    </xf>
    <xf numFmtId="165" fontId="43" fillId="2" borderId="2" xfId="62889" applyFont="1" applyFill="1" applyBorder="1" applyAlignment="1">
      <alignment horizontal="center" vertical="center"/>
    </xf>
    <xf numFmtId="43" fontId="41" fillId="0" borderId="1" xfId="59509" applyNumberFormat="1" applyFont="1" applyBorder="1" applyAlignment="1">
      <alignment horizontal="right" vertical="center" wrapText="1"/>
    </xf>
    <xf numFmtId="43" fontId="47" fillId="0" borderId="1" xfId="59509" applyNumberFormat="1" applyFont="1" applyBorder="1" applyAlignment="1">
      <alignment horizontal="right" vertical="center" wrapText="1"/>
    </xf>
    <xf numFmtId="43" fontId="47" fillId="0" borderId="4" xfId="59509" applyNumberFormat="1" applyFont="1" applyBorder="1" applyAlignment="1">
      <alignment horizontal="right" vertical="center" wrapText="1"/>
    </xf>
    <xf numFmtId="175" fontId="44" fillId="0" borderId="2" xfId="54" applyNumberFormat="1" applyFont="1" applyBorder="1" applyAlignment="1">
      <alignment horizontal="center" vertical="center"/>
    </xf>
    <xf numFmtId="173" fontId="47" fillId="0" borderId="1" xfId="59495" applyNumberFormat="1" applyFont="1" applyBorder="1" applyAlignment="1">
      <alignment horizontal="right" vertical="center" wrapText="1"/>
    </xf>
    <xf numFmtId="2" fontId="44" fillId="0" borderId="2" xfId="0" applyNumberFormat="1" applyFont="1" applyBorder="1" applyAlignment="1">
      <alignment horizontal="center" vertical="center"/>
    </xf>
    <xf numFmtId="2" fontId="44" fillId="0" borderId="1" xfId="0" applyNumberFormat="1" applyFont="1" applyBorder="1" applyAlignment="1">
      <alignment horizontal="center" vertical="center" wrapText="1"/>
    </xf>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0" xfId="0" applyFont="1"/>
    <xf numFmtId="0" fontId="43" fillId="11" borderId="2" xfId="0" applyFont="1" applyFill="1" applyBorder="1" applyAlignment="1">
      <alignment vertical="center" wrapText="1"/>
    </xf>
    <xf numFmtId="0" fontId="43" fillId="11" borderId="2" xfId="0" applyFont="1" applyFill="1" applyBorder="1" applyAlignment="1">
      <alignment horizontal="center" vertical="center" wrapText="1"/>
    </xf>
    <xf numFmtId="0" fontId="42" fillId="11" borderId="2" xfId="0" applyFont="1" applyFill="1" applyBorder="1"/>
    <xf numFmtId="0" fontId="42" fillId="11" borderId="2" xfId="0" applyFont="1" applyFill="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xf>
    <xf numFmtId="0" fontId="48" fillId="2" borderId="0" xfId="0" applyFont="1" applyFill="1" applyAlignment="1">
      <alignment horizontal="center" vertical="center"/>
    </xf>
    <xf numFmtId="0" fontId="44" fillId="2" borderId="0" xfId="0" applyFont="1" applyFill="1" applyAlignment="1">
      <alignment horizontal="center"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186" fontId="42" fillId="2" borderId="0" xfId="0" applyNumberFormat="1" applyFont="1" applyFill="1" applyAlignment="1">
      <alignment vertical="center"/>
    </xf>
    <xf numFmtId="186" fontId="42" fillId="2" borderId="0" xfId="53" applyNumberFormat="1" applyFont="1" applyFill="1" applyAlignment="1">
      <alignment horizontal="right" vertical="center"/>
    </xf>
    <xf numFmtId="167" fontId="42" fillId="2" borderId="0" xfId="0" applyNumberFormat="1" applyFont="1" applyFill="1" applyAlignment="1">
      <alignment vertical="center"/>
    </xf>
    <xf numFmtId="43" fontId="42" fillId="2" borderId="0" xfId="0" applyNumberFormat="1" applyFont="1" applyFill="1" applyAlignment="1">
      <alignment vertical="center"/>
    </xf>
    <xf numFmtId="43" fontId="42" fillId="2" borderId="0" xfId="53" applyFont="1" applyFill="1" applyAlignment="1">
      <alignment horizontal="right" vertical="center"/>
    </xf>
    <xf numFmtId="43" fontId="43" fillId="2" borderId="0" xfId="53" applyFont="1" applyFill="1" applyAlignment="1">
      <alignment horizontal="righ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3" fontId="45"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43" fontId="43" fillId="6" borderId="2" xfId="0" applyNumberFormat="1" applyFont="1" applyFill="1" applyBorder="1" applyAlignment="1">
      <alignment vertical="center" wrapText="1"/>
    </xf>
    <xf numFmtId="182" fontId="52" fillId="6" borderId="2" xfId="62889" applyNumberFormat="1" applyFont="1" applyFill="1" applyBorder="1" applyAlignment="1">
      <alignment vertical="center"/>
    </xf>
    <xf numFmtId="172" fontId="52" fillId="4" borderId="2" xfId="0" applyNumberFormat="1" applyFont="1" applyFill="1" applyBorder="1" applyAlignment="1">
      <alignment vertical="center"/>
    </xf>
    <xf numFmtId="43" fontId="49" fillId="0" borderId="8" xfId="0" applyNumberFormat="1" applyFont="1" applyBorder="1" applyAlignment="1">
      <alignment vertical="center"/>
    </xf>
    <xf numFmtId="43" fontId="42" fillId="0" borderId="8" xfId="59491" applyFont="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5"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0" fontId="43" fillId="15" borderId="41" xfId="0" applyFont="1" applyFill="1" applyBorder="1" applyAlignment="1">
      <alignment horizontal="center"/>
    </xf>
    <xf numFmtId="43" fontId="55" fillId="0" borderId="1" xfId="53" applyFont="1" applyBorder="1" applyAlignment="1">
      <alignment horizontal="right" vertical="center" wrapText="1"/>
    </xf>
    <xf numFmtId="167" fontId="55" fillId="0" borderId="44" xfId="59499" applyFont="1" applyFill="1" applyBorder="1" applyAlignment="1" applyProtection="1">
      <alignment horizontal="center" vertical="center" wrapText="1"/>
    </xf>
    <xf numFmtId="3" fontId="0" fillId="0" borderId="0" xfId="0" applyNumberFormat="1" applyAlignment="1">
      <alignment horizontal="center" vertical="center"/>
    </xf>
    <xf numFmtId="0" fontId="0" fillId="43" borderId="0" xfId="0" applyFill="1"/>
    <xf numFmtId="0" fontId="42" fillId="0" borderId="0" xfId="0" applyFont="1" applyBorder="1" applyAlignment="1">
      <alignment horizontal="center" vertical="center"/>
    </xf>
    <xf numFmtId="0" fontId="0" fillId="43" borderId="0" xfId="0" applyFill="1" applyAlignment="1">
      <alignment vertical="center"/>
    </xf>
    <xf numFmtId="0" fontId="42" fillId="0" borderId="2" xfId="0" applyFont="1" applyFill="1" applyBorder="1" applyAlignment="1">
      <alignment horizontal="center" vertical="center"/>
    </xf>
    <xf numFmtId="0" fontId="44" fillId="5" borderId="9" xfId="0" applyFont="1" applyFill="1" applyBorder="1" applyAlignment="1">
      <alignment horizontal="center" vertical="center"/>
    </xf>
    <xf numFmtId="0" fontId="44" fillId="6" borderId="8"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6" borderId="2" xfId="0" applyFont="1" applyFill="1" applyBorder="1" applyAlignment="1">
      <alignment horizontal="center" vertical="center" wrapText="1"/>
    </xf>
    <xf numFmtId="0" fontId="44" fillId="6" borderId="42" xfId="0" applyFont="1" applyFill="1" applyBorder="1" applyAlignment="1">
      <alignment horizontal="center" vertical="center" wrapText="1"/>
    </xf>
    <xf numFmtId="0" fontId="44" fillId="4" borderId="8" xfId="0" applyFont="1" applyFill="1" applyBorder="1" applyAlignment="1">
      <alignment horizontal="center" vertical="center"/>
    </xf>
    <xf numFmtId="0" fontId="44" fillId="4" borderId="7" xfId="0" applyFont="1" applyFill="1" applyBorder="1" applyAlignment="1">
      <alignment horizontal="center" vertical="center"/>
    </xf>
    <xf numFmtId="0" fontId="44" fillId="10" borderId="2"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2" borderId="8" xfId="0" applyFont="1" applyFill="1" applyBorder="1" applyAlignment="1">
      <alignment horizontal="center" vertical="center"/>
    </xf>
    <xf numFmtId="3" fontId="44" fillId="0" borderId="8" xfId="0" applyNumberFormat="1" applyFont="1" applyBorder="1" applyAlignment="1">
      <alignment horizontal="center" vertical="center"/>
    </xf>
    <xf numFmtId="4" fontId="44" fillId="0" borderId="8" xfId="0" applyNumberFormat="1" applyFont="1" applyBorder="1" applyAlignment="1">
      <alignment horizontal="center" vertical="center"/>
    </xf>
    <xf numFmtId="3" fontId="44" fillId="2" borderId="8" xfId="0" applyNumberFormat="1" applyFont="1" applyFill="1" applyBorder="1" applyAlignment="1">
      <alignment horizontal="center" vertical="center"/>
    </xf>
    <xf numFmtId="3" fontId="44" fillId="0" borderId="8" xfId="0" applyNumberFormat="1" applyFont="1" applyFill="1" applyBorder="1" applyAlignment="1">
      <alignment horizontal="center" vertical="center"/>
    </xf>
    <xf numFmtId="0" fontId="44" fillId="0" borderId="8" xfId="0" applyFont="1" applyBorder="1" applyAlignment="1">
      <alignment horizontal="center" vertical="center"/>
    </xf>
    <xf numFmtId="9" fontId="44" fillId="2" borderId="8" xfId="0" applyNumberFormat="1" applyFont="1" applyFill="1" applyBorder="1" applyAlignment="1">
      <alignment horizontal="center" vertical="center"/>
    </xf>
    <xf numFmtId="0" fontId="44" fillId="2" borderId="41" xfId="0" applyFont="1" applyFill="1" applyBorder="1" applyAlignment="1">
      <alignment horizontal="center" vertical="center"/>
    </xf>
    <xf numFmtId="0" fontId="44" fillId="0" borderId="8" xfId="0" applyFont="1" applyFill="1" applyBorder="1" applyAlignment="1">
      <alignment horizontal="center" vertical="center"/>
    </xf>
    <xf numFmtId="189" fontId="44" fillId="2" borderId="8" xfId="53" applyNumberFormat="1" applyFont="1" applyFill="1" applyBorder="1" applyAlignment="1">
      <alignment horizontal="center" vertical="center"/>
    </xf>
    <xf numFmtId="37" fontId="44" fillId="2" borderId="8" xfId="53" applyNumberFormat="1" applyFont="1" applyFill="1" applyBorder="1" applyAlignment="1">
      <alignment horizontal="center" vertical="center"/>
    </xf>
    <xf numFmtId="189" fontId="44" fillId="2" borderId="40" xfId="53" applyNumberFormat="1" applyFont="1" applyFill="1" applyBorder="1" applyAlignment="1">
      <alignment horizontal="center" vertical="center"/>
    </xf>
    <xf numFmtId="37" fontId="44" fillId="0" borderId="40" xfId="53" applyNumberFormat="1" applyFont="1" applyFill="1" applyBorder="1" applyAlignment="1">
      <alignment horizontal="center" vertical="center"/>
    </xf>
    <xf numFmtId="37" fontId="44" fillId="0" borderId="8" xfId="53" applyNumberFormat="1" applyFont="1" applyBorder="1" applyAlignment="1">
      <alignment horizontal="center" vertical="center"/>
    </xf>
    <xf numFmtId="37" fontId="44" fillId="2" borderId="4" xfId="53" applyNumberFormat="1" applyFont="1" applyFill="1" applyBorder="1" applyAlignment="1">
      <alignment horizontal="center" vertical="center"/>
    </xf>
    <xf numFmtId="189" fontId="44" fillId="2" borderId="4" xfId="53" applyNumberFormat="1" applyFont="1" applyFill="1" applyBorder="1" applyAlignment="1">
      <alignment horizontal="center" vertical="center"/>
    </xf>
    <xf numFmtId="0" fontId="44" fillId="2" borderId="4" xfId="0" applyFont="1" applyFill="1" applyBorder="1" applyAlignment="1">
      <alignment horizontal="center" vertical="center"/>
    </xf>
    <xf numFmtId="1" fontId="44" fillId="2" borderId="40" xfId="0" applyNumberFormat="1" applyFont="1" applyFill="1" applyBorder="1" applyAlignment="1">
      <alignment horizontal="center" vertical="center"/>
    </xf>
    <xf numFmtId="1" fontId="44" fillId="2" borderId="4" xfId="0" applyNumberFormat="1" applyFont="1" applyFill="1" applyBorder="1" applyAlignment="1">
      <alignment horizontal="center" vertical="center"/>
    </xf>
    <xf numFmtId="175" fontId="44" fillId="2" borderId="4" xfId="0" applyNumberFormat="1" applyFont="1" applyFill="1" applyBorder="1" applyAlignment="1">
      <alignment horizontal="center" vertical="center"/>
    </xf>
    <xf numFmtId="175" fontId="62" fillId="0" borderId="45" xfId="59689" applyNumberFormat="1" applyFont="1" applyFill="1" applyBorder="1" applyAlignment="1" applyProtection="1">
      <alignment horizontal="center" vertical="center" wrapText="1"/>
      <protection locked="0"/>
    </xf>
    <xf numFmtId="0" fontId="44" fillId="11" borderId="2"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4" fillId="0" borderId="9" xfId="0" applyFont="1" applyBorder="1" applyAlignment="1">
      <alignment horizontal="center" vertical="center" wrapText="1"/>
    </xf>
    <xf numFmtId="0" fontId="44" fillId="2" borderId="42"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44" fillId="0" borderId="7" xfId="53" applyNumberFormat="1" applyFont="1" applyBorder="1" applyAlignment="1">
      <alignment horizontal="center" vertical="center" wrapText="1"/>
    </xf>
    <xf numFmtId="0" fontId="44" fillId="2" borderId="5" xfId="0" applyFont="1" applyFill="1" applyBorder="1" applyAlignment="1">
      <alignment horizontal="center" vertical="center" wrapText="1"/>
    </xf>
    <xf numFmtId="0" fontId="44" fillId="0" borderId="11" xfId="0" applyFont="1" applyBorder="1" applyAlignment="1">
      <alignment horizontal="center" vertical="center" wrapText="1"/>
    </xf>
    <xf numFmtId="0" fontId="44" fillId="2" borderId="11" xfId="0" applyFont="1" applyFill="1" applyBorder="1" applyAlignment="1">
      <alignment horizontal="center" vertical="center" wrapText="1"/>
    </xf>
    <xf numFmtId="175" fontId="44" fillId="2" borderId="9" xfId="0" applyNumberFormat="1" applyFont="1" applyFill="1" applyBorder="1" applyAlignment="1">
      <alignment horizontal="center" vertical="center" wrapText="1"/>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43" fontId="42" fillId="0" borderId="8" xfId="53" applyFont="1" applyFill="1" applyBorder="1" applyAlignment="1">
      <alignment horizontal="right" vertical="center"/>
    </xf>
    <xf numFmtId="4" fontId="42" fillId="2" borderId="0" xfId="53" applyNumberFormat="1" applyFont="1" applyFill="1" applyAlignment="1">
      <alignment horizontal="right" vertical="center"/>
    </xf>
    <xf numFmtId="4" fontId="43" fillId="15" borderId="41" xfId="0" applyNumberFormat="1" applyFont="1" applyFill="1" applyBorder="1" applyAlignment="1">
      <alignment horizontal="center"/>
    </xf>
    <xf numFmtId="4" fontId="45" fillId="10" borderId="2" xfId="53" applyNumberFormat="1" applyFont="1" applyFill="1" applyBorder="1" applyAlignment="1">
      <alignment horizontal="center" vertical="center" wrapText="1"/>
    </xf>
    <xf numFmtId="4" fontId="45" fillId="10" borderId="11" xfId="0" applyNumberFormat="1" applyFont="1" applyFill="1" applyBorder="1" applyAlignment="1">
      <alignment horizontal="center" vertical="center" wrapText="1"/>
    </xf>
    <xf numFmtId="4" fontId="43" fillId="5" borderId="2" xfId="53" applyNumberFormat="1" applyFont="1" applyFill="1" applyBorder="1" applyAlignment="1">
      <alignment vertical="center"/>
    </xf>
    <xf numFmtId="4" fontId="42" fillId="2" borderId="8" xfId="53" applyNumberFormat="1" applyFont="1" applyFill="1" applyBorder="1" applyAlignment="1">
      <alignment horizontal="right" vertical="center" wrapText="1"/>
    </xf>
    <xf numFmtId="4" fontId="43" fillId="2" borderId="0" xfId="53" applyNumberFormat="1" applyFont="1" applyFill="1" applyAlignment="1">
      <alignment horizontal="right" vertical="center"/>
    </xf>
    <xf numFmtId="191" fontId="44" fillId="0" borderId="8" xfId="0" applyNumberFormat="1" applyFont="1" applyBorder="1" applyAlignment="1">
      <alignment horizontal="center" vertical="center"/>
    </xf>
    <xf numFmtId="0" fontId="42" fillId="0" borderId="2" xfId="0" applyFont="1" applyFill="1" applyBorder="1" applyAlignment="1">
      <alignment horizontal="justify" vertical="center" wrapText="1"/>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3" fontId="44" fillId="0" borderId="8"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0" fontId="42" fillId="0" borderId="3" xfId="0" applyFont="1" applyFill="1" applyBorder="1" applyAlignment="1">
      <alignment horizontal="justify" vertical="center" wrapText="1"/>
    </xf>
    <xf numFmtId="3" fontId="42" fillId="0" borderId="3" xfId="0" applyNumberFormat="1" applyFont="1" applyFill="1" applyBorder="1" applyAlignment="1">
      <alignment horizontal="center" vertical="center" wrapText="1"/>
    </xf>
    <xf numFmtId="3" fontId="42" fillId="0" borderId="3" xfId="0" applyNumberFormat="1" applyFont="1" applyFill="1" applyBorder="1" applyAlignment="1">
      <alignment horizontal="center" vertical="center"/>
    </xf>
    <xf numFmtId="3" fontId="44" fillId="0" borderId="3" xfId="0" applyNumberFormat="1" applyFont="1" applyFill="1" applyBorder="1" applyAlignment="1">
      <alignment horizontal="center" vertical="center"/>
    </xf>
    <xf numFmtId="43" fontId="42" fillId="0" borderId="8" xfId="59491" applyFont="1" applyFill="1" applyBorder="1" applyAlignment="1">
      <alignment horizontal="justify" vertical="center"/>
    </xf>
    <xf numFmtId="37" fontId="42" fillId="0" borderId="2" xfId="53" applyNumberFormat="1" applyFont="1" applyFill="1" applyBorder="1" applyAlignment="1">
      <alignment horizontal="center" vertical="center"/>
    </xf>
    <xf numFmtId="37" fontId="42" fillId="0" borderId="4" xfId="53" applyNumberFormat="1" applyFont="1" applyFill="1" applyBorder="1" applyAlignment="1">
      <alignment horizontal="center" vertical="center"/>
    </xf>
    <xf numFmtId="189" fontId="44" fillId="0" borderId="4" xfId="53" applyNumberFormat="1" applyFont="1" applyFill="1" applyBorder="1" applyAlignment="1">
      <alignment horizontal="center" vertical="center"/>
    </xf>
    <xf numFmtId="189" fontId="44" fillId="2" borderId="2" xfId="53"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37" fontId="42" fillId="0" borderId="8" xfId="53" applyNumberFormat="1" applyFont="1" applyFill="1" applyBorder="1" applyAlignment="1">
      <alignment horizontal="center" vertical="center"/>
    </xf>
    <xf numFmtId="37" fontId="44" fillId="0" borderId="8" xfId="53" applyNumberFormat="1" applyFont="1" applyFill="1" applyBorder="1" applyAlignment="1">
      <alignment horizontal="center" vertical="center"/>
    </xf>
    <xf numFmtId="2" fontId="44" fillId="2" borderId="2" xfId="0" applyNumberFormat="1" applyFont="1" applyFill="1" applyBorder="1" applyAlignment="1">
      <alignment horizontal="center" vertical="center"/>
    </xf>
    <xf numFmtId="2" fontId="44" fillId="2" borderId="4" xfId="0" applyNumberFormat="1" applyFont="1" applyFill="1" applyBorder="1" applyAlignment="1">
      <alignment horizontal="center" vertical="center"/>
    </xf>
    <xf numFmtId="1" fontId="44" fillId="0" borderId="4" xfId="0" applyNumberFormat="1" applyFont="1" applyFill="1" applyBorder="1" applyAlignment="1">
      <alignment horizontal="center" vertical="center"/>
    </xf>
    <xf numFmtId="2" fontId="62" fillId="0" borderId="45" xfId="59689" applyNumberFormat="1" applyFont="1" applyFill="1" applyBorder="1" applyAlignment="1" applyProtection="1">
      <alignment horizontal="center" vertical="center" wrapText="1"/>
      <protection locked="0"/>
    </xf>
    <xf numFmtId="2" fontId="62" fillId="0" borderId="2" xfId="59689" applyNumberFormat="1" applyFont="1" applyFill="1" applyBorder="1" applyAlignment="1" applyProtection="1">
      <alignment horizontal="center" vertical="center" wrapText="1"/>
      <protection locked="0"/>
    </xf>
    <xf numFmtId="0" fontId="42" fillId="0" borderId="3" xfId="0" applyFont="1" applyFill="1" applyBorder="1" applyAlignment="1">
      <alignment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8" xfId="53" applyFont="1" applyFill="1" applyBorder="1" applyAlignment="1">
      <alignment horizontal="right" vertical="center" wrapText="1"/>
    </xf>
    <xf numFmtId="4" fontId="42" fillId="0" borderId="8" xfId="53" applyNumberFormat="1" applyFont="1" applyFill="1" applyBorder="1" applyAlignment="1">
      <alignment horizontal="right" vertical="center" wrapText="1"/>
    </xf>
    <xf numFmtId="43" fontId="42" fillId="0" borderId="2" xfId="53" applyFont="1" applyFill="1" applyBorder="1" applyAlignment="1">
      <alignment horizontal="center" vertical="center"/>
    </xf>
    <xf numFmtId="0" fontId="42" fillId="0" borderId="0" xfId="0" applyFont="1" applyFill="1"/>
    <xf numFmtId="0" fontId="42" fillId="0" borderId="10" xfId="0" applyFont="1" applyFill="1" applyBorder="1" applyAlignment="1">
      <alignment horizontal="center" vertical="center"/>
    </xf>
    <xf numFmtId="0" fontId="42" fillId="0" borderId="10" xfId="0" applyFont="1" applyFill="1" applyBorder="1" applyAlignment="1">
      <alignment vertical="center"/>
    </xf>
    <xf numFmtId="0" fontId="42" fillId="0" borderId="7" xfId="0" applyFont="1" applyFill="1" applyBorder="1" applyAlignment="1">
      <alignment horizontal="center" vertical="center"/>
    </xf>
    <xf numFmtId="0" fontId="42" fillId="0" borderId="1" xfId="0" applyFont="1" applyFill="1" applyBorder="1" applyAlignment="1">
      <alignment horizontal="center" vertical="center"/>
    </xf>
    <xf numFmtId="3" fontId="45" fillId="10" borderId="7" xfId="53" applyNumberFormat="1" applyFont="1" applyFill="1" applyBorder="1" applyAlignment="1">
      <alignment horizontal="center" vertical="center"/>
    </xf>
    <xf numFmtId="0" fontId="42" fillId="2" borderId="40" xfId="0" applyFont="1" applyFill="1" applyBorder="1" applyAlignment="1">
      <alignment horizontal="center" vertical="center" wrapText="1"/>
    </xf>
    <xf numFmtId="0" fontId="42" fillId="2" borderId="1" xfId="0" applyFont="1" applyFill="1" applyBorder="1" applyAlignment="1">
      <alignment horizontal="center" vertical="center" wrapText="1"/>
    </xf>
    <xf numFmtId="3" fontId="45" fillId="7" borderId="7" xfId="53" applyNumberFormat="1" applyFont="1" applyFill="1" applyBorder="1" applyAlignment="1">
      <alignment horizontal="center" vertical="center"/>
    </xf>
    <xf numFmtId="0" fontId="45" fillId="3" borderId="2" xfId="0" applyFont="1" applyFill="1" applyBorder="1" applyAlignment="1">
      <alignment horizontal="center" vertical="center" wrapText="1"/>
    </xf>
    <xf numFmtId="0" fontId="42" fillId="2" borderId="40"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2" fillId="0" borderId="1" xfId="0" applyFont="1" applyBorder="1" applyAlignment="1">
      <alignment horizontal="center" vertical="center" wrapText="1"/>
    </xf>
    <xf numFmtId="9" fontId="42" fillId="0" borderId="1" xfId="0" applyNumberFormat="1" applyFont="1" applyBorder="1" applyAlignment="1">
      <alignment horizontal="center" vertical="center" wrapText="1"/>
    </xf>
    <xf numFmtId="3" fontId="45" fillId="7" borderId="1"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3" fontId="45" fillId="10" borderId="8" xfId="0" applyNumberFormat="1" applyFont="1" applyFill="1" applyBorder="1" applyAlignment="1">
      <alignment horizontal="center" vertical="center" wrapText="1"/>
    </xf>
    <xf numFmtId="3" fontId="45" fillId="10" borderId="9" xfId="0" applyNumberFormat="1" applyFont="1" applyFill="1" applyBorder="1" applyAlignment="1">
      <alignment horizontal="center" vertical="center" wrapText="1"/>
    </xf>
    <xf numFmtId="3" fontId="45" fillId="10" borderId="7" xfId="0" applyNumberFormat="1" applyFont="1" applyFill="1" applyBorder="1" applyAlignment="1">
      <alignment horizontal="center" vertical="center" wrapText="1"/>
    </xf>
    <xf numFmtId="3" fontId="45" fillId="10" borderId="4"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4" fontId="45" fillId="10" borderId="5" xfId="0" applyNumberFormat="1" applyFont="1" applyFill="1" applyBorder="1" applyAlignment="1">
      <alignment horizontal="center" vertical="center" wrapText="1"/>
    </xf>
    <xf numFmtId="3" fontId="45" fillId="10" borderId="8" xfId="53" applyNumberFormat="1" applyFont="1" applyFill="1" applyBorder="1" applyAlignment="1">
      <alignment horizontal="center" vertical="center"/>
    </xf>
    <xf numFmtId="3" fontId="45" fillId="10" borderId="9"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3" fontId="45" fillId="6" borderId="8" xfId="53" applyNumberFormat="1" applyFont="1" applyFill="1" applyBorder="1" applyAlignment="1">
      <alignment horizontal="center" vertical="center"/>
    </xf>
    <xf numFmtId="3" fontId="45" fillId="6" borderId="9" xfId="53" applyNumberFormat="1" applyFont="1" applyFill="1" applyBorder="1" applyAlignment="1">
      <alignment horizontal="center" vertical="center"/>
    </xf>
    <xf numFmtId="3" fontId="45" fillId="6" borderId="7" xfId="53" applyNumberFormat="1" applyFont="1" applyFill="1" applyBorder="1" applyAlignment="1">
      <alignment horizontal="center" vertical="center"/>
    </xf>
    <xf numFmtId="0" fontId="42" fillId="2" borderId="40" xfId="0" applyFont="1" applyFill="1" applyBorder="1" applyAlignment="1">
      <alignment horizontal="justify" vertical="center" wrapText="1"/>
    </xf>
    <xf numFmtId="0" fontId="42" fillId="2" borderId="1" xfId="0" applyFont="1" applyFill="1" applyBorder="1" applyAlignment="1">
      <alignment horizontal="justify" vertical="center" wrapText="1"/>
    </xf>
    <xf numFmtId="3" fontId="45" fillId="7" borderId="40" xfId="0" applyNumberFormat="1" applyFont="1" applyFill="1" applyBorder="1" applyAlignment="1">
      <alignment horizontal="center" vertical="center" wrapText="1"/>
    </xf>
    <xf numFmtId="3" fontId="45" fillId="7" borderId="1" xfId="0" applyNumberFormat="1" applyFont="1" applyFill="1" applyBorder="1" applyAlignment="1">
      <alignment horizontal="center" vertical="center" wrapText="1"/>
    </xf>
    <xf numFmtId="0" fontId="43" fillId="15" borderId="7" xfId="0" applyFont="1" applyFill="1" applyBorder="1" applyAlignment="1">
      <alignment horizontal="center"/>
    </xf>
    <xf numFmtId="0" fontId="43" fillId="15" borderId="2" xfId="0" applyFont="1" applyFill="1" applyBorder="1" applyAlignment="1">
      <alignment horizontal="center"/>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0" fontId="45" fillId="3" borderId="2" xfId="0" applyFont="1" applyFill="1" applyBorder="1" applyAlignment="1">
      <alignment horizontal="justify" vertical="center"/>
    </xf>
    <xf numFmtId="0" fontId="45" fillId="3" borderId="2" xfId="0" applyFont="1" applyFill="1" applyBorder="1" applyAlignment="1">
      <alignment horizontal="center" vertical="center" wrapText="1"/>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3" fillId="14" borderId="8" xfId="0" applyFont="1" applyFill="1" applyBorder="1" applyAlignment="1">
      <alignment horizontal="center" vertical="center"/>
    </xf>
    <xf numFmtId="0" fontId="43" fillId="14" borderId="9" xfId="0" applyFont="1" applyFill="1" applyBorder="1" applyAlignment="1">
      <alignment horizontal="center" vertical="center"/>
    </xf>
    <xf numFmtId="0" fontId="42" fillId="2" borderId="3" xfId="0" applyFont="1" applyFill="1" applyBorder="1" applyAlignment="1">
      <alignment horizontal="justify" vertical="center" wrapText="1"/>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9" fontId="42" fillId="0" borderId="1" xfId="0" applyNumberFormat="1" applyFont="1" applyBorder="1" applyAlignment="1">
      <alignment horizontal="center" vertical="center" wrapText="1"/>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45" fillId="3" borderId="1" xfId="0" applyFont="1" applyFill="1" applyBorder="1" applyAlignment="1">
      <alignment horizontal="center" vertical="center" wrapText="1"/>
    </xf>
    <xf numFmtId="0" fontId="42" fillId="2" borderId="40" xfId="0" applyFont="1" applyFill="1" applyBorder="1" applyAlignment="1">
      <alignment horizontal="center" vertical="center" wrapText="1"/>
    </xf>
    <xf numFmtId="0" fontId="46" fillId="3" borderId="9" xfId="0" applyFont="1" applyFill="1" applyBorder="1" applyAlignment="1">
      <alignment horizontal="center" vertical="center" wrapText="1"/>
    </xf>
    <xf numFmtId="3" fontId="45" fillId="9" borderId="33" xfId="0" applyNumberFormat="1" applyFont="1" applyFill="1" applyBorder="1" applyAlignment="1">
      <alignment horizontal="center" vertical="center" wrapText="1"/>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0" fontId="43" fillId="13" borderId="7" xfId="0" applyFont="1" applyFill="1" applyBorder="1" applyAlignment="1">
      <alignment horizontal="center" vertical="center"/>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0" fontId="43" fillId="13" borderId="8" xfId="0" applyFont="1" applyFill="1" applyBorder="1" applyAlignment="1">
      <alignment horizontal="center"/>
    </xf>
    <xf numFmtId="0" fontId="43" fillId="13" borderId="9" xfId="0" applyFont="1" applyFill="1" applyBorder="1" applyAlignment="1">
      <alignment horizontal="center"/>
    </xf>
    <xf numFmtId="0" fontId="44" fillId="13" borderId="9" xfId="0" applyFont="1" applyFill="1" applyBorder="1" applyAlignment="1">
      <alignment horizontal="center"/>
    </xf>
    <xf numFmtId="0" fontId="43" fillId="13" borderId="7" xfId="0" applyFont="1" applyFill="1" applyBorder="1" applyAlignment="1">
      <alignment horizontal="center"/>
    </xf>
    <xf numFmtId="0" fontId="43" fillId="3" borderId="8"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10" fontId="45" fillId="3" borderId="2" xfId="0" applyNumberFormat="1"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4" xfId="0" applyFont="1" applyBorder="1" applyAlignment="1">
      <alignment horizontal="center"/>
    </xf>
    <xf numFmtId="0" fontId="5"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6" fillId="48" borderId="2" xfId="0" applyFont="1" applyFill="1" applyBorder="1" applyAlignment="1">
      <alignment horizontal="center" vertical="center" wrapText="1"/>
    </xf>
    <xf numFmtId="0" fontId="57" fillId="48" borderId="2" xfId="0" applyFont="1" applyFill="1" applyBorder="1" applyAlignment="1">
      <alignment horizontal="center" vertical="center" wrapText="1"/>
    </xf>
    <xf numFmtId="0" fontId="57" fillId="48" borderId="40" xfId="0" applyFont="1" applyFill="1" applyBorder="1" applyAlignment="1">
      <alignment horizontal="center" vertical="center" wrapText="1"/>
    </xf>
    <xf numFmtId="0" fontId="57" fillId="48" borderId="3" xfId="0" applyFont="1" applyFill="1" applyBorder="1" applyAlignment="1">
      <alignment horizontal="center" vertical="center" wrapText="1"/>
    </xf>
    <xf numFmtId="0" fontId="57" fillId="48" borderId="1" xfId="0" applyFont="1" applyFill="1" applyBorder="1" applyAlignment="1">
      <alignment horizontal="center" vertical="center" wrapText="1"/>
    </xf>
    <xf numFmtId="0" fontId="56" fillId="48" borderId="8" xfId="0" applyFont="1" applyFill="1" applyBorder="1" applyAlignment="1">
      <alignment horizontal="center" vertical="center" wrapText="1"/>
    </xf>
    <xf numFmtId="0" fontId="56" fillId="48" borderId="9" xfId="0" applyFont="1" applyFill="1" applyBorder="1" applyAlignment="1">
      <alignment horizontal="center" vertical="center" wrapText="1"/>
    </xf>
    <xf numFmtId="0" fontId="56" fillId="48" borderId="7" xfId="0" applyFont="1" applyFill="1" applyBorder="1" applyAlignment="1">
      <alignment horizontal="center" vertical="center" wrapText="1"/>
    </xf>
    <xf numFmtId="0" fontId="58" fillId="48" borderId="2" xfId="0" applyFont="1" applyFill="1" applyBorder="1" applyAlignment="1">
      <alignment horizontal="center" vertical="center" wrapText="1"/>
    </xf>
    <xf numFmtId="0" fontId="59" fillId="48" borderId="2" xfId="0" applyFont="1" applyFill="1" applyBorder="1" applyAlignment="1">
      <alignment horizontal="center" vertical="center" wrapText="1"/>
    </xf>
    <xf numFmtId="0" fontId="59" fillId="48" borderId="8" xfId="0" applyFont="1" applyFill="1" applyBorder="1" applyAlignment="1">
      <alignment horizontal="center" vertical="center" wrapText="1"/>
    </xf>
    <xf numFmtId="0" fontId="59" fillId="48" borderId="7" xfId="0" applyFont="1" applyFill="1" applyBorder="1" applyAlignment="1">
      <alignment horizontal="center" vertical="center" wrapText="1"/>
    </xf>
    <xf numFmtId="0" fontId="47" fillId="0" borderId="40" xfId="62889" applyNumberFormat="1" applyFont="1" applyFill="1" applyBorder="1" applyAlignment="1">
      <alignment horizontal="center" vertical="center"/>
    </xf>
    <xf numFmtId="0" fontId="44" fillId="0" borderId="9" xfId="0" applyFont="1" applyFill="1" applyBorder="1" applyAlignment="1">
      <alignment horizontal="center" vertical="center" wrapText="1"/>
    </xf>
    <xf numFmtId="10" fontId="42" fillId="0" borderId="8" xfId="54" applyNumberFormat="1" applyFont="1" applyFill="1" applyBorder="1" applyAlignment="1">
      <alignment horizontal="center" vertical="center" wrapText="1"/>
    </xf>
    <xf numFmtId="0" fontId="44" fillId="0" borderId="2"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4" fillId="0" borderId="7" xfId="0" applyFont="1" applyFill="1" applyBorder="1" applyAlignment="1">
      <alignment horizontal="center" vertical="center" wrapText="1"/>
    </xf>
    <xf numFmtId="0" fontId="42" fillId="0" borderId="8" xfId="0" applyFont="1" applyFill="1" applyBorder="1" applyAlignment="1">
      <alignment horizontal="center" vertical="center" wrapText="1"/>
    </xf>
    <xf numFmtId="165" fontId="47" fillId="0" borderId="40" xfId="62889" applyFont="1" applyFill="1" applyBorder="1" applyAlignment="1">
      <alignment horizontal="center" vertical="center"/>
    </xf>
    <xf numFmtId="1" fontId="44" fillId="0" borderId="2" xfId="0" applyNumberFormat="1" applyFont="1" applyFill="1" applyBorder="1" applyAlignment="1">
      <alignment horizontal="center" vertical="center" wrapText="1"/>
    </xf>
    <xf numFmtId="10" fontId="42" fillId="0" borderId="8" xfId="0" applyNumberFormat="1" applyFont="1" applyFill="1" applyBorder="1" applyAlignment="1">
      <alignment horizontal="center" vertical="center" wrapText="1"/>
    </xf>
    <xf numFmtId="43" fontId="42" fillId="0" borderId="8" xfId="53" applyFont="1" applyFill="1" applyBorder="1" applyAlignment="1">
      <alignment vertical="center" wrapText="1"/>
    </xf>
    <xf numFmtId="43" fontId="42" fillId="0" borderId="2" xfId="53" applyFont="1" applyFill="1" applyBorder="1" applyAlignment="1">
      <alignment vertical="center" wrapText="1"/>
    </xf>
    <xf numFmtId="43" fontId="42" fillId="0" borderId="2" xfId="53" applyFont="1" applyFill="1" applyBorder="1" applyAlignment="1">
      <alignment horizontal="right" vertical="center" wrapText="1"/>
    </xf>
    <xf numFmtId="43" fontId="42" fillId="0" borderId="7" xfId="53" applyFont="1" applyFill="1" applyBorder="1" applyAlignment="1">
      <alignment horizontal="right" vertical="center" wrapText="1"/>
    </xf>
    <xf numFmtId="0" fontId="42" fillId="0" borderId="2" xfId="0" applyFont="1" applyFill="1" applyBorder="1" applyAlignment="1">
      <alignment horizontal="justify" vertical="center"/>
    </xf>
    <xf numFmtId="0" fontId="42" fillId="0" borderId="3" xfId="0" applyFont="1" applyFill="1" applyBorder="1" applyAlignment="1">
      <alignment horizontal="center" vertical="center"/>
    </xf>
    <xf numFmtId="0" fontId="42" fillId="0" borderId="3" xfId="0" applyFont="1" applyFill="1" applyBorder="1" applyAlignment="1">
      <alignment horizontal="center" vertical="center" wrapText="1"/>
    </xf>
    <xf numFmtId="0" fontId="42" fillId="0" borderId="10" xfId="0" applyFont="1" applyFill="1" applyBorder="1" applyAlignment="1">
      <alignment horizontal="justify" vertical="center"/>
    </xf>
    <xf numFmtId="0" fontId="42" fillId="0" borderId="10" xfId="0" applyFont="1" applyFill="1" applyBorder="1"/>
    <xf numFmtId="0" fontId="42" fillId="0" borderId="1" xfId="0" applyFont="1" applyFill="1" applyBorder="1" applyAlignment="1">
      <alignment horizontal="justify" vertical="center" wrapText="1"/>
    </xf>
    <xf numFmtId="0" fontId="42" fillId="0" borderId="1" xfId="0" applyFont="1" applyFill="1" applyBorder="1" applyAlignment="1">
      <alignment horizontal="center" vertical="center" wrapText="1"/>
    </xf>
    <xf numFmtId="9" fontId="42" fillId="0" borderId="10" xfId="0" applyNumberFormat="1" applyFont="1" applyFill="1" applyBorder="1" applyAlignment="1">
      <alignment horizontal="center" vertical="center"/>
    </xf>
    <xf numFmtId="0" fontId="42" fillId="0" borderId="40" xfId="0" applyFont="1" applyFill="1" applyBorder="1" applyAlignment="1">
      <alignment horizontal="center" vertical="center" wrapText="1"/>
    </xf>
    <xf numFmtId="43" fontId="42" fillId="0" borderId="8" xfId="53" applyFont="1" applyFill="1" applyBorder="1" applyAlignment="1">
      <alignment vertical="center"/>
    </xf>
    <xf numFmtId="43" fontId="42" fillId="0" borderId="2" xfId="53" applyFont="1" applyFill="1" applyBorder="1" applyAlignment="1">
      <alignment vertical="center"/>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wrapText="1"/>
    </xf>
    <xf numFmtId="175" fontId="42" fillId="0" borderId="2" xfId="0" applyNumberFormat="1" applyFont="1" applyFill="1" applyBorder="1" applyAlignment="1">
      <alignment horizontal="center" vertical="center" wrapText="1"/>
    </xf>
    <xf numFmtId="2" fontId="44" fillId="0" borderId="2" xfId="0" applyNumberFormat="1" applyFont="1" applyFill="1" applyBorder="1" applyAlignment="1">
      <alignment horizontal="center" vertical="center" wrapText="1"/>
    </xf>
    <xf numFmtId="43" fontId="41" fillId="0" borderId="1" xfId="53" applyFont="1" applyFill="1" applyBorder="1" applyAlignment="1">
      <alignment horizontal="center" vertical="center" wrapText="1"/>
    </xf>
    <xf numFmtId="43" fontId="55" fillId="0" borderId="1" xfId="53" applyFont="1" applyFill="1" applyBorder="1" applyAlignment="1">
      <alignment horizontal="center" vertical="center" wrapText="1"/>
    </xf>
    <xf numFmtId="9" fontId="42" fillId="0" borderId="1" xfId="0" applyNumberFormat="1" applyFont="1" applyFill="1" applyBorder="1" applyAlignment="1">
      <alignment horizontal="center" vertical="center"/>
    </xf>
    <xf numFmtId="9" fontId="42" fillId="0" borderId="2" xfId="0" applyNumberFormat="1" applyFont="1" applyFill="1" applyBorder="1" applyAlignment="1">
      <alignment horizontal="center" vertical="center"/>
    </xf>
    <xf numFmtId="0" fontId="42" fillId="0" borderId="5" xfId="0" applyFont="1" applyFill="1" applyBorder="1" applyAlignment="1">
      <alignment horizontal="center" vertical="center" wrapText="1"/>
    </xf>
    <xf numFmtId="0" fontId="42" fillId="0" borderId="33" xfId="0" applyFont="1" applyFill="1" applyBorder="1" applyAlignment="1">
      <alignment horizontal="center" vertical="center" wrapText="1"/>
    </xf>
    <xf numFmtId="9" fontId="42" fillId="0" borderId="2" xfId="0" applyNumberFormat="1" applyFont="1" applyFill="1" applyBorder="1" applyAlignment="1">
      <alignment horizontal="center" vertical="center" wrapText="1"/>
    </xf>
    <xf numFmtId="9" fontId="42" fillId="0" borderId="1" xfId="0" applyNumberFormat="1" applyFont="1" applyFill="1" applyBorder="1" applyAlignment="1">
      <alignment horizontal="center" vertical="center" wrapText="1"/>
    </xf>
    <xf numFmtId="0" fontId="42" fillId="0" borderId="1" xfId="0" applyFont="1" applyFill="1" applyBorder="1" applyAlignment="1">
      <alignment vertical="center"/>
    </xf>
    <xf numFmtId="0" fontId="42" fillId="0" borderId="1" xfId="0" applyFont="1" applyFill="1" applyBorder="1" applyAlignment="1">
      <alignment vertical="center" wrapText="1"/>
    </xf>
    <xf numFmtId="3" fontId="42" fillId="0" borderId="2" xfId="0" applyNumberFormat="1" applyFont="1" applyFill="1" applyBorder="1" applyAlignment="1">
      <alignment horizontal="justify" vertical="center" wrapText="1"/>
    </xf>
    <xf numFmtId="3" fontId="44" fillId="0" borderId="2" xfId="0" applyNumberFormat="1"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0" borderId="40" xfId="0" applyFont="1" applyFill="1" applyBorder="1" applyAlignment="1">
      <alignment horizontal="justify" vertical="center" wrapText="1"/>
    </xf>
    <xf numFmtId="3" fontId="44" fillId="0" borderId="2" xfId="0"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10" fontId="42" fillId="0" borderId="8" xfId="54" applyNumberFormat="1" applyFont="1" applyFill="1" applyBorder="1" applyAlignment="1">
      <alignment horizontal="center" vertical="center"/>
    </xf>
    <xf numFmtId="0" fontId="42" fillId="0" borderId="1" xfId="0" applyFont="1" applyFill="1" applyBorder="1" applyAlignment="1">
      <alignment horizontal="justify" vertical="center" wrapText="1"/>
    </xf>
    <xf numFmtId="43" fontId="49" fillId="0" borderId="2" xfId="53" applyFont="1" applyFill="1" applyBorder="1" applyAlignment="1">
      <alignment horizontal="right" vertical="center"/>
    </xf>
    <xf numFmtId="43" fontId="42" fillId="0" borderId="8" xfId="59498" applyNumberFormat="1" applyFont="1" applyFill="1" applyBorder="1" applyAlignment="1">
      <alignment horizontal="right" vertical="center" wrapText="1"/>
    </xf>
    <xf numFmtId="0" fontId="42" fillId="0" borderId="11" xfId="0" applyFont="1" applyFill="1" applyBorder="1" applyAlignment="1">
      <alignment horizontal="center" vertical="center"/>
    </xf>
    <xf numFmtId="0" fontId="42" fillId="0" borderId="2" xfId="0" applyFont="1" applyFill="1" applyBorder="1" applyAlignment="1">
      <alignment horizontal="center" wrapText="1"/>
    </xf>
    <xf numFmtId="0" fontId="42" fillId="0" borderId="3" xfId="0" applyFont="1" applyFill="1" applyBorder="1" applyAlignment="1">
      <alignment horizontal="center" wrapText="1"/>
    </xf>
    <xf numFmtId="3" fontId="42" fillId="0" borderId="2" xfId="0" applyNumberFormat="1" applyFont="1" applyFill="1" applyBorder="1" applyAlignment="1">
      <alignment horizontal="justify" vertical="center"/>
    </xf>
    <xf numFmtId="10" fontId="42" fillId="0" borderId="8" xfId="0" applyNumberFormat="1" applyFont="1" applyFill="1" applyBorder="1" applyAlignment="1">
      <alignment horizontal="center" vertical="center"/>
    </xf>
    <xf numFmtId="0" fontId="42" fillId="0" borderId="3" xfId="0" applyFont="1" applyFill="1" applyBorder="1" applyAlignment="1">
      <alignment horizontal="justify" vertical="center" wrapText="1"/>
    </xf>
    <xf numFmtId="0" fontId="42" fillId="0" borderId="3" xfId="0" applyFont="1" applyFill="1" applyBorder="1" applyAlignment="1">
      <alignment vertical="center" wrapText="1"/>
    </xf>
    <xf numFmtId="3" fontId="47" fillId="0" borderId="40" xfId="62889" applyNumberFormat="1" applyFont="1" applyFill="1" applyBorder="1" applyAlignment="1">
      <alignment horizontal="center" vertical="center"/>
    </xf>
    <xf numFmtId="0" fontId="42" fillId="0" borderId="9" xfId="0" applyFont="1" applyFill="1" applyBorder="1" applyAlignment="1">
      <alignment horizontal="center" vertical="center"/>
    </xf>
    <xf numFmtId="165" fontId="4" fillId="0" borderId="2" xfId="62889" applyFont="1" applyFill="1" applyBorder="1" applyAlignment="1">
      <alignment horizontal="right" vertical="center"/>
    </xf>
    <xf numFmtId="3" fontId="42" fillId="0" borderId="40" xfId="0" applyNumberFormat="1" applyFont="1" applyFill="1" applyBorder="1" applyAlignment="1">
      <alignment horizontal="center" vertical="center"/>
    </xf>
    <xf numFmtId="3" fontId="44" fillId="0" borderId="40" xfId="0" applyNumberFormat="1" applyFont="1" applyFill="1" applyBorder="1" applyAlignment="1">
      <alignment horizontal="center" vertical="center"/>
    </xf>
    <xf numFmtId="3" fontId="42" fillId="0" borderId="33" xfId="0" applyNumberFormat="1" applyFont="1" applyFill="1" applyBorder="1" applyAlignment="1">
      <alignment horizontal="center" vertical="center"/>
    </xf>
    <xf numFmtId="43" fontId="42" fillId="0" borderId="40" xfId="53" applyFont="1" applyFill="1" applyBorder="1" applyAlignment="1">
      <alignment vertical="center" wrapText="1"/>
    </xf>
    <xf numFmtId="43" fontId="42" fillId="0" borderId="40" xfId="53" applyFont="1" applyFill="1" applyBorder="1" applyAlignment="1">
      <alignment horizontal="right" vertical="center" wrapText="1"/>
    </xf>
    <xf numFmtId="43" fontId="42" fillId="0" borderId="41" xfId="53" applyFont="1" applyFill="1" applyBorder="1" applyAlignment="1">
      <alignment vertical="center" wrapText="1"/>
    </xf>
    <xf numFmtId="43" fontId="42" fillId="0" borderId="33" xfId="53" applyFont="1" applyFill="1" applyBorder="1" applyAlignment="1">
      <alignment horizontal="right" vertical="center" wrapText="1"/>
    </xf>
    <xf numFmtId="43" fontId="42" fillId="0" borderId="33" xfId="53" applyFont="1" applyFill="1" applyBorder="1" applyAlignment="1">
      <alignment vertical="center" wrapText="1"/>
    </xf>
    <xf numFmtId="3" fontId="51" fillId="0" borderId="2" xfId="0" applyNumberFormat="1" applyFont="1" applyFill="1" applyBorder="1" applyAlignment="1">
      <alignment horizontal="center" vertical="center"/>
    </xf>
    <xf numFmtId="43" fontId="53" fillId="0" borderId="4" xfId="53" applyFont="1" applyFill="1" applyBorder="1" applyAlignment="1">
      <alignment horizontal="center" vertical="center" wrapText="1"/>
    </xf>
    <xf numFmtId="3" fontId="42" fillId="0" borderId="3" xfId="0" applyNumberFormat="1" applyFont="1" applyFill="1" applyBorder="1" applyAlignment="1">
      <alignment horizontal="justify" vertical="center" wrapText="1"/>
    </xf>
    <xf numFmtId="165" fontId="47" fillId="0" borderId="3" xfId="62889" applyFont="1" applyFill="1" applyBorder="1" applyAlignment="1">
      <alignment horizontal="center" vertical="center"/>
    </xf>
    <xf numFmtId="1" fontId="44" fillId="0" borderId="3" xfId="0" applyNumberFormat="1" applyFont="1" applyFill="1" applyBorder="1" applyAlignment="1">
      <alignment horizontal="center" vertical="center"/>
    </xf>
    <xf numFmtId="10" fontId="42" fillId="0" borderId="3" xfId="54" applyNumberFormat="1" applyFont="1" applyFill="1" applyBorder="1" applyAlignment="1">
      <alignment horizontal="center" vertical="center"/>
    </xf>
    <xf numFmtId="43" fontId="42" fillId="0" borderId="1" xfId="53" applyFont="1" applyFill="1" applyBorder="1" applyAlignment="1">
      <alignment vertical="center"/>
    </xf>
    <xf numFmtId="43" fontId="42" fillId="0" borderId="1" xfId="53" applyFont="1" applyFill="1" applyBorder="1" applyAlignment="1">
      <alignment vertical="center" wrapText="1"/>
    </xf>
    <xf numFmtId="43" fontId="42" fillId="0" borderId="4" xfId="53" applyFont="1" applyFill="1" applyBorder="1" applyAlignment="1">
      <alignment vertical="center" wrapText="1"/>
    </xf>
    <xf numFmtId="43" fontId="42" fillId="0" borderId="3" xfId="53" applyFont="1" applyFill="1" applyBorder="1" applyAlignment="1">
      <alignment horizontal="right" vertical="center"/>
    </xf>
    <xf numFmtId="43" fontId="42" fillId="0" borderId="3" xfId="53" applyFont="1" applyFill="1" applyBorder="1" applyAlignment="1">
      <alignment horizontal="right" vertical="center" wrapText="1"/>
    </xf>
    <xf numFmtId="43" fontId="42" fillId="0" borderId="4" xfId="53" applyFont="1" applyFill="1" applyBorder="1" applyAlignment="1">
      <alignment horizontal="right" vertical="center" wrapText="1"/>
    </xf>
    <xf numFmtId="43" fontId="42" fillId="0" borderId="10" xfId="53" applyFont="1" applyFill="1" applyBorder="1" applyAlignment="1">
      <alignment horizontal="right" vertical="center" wrapText="1"/>
    </xf>
    <xf numFmtId="43" fontId="42" fillId="0" borderId="1" xfId="53" applyFont="1" applyFill="1" applyBorder="1" applyAlignment="1">
      <alignment horizontal="right" vertical="center" wrapText="1"/>
    </xf>
    <xf numFmtId="43" fontId="42" fillId="0" borderId="6" xfId="53" applyFont="1" applyFill="1" applyBorder="1" applyAlignment="1">
      <alignment horizontal="right" vertical="center" wrapText="1"/>
    </xf>
    <xf numFmtId="4" fontId="42" fillId="0" borderId="2" xfId="53" applyNumberFormat="1" applyFont="1" applyFill="1" applyBorder="1" applyAlignment="1">
      <alignment horizontal="right" vertical="center" wrapText="1"/>
    </xf>
    <xf numFmtId="43" fontId="42" fillId="0" borderId="1" xfId="53" applyFont="1" applyFill="1" applyBorder="1" applyAlignment="1">
      <alignment horizontal="center" vertical="center"/>
    </xf>
    <xf numFmtId="0" fontId="42" fillId="0" borderId="0" xfId="0" applyFont="1" applyFill="1" applyAlignment="1">
      <alignment horizontal="left" vertical="center" wrapText="1"/>
    </xf>
    <xf numFmtId="0" fontId="42" fillId="0" borderId="8" xfId="0" applyFont="1" applyFill="1" applyBorder="1" applyAlignment="1">
      <alignment horizontal="center" vertical="center"/>
    </xf>
    <xf numFmtId="0" fontId="44" fillId="0" borderId="2" xfId="0" applyFont="1" applyFill="1" applyBorder="1" applyAlignment="1">
      <alignment horizontal="center" vertical="center"/>
    </xf>
    <xf numFmtId="37" fontId="47" fillId="0" borderId="40" xfId="62889" applyNumberFormat="1" applyFont="1" applyFill="1" applyBorder="1" applyAlignment="1">
      <alignment horizontal="center" vertical="center"/>
    </xf>
    <xf numFmtId="37" fontId="42" fillId="0" borderId="40" xfId="53" applyNumberFormat="1" applyFont="1" applyFill="1" applyBorder="1" applyAlignment="1">
      <alignment horizontal="center" vertical="center"/>
    </xf>
    <xf numFmtId="0" fontId="42" fillId="0" borderId="10" xfId="0" applyFont="1" applyFill="1" applyBorder="1" applyAlignment="1">
      <alignment horizontal="center" vertical="center" wrapText="1"/>
    </xf>
    <xf numFmtId="0" fontId="42" fillId="0" borderId="40" xfId="0" applyFont="1" applyFill="1" applyBorder="1" applyAlignment="1">
      <alignment horizontal="center" vertical="center" wrapText="1"/>
    </xf>
    <xf numFmtId="9" fontId="42" fillId="0" borderId="2" xfId="0" applyNumberFormat="1" applyFont="1" applyFill="1" applyBorder="1" applyAlignment="1">
      <alignment horizontal="justify" vertical="center" wrapText="1"/>
    </xf>
    <xf numFmtId="10" fontId="42" fillId="0" borderId="2" xfId="54" applyNumberFormat="1" applyFont="1" applyFill="1" applyBorder="1" applyAlignment="1">
      <alignment horizontal="center" vertical="center"/>
    </xf>
    <xf numFmtId="43" fontId="42" fillId="0" borderId="8" xfId="59498" applyNumberFormat="1" applyFont="1" applyFill="1" applyBorder="1" applyAlignment="1">
      <alignment horizontal="center" vertical="center"/>
    </xf>
    <xf numFmtId="9" fontId="42" fillId="0" borderId="3" xfId="0" applyNumberFormat="1" applyFont="1" applyFill="1" applyBorder="1" applyAlignment="1">
      <alignment horizontal="center" vertical="center"/>
    </xf>
    <xf numFmtId="9" fontId="42" fillId="0" borderId="8" xfId="0" applyNumberFormat="1" applyFont="1" applyFill="1" applyBorder="1" applyAlignment="1">
      <alignment horizontal="center" vertical="center" wrapText="1"/>
    </xf>
    <xf numFmtId="1" fontId="42" fillId="0" borderId="2" xfId="0" applyNumberFormat="1" applyFont="1" applyFill="1" applyBorder="1" applyAlignment="1">
      <alignment horizontal="center" vertical="center" wrapText="1"/>
    </xf>
    <xf numFmtId="43" fontId="42" fillId="0" borderId="7" xfId="53" applyFont="1" applyFill="1" applyBorder="1" applyAlignment="1">
      <alignment horizontal="right" vertical="center"/>
    </xf>
    <xf numFmtId="43" fontId="42" fillId="0" borderId="2" xfId="59491" applyFont="1" applyFill="1" applyBorder="1" applyAlignment="1">
      <alignment horizontal="justify" vertical="center"/>
    </xf>
    <xf numFmtId="0" fontId="42" fillId="0" borderId="0" xfId="0" applyFont="1" applyFill="1" applyAlignment="1">
      <alignment vertical="center"/>
    </xf>
    <xf numFmtId="43" fontId="42" fillId="0" borderId="13" xfId="53" applyFont="1" applyFill="1" applyBorder="1" applyAlignment="1">
      <alignment vertical="center"/>
    </xf>
    <xf numFmtId="0" fontId="42" fillId="0" borderId="8" xfId="0" applyFont="1" applyFill="1" applyBorder="1" applyAlignment="1">
      <alignment vertical="center" wrapText="1"/>
    </xf>
    <xf numFmtId="0" fontId="42" fillId="0" borderId="2" xfId="0" applyFont="1" applyFill="1" applyBorder="1" applyAlignment="1">
      <alignment vertical="center" wrapText="1"/>
    </xf>
    <xf numFmtId="0" fontId="47" fillId="0" borderId="2" xfId="62889" applyNumberFormat="1" applyFont="1" applyFill="1" applyBorder="1" applyAlignment="1">
      <alignment horizontal="center" vertical="center"/>
    </xf>
    <xf numFmtId="0" fontId="44" fillId="0" borderId="1" xfId="0" applyFont="1" applyFill="1" applyBorder="1" applyAlignment="1">
      <alignment horizontal="center" vertical="center"/>
    </xf>
    <xf numFmtId="175" fontId="44" fillId="0" borderId="1" xfId="0" applyNumberFormat="1" applyFont="1" applyFill="1" applyBorder="1" applyAlignment="1">
      <alignment horizontal="center" vertical="center"/>
    </xf>
    <xf numFmtId="10" fontId="42" fillId="0" borderId="1" xfId="54" applyNumberFormat="1" applyFont="1" applyFill="1" applyBorder="1" applyAlignment="1">
      <alignment horizontal="center" vertical="center"/>
    </xf>
    <xf numFmtId="43" fontId="42" fillId="0" borderId="7" xfId="53" applyFont="1" applyFill="1" applyBorder="1" applyAlignment="1">
      <alignment vertical="center"/>
    </xf>
    <xf numFmtId="0" fontId="42" fillId="0" borderId="1" xfId="0" applyFont="1" applyFill="1" applyBorder="1" applyAlignment="1">
      <alignment horizontal="justify" vertical="center"/>
    </xf>
    <xf numFmtId="0" fontId="42" fillId="0" borderId="4" xfId="0" applyFont="1" applyFill="1" applyBorder="1" applyAlignment="1">
      <alignment horizontal="center" vertical="center" wrapText="1"/>
    </xf>
    <xf numFmtId="1" fontId="44" fillId="0" borderId="1" xfId="0" applyNumberFormat="1" applyFont="1" applyFill="1" applyBorder="1" applyAlignment="1">
      <alignment horizontal="center" vertical="center"/>
    </xf>
    <xf numFmtId="43" fontId="42" fillId="0" borderId="4" xfId="53" applyFont="1" applyFill="1" applyBorder="1" applyAlignment="1">
      <alignment vertical="center"/>
    </xf>
    <xf numFmtId="43" fontId="42" fillId="0" borderId="10" xfId="53" applyFont="1" applyFill="1" applyBorder="1" applyAlignment="1">
      <alignment horizontal="right" vertical="center"/>
    </xf>
    <xf numFmtId="43" fontId="47" fillId="0" borderId="1" xfId="53" applyFont="1" applyFill="1" applyBorder="1" applyAlignment="1">
      <alignment horizontal="center" vertical="center" wrapText="1"/>
    </xf>
    <xf numFmtId="43" fontId="42" fillId="0" borderId="1" xfId="53" applyFont="1" applyFill="1" applyBorder="1" applyAlignment="1">
      <alignment horizontal="right" vertical="center"/>
    </xf>
    <xf numFmtId="43" fontId="42" fillId="0" borderId="5" xfId="53" applyFont="1" applyFill="1" applyBorder="1" applyAlignment="1">
      <alignment horizontal="right" vertical="center" wrapText="1"/>
    </xf>
    <xf numFmtId="43" fontId="42" fillId="0" borderId="4" xfId="53" applyFont="1" applyFill="1" applyBorder="1" applyAlignment="1">
      <alignment horizontal="right" vertical="center"/>
    </xf>
    <xf numFmtId="43" fontId="42" fillId="0" borderId="11" xfId="53" applyFont="1" applyFill="1" applyBorder="1" applyAlignment="1">
      <alignment horizontal="right" vertical="center"/>
    </xf>
    <xf numFmtId="183" fontId="47" fillId="0" borderId="40" xfId="62889" applyNumberFormat="1" applyFont="1" applyFill="1" applyBorder="1" applyAlignment="1">
      <alignment horizontal="center" vertical="center"/>
    </xf>
    <xf numFmtId="43" fontId="42" fillId="0" borderId="41" xfId="53" applyFont="1" applyFill="1" applyBorder="1" applyAlignment="1">
      <alignment horizontal="right" vertical="center"/>
    </xf>
    <xf numFmtId="43" fontId="42" fillId="0" borderId="41" xfId="53" applyFont="1" applyFill="1" applyBorder="1" applyAlignment="1">
      <alignment horizontal="right" vertical="center" wrapText="1"/>
    </xf>
    <xf numFmtId="43" fontId="42" fillId="0" borderId="40" xfId="53" applyFont="1" applyFill="1" applyBorder="1" applyAlignment="1">
      <alignment horizontal="right" vertical="center"/>
    </xf>
    <xf numFmtId="175" fontId="44" fillId="0" borderId="2" xfId="0" applyNumberFormat="1" applyFont="1" applyFill="1" applyBorder="1" applyAlignment="1">
      <alignment horizontal="center" vertical="center"/>
    </xf>
    <xf numFmtId="43" fontId="41" fillId="0" borderId="10" xfId="53" applyFont="1" applyFill="1" applyBorder="1" applyAlignment="1">
      <alignment horizontal="center" vertical="center" wrapText="1"/>
    </xf>
    <xf numFmtId="165" fontId="47" fillId="0" borderId="2" xfId="62889" applyFont="1" applyFill="1" applyBorder="1" applyAlignment="1">
      <alignment horizontal="center" vertical="center"/>
    </xf>
    <xf numFmtId="43" fontId="51" fillId="0" borderId="43" xfId="59491" applyFont="1" applyFill="1" applyBorder="1" applyAlignment="1">
      <alignment horizontal="center" vertical="center"/>
    </xf>
    <xf numFmtId="173" fontId="42" fillId="0" borderId="2" xfId="59498" applyNumberFormat="1" applyFont="1" applyFill="1" applyBorder="1" applyAlignment="1">
      <alignment horizontal="center" vertical="center"/>
    </xf>
    <xf numFmtId="173" fontId="42" fillId="0" borderId="8" xfId="59498" applyNumberFormat="1" applyFont="1" applyFill="1" applyBorder="1" applyAlignment="1">
      <alignment horizontal="center" vertical="center"/>
    </xf>
    <xf numFmtId="10" fontId="42" fillId="0" borderId="4" xfId="54" applyNumberFormat="1" applyFont="1" applyFill="1" applyBorder="1" applyAlignment="1">
      <alignment horizontal="center" vertical="center"/>
    </xf>
    <xf numFmtId="0" fontId="42" fillId="0" borderId="2" xfId="53" applyNumberFormat="1" applyFont="1" applyFill="1" applyBorder="1" applyAlignment="1">
      <alignment horizontal="center" vertical="center"/>
    </xf>
    <xf numFmtId="175" fontId="44" fillId="0" borderId="4" xfId="0" applyNumberFormat="1" applyFont="1" applyFill="1" applyBorder="1" applyAlignment="1">
      <alignment horizontal="center" vertical="center"/>
    </xf>
    <xf numFmtId="9" fontId="42" fillId="0" borderId="2" xfId="0" applyNumberFormat="1" applyFont="1" applyFill="1" applyBorder="1" applyAlignment="1">
      <alignment horizontal="justify" vertical="center"/>
    </xf>
    <xf numFmtId="0" fontId="53" fillId="0" borderId="2" xfId="0" applyFont="1" applyFill="1" applyBorder="1" applyAlignment="1">
      <alignment horizontal="justify" vertical="center" wrapText="1"/>
    </xf>
    <xf numFmtId="1" fontId="44" fillId="0" borderId="2" xfId="54" applyNumberFormat="1" applyFont="1" applyFill="1" applyBorder="1" applyAlignment="1">
      <alignment horizontal="center" vertical="center"/>
    </xf>
    <xf numFmtId="1" fontId="44" fillId="0" borderId="8" xfId="0" applyNumberFormat="1" applyFont="1" applyFill="1" applyBorder="1" applyAlignment="1">
      <alignment horizontal="center" vertical="center"/>
    </xf>
    <xf numFmtId="165" fontId="43" fillId="0" borderId="2" xfId="62889" applyFont="1" applyFill="1" applyBorder="1" applyAlignment="1">
      <alignment horizontal="center" vertical="center"/>
    </xf>
    <xf numFmtId="0" fontId="44" fillId="0" borderId="7" xfId="0" applyFont="1" applyFill="1" applyBorder="1" applyAlignment="1">
      <alignment horizontal="center" vertical="center"/>
    </xf>
    <xf numFmtId="2" fontId="42" fillId="0" borderId="10" xfId="0" applyNumberFormat="1" applyFont="1" applyFill="1" applyBorder="1" applyAlignment="1">
      <alignment horizontal="center" vertical="center"/>
    </xf>
    <xf numFmtId="2" fontId="42" fillId="0" borderId="2" xfId="0" applyNumberFormat="1" applyFont="1" applyFill="1" applyBorder="1" applyAlignment="1">
      <alignment horizontal="center" vertical="center"/>
    </xf>
    <xf numFmtId="2" fontId="42" fillId="0" borderId="1"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xf>
    <xf numFmtId="187" fontId="44" fillId="0" borderId="2" xfId="0" applyNumberFormat="1" applyFont="1" applyFill="1" applyBorder="1" applyAlignment="1">
      <alignment horizontal="center" vertical="center"/>
    </xf>
    <xf numFmtId="2" fontId="42" fillId="0" borderId="8" xfId="0" applyNumberFormat="1" applyFont="1" applyFill="1" applyBorder="1" applyAlignment="1">
      <alignment horizontal="center" vertical="center"/>
    </xf>
    <xf numFmtId="2" fontId="44" fillId="0" borderId="8" xfId="0" applyNumberFormat="1" applyFont="1" applyFill="1" applyBorder="1" applyAlignment="1">
      <alignment horizontal="center" vertical="center"/>
    </xf>
    <xf numFmtId="43" fontId="43" fillId="0" borderId="8" xfId="53" applyFont="1" applyFill="1" applyBorder="1" applyAlignment="1">
      <alignment vertical="center"/>
    </xf>
    <xf numFmtId="43" fontId="43" fillId="0" borderId="2" xfId="53" applyFont="1" applyFill="1" applyBorder="1" applyAlignment="1">
      <alignment vertical="center"/>
    </xf>
    <xf numFmtId="43" fontId="47" fillId="0" borderId="8" xfId="53" applyFont="1" applyFill="1" applyBorder="1" applyAlignment="1">
      <alignment horizontal="right" vertical="center" wrapText="1"/>
    </xf>
    <xf numFmtId="175" fontId="44" fillId="0" borderId="2" xfId="54" applyNumberFormat="1" applyFont="1" applyFill="1" applyBorder="1" applyAlignment="1">
      <alignment horizontal="center" vertical="center"/>
    </xf>
    <xf numFmtId="43" fontId="53" fillId="0" borderId="2" xfId="53" applyFont="1" applyFill="1" applyBorder="1" applyAlignment="1">
      <alignment horizontal="right" vertical="center"/>
    </xf>
    <xf numFmtId="173" fontId="42" fillId="0" borderId="8" xfId="59491" applyNumberFormat="1" applyFont="1" applyFill="1" applyBorder="1" applyAlignment="1">
      <alignment horizontal="justify" vertical="center"/>
    </xf>
    <xf numFmtId="10" fontId="42" fillId="0" borderId="10" xfId="54" applyNumberFormat="1" applyFont="1" applyFill="1" applyBorder="1" applyAlignment="1">
      <alignment horizontal="center" vertical="center"/>
    </xf>
    <xf numFmtId="43" fontId="42" fillId="0" borderId="10" xfId="53" applyFont="1" applyFill="1" applyBorder="1" applyAlignment="1">
      <alignment vertical="center"/>
    </xf>
    <xf numFmtId="43" fontId="47" fillId="0" borderId="1" xfId="53" applyFont="1" applyFill="1" applyBorder="1" applyAlignment="1">
      <alignment horizontal="right" vertical="center" wrapText="1"/>
    </xf>
    <xf numFmtId="37" fontId="42" fillId="0" borderId="10" xfId="53" applyNumberFormat="1" applyFont="1" applyFill="1" applyBorder="1" applyAlignment="1">
      <alignment horizontal="center" vertical="center"/>
    </xf>
    <xf numFmtId="43" fontId="47" fillId="0" borderId="1" xfId="62890" applyNumberFormat="1" applyFont="1" applyFill="1" applyBorder="1" applyAlignment="1">
      <alignment horizontal="center" vertical="center" wrapText="1"/>
    </xf>
    <xf numFmtId="9" fontId="42" fillId="0" borderId="2" xfId="59492" applyFont="1" applyFill="1" applyBorder="1" applyAlignment="1">
      <alignment horizontal="center" vertical="center" wrapText="1"/>
    </xf>
    <xf numFmtId="189" fontId="44" fillId="0" borderId="8" xfId="53" applyNumberFormat="1" applyFont="1" applyFill="1" applyBorder="1" applyAlignment="1">
      <alignment horizontal="center" vertical="center"/>
    </xf>
    <xf numFmtId="0" fontId="43" fillId="2" borderId="41" xfId="0" applyFont="1" applyFill="1" applyBorder="1" applyAlignment="1">
      <alignment horizontal="center"/>
    </xf>
    <xf numFmtId="0" fontId="43" fillId="2" borderId="42" xfId="0" applyFont="1" applyFill="1" applyBorder="1" applyAlignment="1">
      <alignment horizontal="center"/>
    </xf>
    <xf numFmtId="0" fontId="44" fillId="2" borderId="42" xfId="0" applyFont="1" applyFill="1" applyBorder="1" applyAlignment="1">
      <alignment horizontal="center"/>
    </xf>
    <xf numFmtId="0" fontId="43" fillId="2" borderId="42" xfId="0" applyFont="1" applyFill="1" applyBorder="1" applyAlignment="1">
      <alignment horizontal="center"/>
    </xf>
    <xf numFmtId="3" fontId="42" fillId="2" borderId="42" xfId="53" applyNumberFormat="1" applyFont="1" applyFill="1" applyBorder="1" applyAlignment="1">
      <alignment horizontal="right" vertical="center"/>
    </xf>
    <xf numFmtId="0" fontId="43" fillId="2" borderId="10" xfId="0" applyFont="1" applyFill="1" applyBorder="1" applyAlignment="1">
      <alignment horizontal="center"/>
    </xf>
    <xf numFmtId="0" fontId="43" fillId="2" borderId="0" xfId="0" applyFont="1" applyFill="1" applyBorder="1" applyAlignment="1">
      <alignment horizontal="center"/>
    </xf>
    <xf numFmtId="0" fontId="44" fillId="2" borderId="0" xfId="0" applyFont="1" applyFill="1" applyBorder="1" applyAlignment="1">
      <alignment horizontal="center"/>
    </xf>
    <xf numFmtId="0" fontId="43" fillId="2" borderId="0" xfId="0" applyFont="1" applyFill="1" applyBorder="1" applyAlignment="1">
      <alignment horizontal="center"/>
    </xf>
    <xf numFmtId="3" fontId="42" fillId="2" borderId="0" xfId="53" applyNumberFormat="1" applyFont="1" applyFill="1" applyBorder="1" applyAlignment="1">
      <alignment horizontal="right" vertical="center"/>
    </xf>
    <xf numFmtId="0" fontId="43" fillId="2" borderId="1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0" xfId="0" applyFont="1" applyFill="1" applyBorder="1" applyAlignment="1">
      <alignment vertical="center" wrapText="1"/>
    </xf>
    <xf numFmtId="4" fontId="43" fillId="2" borderId="0" xfId="0" applyNumberFormat="1" applyFont="1" applyFill="1" applyBorder="1" applyAlignment="1">
      <alignment vertical="center" wrapText="1"/>
    </xf>
    <xf numFmtId="0" fontId="43" fillId="0" borderId="6" xfId="0" applyFont="1" applyBorder="1" applyAlignment="1">
      <alignment vertical="distributed"/>
    </xf>
    <xf numFmtId="0" fontId="43" fillId="2" borderId="10" xfId="0" applyFont="1" applyFill="1" applyBorder="1"/>
    <xf numFmtId="0" fontId="43" fillId="2" borderId="0" xfId="0" applyFont="1" applyFill="1" applyBorder="1"/>
    <xf numFmtId="0" fontId="45" fillId="3" borderId="40" xfId="0" applyFont="1" applyFill="1" applyBorder="1" applyAlignment="1">
      <alignment horizontal="center" vertical="center" wrapText="1"/>
    </xf>
    <xf numFmtId="3" fontId="45" fillId="9" borderId="41" xfId="0" applyNumberFormat="1" applyFont="1" applyFill="1" applyBorder="1" applyAlignment="1">
      <alignment horizontal="center" vertical="center" wrapText="1"/>
    </xf>
    <xf numFmtId="3" fontId="45" fillId="9" borderId="42" xfId="0" applyNumberFormat="1" applyFont="1" applyFill="1" applyBorder="1" applyAlignment="1">
      <alignment horizontal="center" vertical="center" wrapText="1"/>
    </xf>
    <xf numFmtId="0" fontId="45" fillId="3" borderId="4" xfId="0" applyFont="1" applyFill="1" applyBorder="1" applyAlignment="1">
      <alignment horizontal="center" vertical="center" wrapText="1"/>
    </xf>
    <xf numFmtId="0" fontId="43" fillId="2" borderId="40" xfId="0" applyFont="1" applyFill="1" applyBorder="1" applyAlignment="1">
      <alignment vertical="center" wrapText="1"/>
    </xf>
    <xf numFmtId="0" fontId="42" fillId="0" borderId="40" xfId="0" applyFont="1" applyBorder="1" applyAlignment="1">
      <alignment horizontal="center" vertical="center" wrapText="1"/>
    </xf>
    <xf numFmtId="0" fontId="42" fillId="0" borderId="40" xfId="0" applyFont="1" applyBorder="1" applyAlignment="1">
      <alignment horizontal="justify" vertical="center" wrapText="1"/>
    </xf>
    <xf numFmtId="0" fontId="44" fillId="0" borderId="40" xfId="0" applyFont="1" applyBorder="1" applyAlignment="1">
      <alignment horizontal="center" vertical="center" wrapText="1"/>
    </xf>
    <xf numFmtId="0" fontId="42" fillId="2" borderId="40" xfId="0" applyFont="1" applyFill="1" applyBorder="1" applyAlignment="1">
      <alignment vertical="center" wrapText="1"/>
    </xf>
    <xf numFmtId="0" fontId="42" fillId="0" borderId="40" xfId="0" applyFont="1" applyBorder="1"/>
    <xf numFmtId="0" fontId="42" fillId="2" borderId="40" xfId="0" applyFont="1" applyFill="1" applyBorder="1" applyAlignment="1">
      <alignment vertical="center"/>
    </xf>
    <xf numFmtId="9" fontId="42" fillId="0" borderId="40" xfId="0" applyNumberFormat="1" applyFont="1" applyBorder="1" applyAlignment="1">
      <alignment horizontal="center" vertical="center"/>
    </xf>
    <xf numFmtId="0" fontId="42" fillId="0" borderId="40" xfId="0" applyFont="1" applyFill="1" applyBorder="1" applyAlignment="1">
      <alignment horizontal="center" vertical="center"/>
    </xf>
    <xf numFmtId="0" fontId="42" fillId="0" borderId="0" xfId="0" applyFont="1" applyFill="1" applyBorder="1"/>
    <xf numFmtId="0" fontId="42" fillId="0" borderId="41"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1" fontId="44" fillId="2" borderId="40" xfId="0" applyNumberFormat="1" applyFont="1" applyFill="1" applyBorder="1" applyAlignment="1">
      <alignment horizontal="center" vertical="center" wrapText="1"/>
    </xf>
    <xf numFmtId="10" fontId="42" fillId="0" borderId="41" xfId="54" applyNumberFormat="1" applyFont="1" applyBorder="1" applyAlignment="1">
      <alignment horizontal="center" vertical="center" wrapText="1"/>
    </xf>
    <xf numFmtId="0" fontId="42" fillId="0" borderId="41" xfId="0" applyFont="1" applyBorder="1" applyAlignment="1">
      <alignment horizontal="center" vertical="center" wrapText="1"/>
    </xf>
    <xf numFmtId="43" fontId="42" fillId="0" borderId="0" xfId="53" applyFont="1" applyBorder="1" applyAlignment="1">
      <alignment vertical="center"/>
    </xf>
    <xf numFmtId="0" fontId="42" fillId="0" borderId="40" xfId="0" applyFont="1" applyBorder="1" applyAlignment="1">
      <alignment vertical="center"/>
    </xf>
    <xf numFmtId="0" fontId="42" fillId="0" borderId="40" xfId="0" applyFont="1" applyFill="1" applyBorder="1" applyAlignment="1">
      <alignment horizontal="justify" vertical="center" wrapText="1"/>
    </xf>
    <xf numFmtId="9" fontId="42" fillId="0" borderId="0" xfId="0" applyNumberFormat="1" applyFont="1" applyFill="1" applyBorder="1" applyAlignment="1">
      <alignment horizontal="center" vertical="center"/>
    </xf>
    <xf numFmtId="0" fontId="42" fillId="0" borderId="0" xfId="0" applyFont="1" applyFill="1" applyBorder="1" applyAlignment="1">
      <alignment horizontal="center" vertical="center" wrapText="1"/>
    </xf>
    <xf numFmtId="43" fontId="42" fillId="0" borderId="0" xfId="53" applyFont="1" applyFill="1" applyBorder="1" applyAlignment="1">
      <alignment vertical="center"/>
    </xf>
    <xf numFmtId="43" fontId="43" fillId="0" borderId="2" xfId="53" applyFont="1" applyFill="1" applyBorder="1" applyAlignment="1">
      <alignment horizontal="center" vertical="center"/>
    </xf>
    <xf numFmtId="0" fontId="42" fillId="0" borderId="0" xfId="0" applyFont="1" applyBorder="1" applyAlignment="1">
      <alignment horizontal="center" wrapText="1"/>
    </xf>
    <xf numFmtId="0" fontId="42" fillId="0" borderId="0" xfId="0" applyFont="1" applyBorder="1" applyAlignment="1">
      <alignment horizontal="center" vertical="top"/>
    </xf>
    <xf numFmtId="3" fontId="42" fillId="0" borderId="40" xfId="0" applyNumberFormat="1" applyFont="1" applyFill="1" applyBorder="1" applyAlignment="1">
      <alignment vertical="center" wrapText="1"/>
    </xf>
    <xf numFmtId="3" fontId="42" fillId="0" borderId="40" xfId="0" applyNumberFormat="1" applyFont="1" applyFill="1" applyBorder="1" applyAlignment="1">
      <alignment horizontal="center" vertical="center" wrapText="1"/>
    </xf>
    <xf numFmtId="3" fontId="44" fillId="0" borderId="40" xfId="0" applyNumberFormat="1" applyFont="1" applyFill="1" applyBorder="1" applyAlignment="1">
      <alignment horizontal="center" vertical="center" wrapText="1"/>
    </xf>
    <xf numFmtId="1" fontId="44" fillId="0" borderId="40" xfId="0" applyNumberFormat="1" applyFont="1" applyFill="1" applyBorder="1" applyAlignment="1">
      <alignment horizontal="center" vertical="center"/>
    </xf>
    <xf numFmtId="10" fontId="42" fillId="0" borderId="40" xfId="54" applyNumberFormat="1" applyFont="1" applyFill="1" applyBorder="1" applyAlignment="1">
      <alignment horizontal="center" vertical="center"/>
    </xf>
    <xf numFmtId="43" fontId="42" fillId="0" borderId="40" xfId="53" applyFont="1" applyFill="1" applyBorder="1" applyAlignment="1">
      <alignment vertical="center"/>
    </xf>
    <xf numFmtId="173" fontId="47" fillId="0" borderId="40" xfId="59491" applyNumberFormat="1" applyFont="1" applyFill="1" applyBorder="1" applyAlignment="1">
      <alignment vertical="center"/>
    </xf>
    <xf numFmtId="0" fontId="43" fillId="6" borderId="41" xfId="0" applyFont="1" applyFill="1" applyBorder="1" applyAlignment="1">
      <alignment horizontal="left" vertical="center" wrapText="1"/>
    </xf>
    <xf numFmtId="0" fontId="43" fillId="6" borderId="42" xfId="0" applyFont="1" applyFill="1" applyBorder="1" applyAlignment="1">
      <alignment vertical="center"/>
    </xf>
    <xf numFmtId="0" fontId="42" fillId="0" borderId="0" xfId="0" applyFont="1" applyBorder="1" applyAlignment="1">
      <alignment horizontal="center" vertical="center" wrapText="1"/>
    </xf>
    <xf numFmtId="0" fontId="42" fillId="2" borderId="0" xfId="0" applyFont="1" applyFill="1" applyBorder="1" applyAlignment="1">
      <alignment vertical="center"/>
    </xf>
    <xf numFmtId="0" fontId="43" fillId="6" borderId="0" xfId="0" applyFont="1" applyFill="1" applyBorder="1" applyAlignment="1">
      <alignment horizontal="center" vertical="center" wrapText="1"/>
    </xf>
    <xf numFmtId="0" fontId="43" fillId="6" borderId="0" xfId="0" applyFont="1" applyFill="1" applyBorder="1" applyAlignment="1">
      <alignment vertical="center"/>
    </xf>
    <xf numFmtId="0" fontId="43" fillId="6" borderId="0" xfId="0" applyFont="1" applyFill="1" applyBorder="1" applyAlignment="1">
      <alignment horizontal="left" vertical="center" wrapText="1"/>
    </xf>
    <xf numFmtId="0" fontId="43" fillId="6" borderId="42" xfId="0" applyFont="1" applyFill="1" applyBorder="1" applyAlignment="1">
      <alignment horizontal="left" vertical="center" wrapText="1"/>
    </xf>
    <xf numFmtId="0" fontId="43" fillId="6" borderId="41" xfId="0" applyFont="1" applyFill="1" applyBorder="1" applyAlignment="1">
      <alignment vertical="center"/>
    </xf>
    <xf numFmtId="0" fontId="42" fillId="0" borderId="41" xfId="0" applyFont="1" applyBorder="1" applyAlignment="1">
      <alignment horizontal="center" vertical="center"/>
    </xf>
    <xf numFmtId="10" fontId="42" fillId="0" borderId="41" xfId="54" applyNumberFormat="1" applyFont="1" applyBorder="1" applyAlignment="1">
      <alignment horizontal="center" vertical="center"/>
    </xf>
    <xf numFmtId="0" fontId="51" fillId="2" borderId="40" xfId="0" applyFont="1" applyFill="1" applyBorder="1" applyAlignment="1">
      <alignment vertical="center"/>
    </xf>
    <xf numFmtId="9" fontId="42" fillId="0" borderId="40" xfId="0" applyNumberFormat="1" applyFont="1" applyBorder="1" applyAlignment="1">
      <alignment horizontal="center" vertical="center" wrapText="1"/>
    </xf>
    <xf numFmtId="37" fontId="42" fillId="0" borderId="40" xfId="53" applyNumberFormat="1" applyFont="1" applyBorder="1" applyAlignment="1">
      <alignment horizontal="center" vertical="center"/>
    </xf>
    <xf numFmtId="37" fontId="44" fillId="0" borderId="40" xfId="53" applyNumberFormat="1" applyFont="1" applyBorder="1" applyAlignment="1">
      <alignment horizontal="center" vertical="center"/>
    </xf>
    <xf numFmtId="10" fontId="42" fillId="2" borderId="40" xfId="54" applyNumberFormat="1" applyFont="1" applyFill="1" applyBorder="1" applyAlignment="1">
      <alignment horizontal="center" vertical="center"/>
    </xf>
    <xf numFmtId="43" fontId="42" fillId="0" borderId="41" xfId="53" applyFont="1" applyFill="1" applyBorder="1" applyAlignment="1">
      <alignment vertical="center"/>
    </xf>
    <xf numFmtId="9" fontId="42" fillId="0" borderId="0" xfId="0" applyNumberFormat="1" applyFont="1" applyBorder="1" applyAlignment="1">
      <alignment horizontal="center" vertical="center"/>
    </xf>
    <xf numFmtId="1" fontId="42" fillId="0" borderId="40" xfId="53" applyNumberFormat="1" applyFont="1" applyBorder="1" applyAlignment="1">
      <alignment horizontal="center" vertical="center"/>
    </xf>
    <xf numFmtId="9" fontId="42" fillId="2" borderId="40" xfId="0" applyNumberFormat="1" applyFont="1" applyFill="1" applyBorder="1" applyAlignment="1">
      <alignment horizontal="center" vertical="center"/>
    </xf>
    <xf numFmtId="9" fontId="42" fillId="0" borderId="40" xfId="0" applyNumberFormat="1" applyFont="1" applyBorder="1" applyAlignment="1">
      <alignment horizontal="center" vertical="center" wrapText="1"/>
    </xf>
    <xf numFmtId="0" fontId="42" fillId="0" borderId="40" xfId="0" applyFont="1" applyBorder="1" applyAlignment="1">
      <alignment horizontal="center" vertical="center" wrapText="1"/>
    </xf>
    <xf numFmtId="43" fontId="43" fillId="2" borderId="2" xfId="53" applyFont="1" applyFill="1" applyBorder="1" applyAlignment="1">
      <alignment horizontal="center" vertical="center"/>
    </xf>
    <xf numFmtId="0" fontId="42" fillId="0" borderId="40" xfId="0" applyFont="1" applyBorder="1" applyAlignment="1">
      <alignment horizontal="justify" vertical="justify" wrapText="1"/>
    </xf>
    <xf numFmtId="43" fontId="42" fillId="0" borderId="0" xfId="53" applyFont="1" applyFill="1" applyBorder="1" applyAlignment="1">
      <alignment vertical="center" wrapText="1"/>
    </xf>
    <xf numFmtId="0" fontId="42" fillId="0" borderId="40" xfId="0" applyFont="1" applyFill="1" applyBorder="1" applyAlignment="1">
      <alignment vertical="center" wrapText="1"/>
    </xf>
    <xf numFmtId="43" fontId="42" fillId="0" borderId="0" xfId="53" applyFont="1" applyFill="1" applyBorder="1" applyAlignment="1">
      <alignment horizontal="right" vertical="center"/>
    </xf>
    <xf numFmtId="0" fontId="44" fillId="0" borderId="40" xfId="0" applyFont="1" applyFill="1" applyBorder="1" applyAlignment="1">
      <alignment horizontal="center" vertical="center" wrapText="1"/>
    </xf>
    <xf numFmtId="0" fontId="42" fillId="2" borderId="42" xfId="0" applyFont="1" applyFill="1" applyBorder="1" applyAlignment="1">
      <alignment vertical="center"/>
    </xf>
    <xf numFmtId="0" fontId="53" fillId="0" borderId="40" xfId="0" applyFont="1" applyBorder="1" applyAlignment="1">
      <alignment vertical="center" wrapText="1"/>
    </xf>
    <xf numFmtId="1" fontId="42" fillId="2" borderId="40" xfId="0" applyNumberFormat="1" applyFont="1" applyFill="1" applyBorder="1" applyAlignment="1">
      <alignment horizontal="center" vertical="center" wrapText="1"/>
    </xf>
    <xf numFmtId="10" fontId="42" fillId="2" borderId="40" xfId="54" applyNumberFormat="1" applyFont="1" applyFill="1" applyBorder="1" applyAlignment="1">
      <alignment horizontal="center" vertical="center" wrapText="1"/>
    </xf>
    <xf numFmtId="0" fontId="42" fillId="2" borderId="40" xfId="0" applyFont="1" applyFill="1" applyBorder="1" applyAlignment="1">
      <alignment horizontal="justify" vertical="center"/>
    </xf>
    <xf numFmtId="10" fontId="42" fillId="2" borderId="40" xfId="0" applyNumberFormat="1" applyFont="1" applyFill="1" applyBorder="1" applyAlignment="1">
      <alignment horizontal="center" vertical="center"/>
    </xf>
    <xf numFmtId="0" fontId="42" fillId="0" borderId="41" xfId="0" applyFont="1" applyFill="1" applyBorder="1" applyAlignment="1">
      <alignment horizontal="center" vertical="center"/>
    </xf>
    <xf numFmtId="0" fontId="42" fillId="0" borderId="41" xfId="0" applyFont="1" applyFill="1" applyBorder="1" applyAlignment="1">
      <alignment horizontal="justify" vertical="center" wrapText="1"/>
    </xf>
    <xf numFmtId="0" fontId="42" fillId="2" borderId="41" xfId="0" applyFont="1" applyFill="1" applyBorder="1" applyAlignment="1">
      <alignment horizontal="justify" vertical="center" wrapText="1"/>
    </xf>
    <xf numFmtId="0" fontId="43" fillId="10" borderId="10" xfId="0" applyFont="1" applyFill="1" applyBorder="1"/>
    <xf numFmtId="0" fontId="42" fillId="2" borderId="4" xfId="0" applyFont="1" applyFill="1" applyBorder="1"/>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4895">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FFFF66"/>
      <color rgb="FFCCFF99"/>
      <color rgb="FFCCFF66"/>
      <color rgb="FFCC99FF"/>
      <color rgb="FFFF0000"/>
      <color rgb="FFFF9966"/>
      <color rgb="FFFF99CC"/>
      <color rgb="FF7B5571"/>
      <color rgb="FF7B556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II Trimestre 2019</a:t>
            </a:r>
            <a:endParaRPr lang="es-E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'EJECUCION ESTRATEGIAS'!$E$3</c:f>
              <c:strCache>
                <c:ptCount val="1"/>
                <c:pt idx="0">
                  <c:v>Definitiva %</c:v>
                </c:pt>
              </c:strCache>
            </c:strRef>
          </c:tx>
          <c:spPr>
            <a:solidFill>
              <a:schemeClr val="accent1"/>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ESTRATEGIAS'!$E$4:$E$9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'EJECUCION ESTRATEGIAS'!$G$3</c:f>
              <c:strCache>
                <c:ptCount val="1"/>
                <c:pt idx="0">
                  <c:v>Compromisos %</c:v>
                </c:pt>
              </c:strCache>
            </c:strRef>
          </c:tx>
          <c:spPr>
            <a:solidFill>
              <a:schemeClr val="accent2"/>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ESTRATEGIAS'!$G$4:$G$9</c:f>
              <c:numCache>
                <c:formatCode>0.00%</c:formatCode>
                <c:ptCount val="6"/>
                <c:pt idx="0">
                  <c:v>0.48026829158713369</c:v>
                </c:pt>
                <c:pt idx="1">
                  <c:v>0.20570546983609739</c:v>
                </c:pt>
                <c:pt idx="2">
                  <c:v>0.45791549726998143</c:v>
                </c:pt>
                <c:pt idx="3">
                  <c:v>0.26463339083799392</c:v>
                </c:pt>
                <c:pt idx="4">
                  <c:v>0.44099819981743948</c:v>
                </c:pt>
                <c:pt idx="5">
                  <c:v>0.42194325694323065</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'EJECUCION ESTRATEGIAS'!$I$3</c:f>
              <c:strCache>
                <c:ptCount val="1"/>
                <c:pt idx="0">
                  <c:v>Obligaciones %</c:v>
                </c:pt>
              </c:strCache>
            </c:strRef>
          </c:tx>
          <c:spPr>
            <a:solidFill>
              <a:schemeClr val="accent3"/>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ESTRATEGIAS'!$I$4:$I$9</c:f>
              <c:numCache>
                <c:formatCode>0.00%</c:formatCode>
                <c:ptCount val="6"/>
                <c:pt idx="0">
                  <c:v>6.5472708796893972E-2</c:v>
                </c:pt>
                <c:pt idx="1">
                  <c:v>0.49580211184079526</c:v>
                </c:pt>
                <c:pt idx="2">
                  <c:v>0.76559459379303219</c:v>
                </c:pt>
                <c:pt idx="3">
                  <c:v>0.3690548321687242</c:v>
                </c:pt>
                <c:pt idx="4">
                  <c:v>0.54409208129724396</c:v>
                </c:pt>
                <c:pt idx="5">
                  <c:v>0.71401664017913213</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188555480"/>
        <c:axId val="422728856"/>
        <c:axId val="0"/>
      </c:bar3DChart>
      <c:catAx>
        <c:axId val="188555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728856"/>
        <c:crosses val="autoZero"/>
        <c:auto val="1"/>
        <c:lblAlgn val="ctr"/>
        <c:lblOffset val="100"/>
        <c:noMultiLvlLbl val="0"/>
      </c:catAx>
      <c:valAx>
        <c:axId val="422728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88555480"/>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II Trimestre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PROGRAMAS'!$F$5:$F$12</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PROGRAMAS'!$H$5:$H$12</c:f>
              <c:numCache>
                <c:formatCode>0.00%</c:formatCode>
                <c:ptCount val="8"/>
                <c:pt idx="0">
                  <c:v>0.48026829158713369</c:v>
                </c:pt>
                <c:pt idx="1">
                  <c:v>0.37690694341649195</c:v>
                </c:pt>
                <c:pt idx="2">
                  <c:v>0.69175718465968195</c:v>
                </c:pt>
                <c:pt idx="3">
                  <c:v>0.15692206701952915</c:v>
                </c:pt>
                <c:pt idx="4">
                  <c:v>0.45515388073409246</c:v>
                </c:pt>
                <c:pt idx="5">
                  <c:v>0.33363190314464797</c:v>
                </c:pt>
                <c:pt idx="6">
                  <c:v>0.83126102045590755</c:v>
                </c:pt>
                <c:pt idx="7">
                  <c:v>0.30549907740303428</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PROGRAMAS'!$J$5:$J$12</c:f>
              <c:numCache>
                <c:formatCode>0%</c:formatCode>
                <c:ptCount val="8"/>
                <c:pt idx="0">
                  <c:v>6.5472708796893972E-2</c:v>
                </c:pt>
                <c:pt idx="1">
                  <c:v>0.57526432794335391</c:v>
                </c:pt>
                <c:pt idx="2">
                  <c:v>0.67763784401485572</c:v>
                </c:pt>
                <c:pt idx="3">
                  <c:v>0.42676006757151824</c:v>
                </c:pt>
                <c:pt idx="4">
                  <c:v>0.85805186757296104</c:v>
                </c:pt>
                <c:pt idx="5">
                  <c:v>0.58961524103401108</c:v>
                </c:pt>
                <c:pt idx="6">
                  <c:v>0.83171346845293792</c:v>
                </c:pt>
                <c:pt idx="7">
                  <c:v>0.71770409959916126</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422730032"/>
        <c:axId val="422730424"/>
      </c:barChart>
      <c:catAx>
        <c:axId val="422730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730424"/>
        <c:crosses val="autoZero"/>
        <c:auto val="1"/>
        <c:lblAlgn val="ctr"/>
        <c:lblOffset val="100"/>
        <c:noMultiLvlLbl val="0"/>
      </c:catAx>
      <c:valAx>
        <c:axId val="422730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27300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PROGRAMAS'!$F$13:$F$21</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PROGRAMAS'!$H$13:$H$21</c:f>
              <c:numCache>
                <c:formatCode>0.00%</c:formatCode>
                <c:ptCount val="9"/>
                <c:pt idx="0">
                  <c:v>0.38996110975928855</c:v>
                </c:pt>
                <c:pt idx="1">
                  <c:v>0.74090827496953482</c:v>
                </c:pt>
                <c:pt idx="2">
                  <c:v>0.58319574421336262</c:v>
                </c:pt>
                <c:pt idx="3">
                  <c:v>0.50882784620435528</c:v>
                </c:pt>
                <c:pt idx="4">
                  <c:v>0.34484753703831411</c:v>
                </c:pt>
                <c:pt idx="5">
                  <c:v>0.63999537210053181</c:v>
                </c:pt>
                <c:pt idx="6">
                  <c:v>0.24249333333333334</c:v>
                </c:pt>
                <c:pt idx="7">
                  <c:v>0.74749332064230634</c:v>
                </c:pt>
                <c:pt idx="8">
                  <c:v>0.65618925180402587</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PROGRAMAS'!$J$13:$J$21</c:f>
              <c:numCache>
                <c:formatCode>0%</c:formatCode>
                <c:ptCount val="9"/>
                <c:pt idx="0">
                  <c:v>0.18144416364253269</c:v>
                </c:pt>
                <c:pt idx="1">
                  <c:v>0.12438398014232384</c:v>
                </c:pt>
                <c:pt idx="2">
                  <c:v>0.69923875967658555</c:v>
                </c:pt>
                <c:pt idx="3">
                  <c:v>0.49958680282674484</c:v>
                </c:pt>
                <c:pt idx="4">
                  <c:v>0.99914945622590834</c:v>
                </c:pt>
                <c:pt idx="5">
                  <c:v>0.2272190019961792</c:v>
                </c:pt>
                <c:pt idx="6">
                  <c:v>0.64871793038983894</c:v>
                </c:pt>
                <c:pt idx="7">
                  <c:v>0.46988151659724159</c:v>
                </c:pt>
                <c:pt idx="8">
                  <c:v>0.43269431397422181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422731600"/>
        <c:axId val="422731992"/>
      </c:barChart>
      <c:catAx>
        <c:axId val="422731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731992"/>
        <c:crosses val="autoZero"/>
        <c:auto val="1"/>
        <c:lblAlgn val="ctr"/>
        <c:lblOffset val="100"/>
        <c:noMultiLvlLbl val="0"/>
      </c:catAx>
      <c:valAx>
        <c:axId val="422731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27316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PROGRAMAS'!$F$22:$F$32</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PROGRAMAS'!$H$22:$H$32</c:f>
              <c:numCache>
                <c:formatCode>0.00%</c:formatCode>
                <c:ptCount val="11"/>
                <c:pt idx="0">
                  <c:v>0.56508264300235478</c:v>
                </c:pt>
                <c:pt idx="1">
                  <c:v>0.36893498828867216</c:v>
                </c:pt>
                <c:pt idx="2">
                  <c:v>0.35034017801955025</c:v>
                </c:pt>
                <c:pt idx="3">
                  <c:v>0.47693221068660169</c:v>
                </c:pt>
                <c:pt idx="4">
                  <c:v>0.12208877591409692</c:v>
                </c:pt>
                <c:pt idx="5">
                  <c:v>0.21414951919787259</c:v>
                </c:pt>
                <c:pt idx="6">
                  <c:v>0.69317611192660555</c:v>
                </c:pt>
                <c:pt idx="7">
                  <c:v>0.42807984218458101</c:v>
                </c:pt>
                <c:pt idx="8">
                  <c:v>0.78732179999972296</c:v>
                </c:pt>
                <c:pt idx="9">
                  <c:v>0.68203227933084409</c:v>
                </c:pt>
                <c:pt idx="10">
                  <c:v>0.39933414738059408</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PROGRAMAS'!$J$22:$J$32</c:f>
              <c:numCache>
                <c:formatCode>0%</c:formatCode>
                <c:ptCount val="11"/>
                <c:pt idx="0">
                  <c:v>0.32558597071304701</c:v>
                </c:pt>
                <c:pt idx="1">
                  <c:v>0.9882261030577727</c:v>
                </c:pt>
                <c:pt idx="2">
                  <c:v>0.48330254474842277</c:v>
                </c:pt>
                <c:pt idx="3">
                  <c:v>0</c:v>
                </c:pt>
                <c:pt idx="4">
                  <c:v>0</c:v>
                </c:pt>
                <c:pt idx="5">
                  <c:v>0.32934986771680608</c:v>
                </c:pt>
                <c:pt idx="6">
                  <c:v>0.46255932084627627</c:v>
                </c:pt>
                <c:pt idx="7">
                  <c:v>0.44237354061065837</c:v>
                </c:pt>
                <c:pt idx="8">
                  <c:v>0.46371490123263792</c:v>
                </c:pt>
                <c:pt idx="9">
                  <c:v>0.44216097543875171</c:v>
                </c:pt>
                <c:pt idx="10">
                  <c:v>0.56847463125383535</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423280432"/>
        <c:axId val="423280824"/>
      </c:barChart>
      <c:catAx>
        <c:axId val="423280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280824"/>
        <c:crosses val="autoZero"/>
        <c:auto val="1"/>
        <c:lblAlgn val="ctr"/>
        <c:lblOffset val="100"/>
        <c:noMultiLvlLbl val="0"/>
      </c:catAx>
      <c:valAx>
        <c:axId val="423280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2804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II Trimestre de 2019</a:t>
            </a:r>
          </a:p>
        </c:rich>
      </c:tx>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PROGRAMAS'!$F$5:$F$32</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'EJECUCION PROGRAMAS'!$H$4</c:f>
              <c:strCache>
                <c:ptCount val="1"/>
                <c:pt idx="0">
                  <c:v>%</c:v>
                </c:pt>
              </c:strCache>
            </c:strRef>
          </c:tx>
          <c:spPr>
            <a:solidFill>
              <a:schemeClr val="accent2"/>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PROGRAMAS'!$H$5:$H$32</c:f>
              <c:numCache>
                <c:formatCode>0.00%</c:formatCode>
                <c:ptCount val="28"/>
                <c:pt idx="0">
                  <c:v>0.48026829158713369</c:v>
                </c:pt>
                <c:pt idx="1">
                  <c:v>0.37690694341649195</c:v>
                </c:pt>
                <c:pt idx="2">
                  <c:v>0.69175718465968195</c:v>
                </c:pt>
                <c:pt idx="3">
                  <c:v>0.15692206701952915</c:v>
                </c:pt>
                <c:pt idx="4">
                  <c:v>0.45515388073409246</c:v>
                </c:pt>
                <c:pt idx="5">
                  <c:v>0.33363190314464797</c:v>
                </c:pt>
                <c:pt idx="6">
                  <c:v>0.83126102045590755</c:v>
                </c:pt>
                <c:pt idx="7">
                  <c:v>0.30549907740303428</c:v>
                </c:pt>
                <c:pt idx="8">
                  <c:v>0.38996110975928855</c:v>
                </c:pt>
                <c:pt idx="9">
                  <c:v>0.74090827496953482</c:v>
                </c:pt>
                <c:pt idx="10">
                  <c:v>0.58319574421336262</c:v>
                </c:pt>
                <c:pt idx="11">
                  <c:v>0.50882784620435528</c:v>
                </c:pt>
                <c:pt idx="12">
                  <c:v>0.34484753703831411</c:v>
                </c:pt>
                <c:pt idx="13">
                  <c:v>0.63999537210053181</c:v>
                </c:pt>
                <c:pt idx="14">
                  <c:v>0.24249333333333334</c:v>
                </c:pt>
                <c:pt idx="15">
                  <c:v>0.74749332064230634</c:v>
                </c:pt>
                <c:pt idx="16">
                  <c:v>0.65618925180402587</c:v>
                </c:pt>
                <c:pt idx="17">
                  <c:v>0.56508264300235478</c:v>
                </c:pt>
                <c:pt idx="18">
                  <c:v>0.36893498828867216</c:v>
                </c:pt>
                <c:pt idx="19">
                  <c:v>0.35034017801955025</c:v>
                </c:pt>
                <c:pt idx="20">
                  <c:v>0.47693221068660169</c:v>
                </c:pt>
                <c:pt idx="21">
                  <c:v>0.12208877591409692</c:v>
                </c:pt>
                <c:pt idx="22">
                  <c:v>0.21414951919787259</c:v>
                </c:pt>
                <c:pt idx="23">
                  <c:v>0.69317611192660555</c:v>
                </c:pt>
                <c:pt idx="24">
                  <c:v>0.42807984218458101</c:v>
                </c:pt>
                <c:pt idx="25">
                  <c:v>0.78732179999972296</c:v>
                </c:pt>
                <c:pt idx="26">
                  <c:v>0.68203227933084409</c:v>
                </c:pt>
                <c:pt idx="27">
                  <c:v>0.39933414738059408</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'EJECUCION PROGRAMAS'!$J$4</c:f>
              <c:strCache>
                <c:ptCount val="1"/>
                <c:pt idx="0">
                  <c:v>%</c:v>
                </c:pt>
              </c:strCache>
            </c:strRef>
          </c:tx>
          <c:spPr>
            <a:solidFill>
              <a:schemeClr val="accent3"/>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PROGRAMAS'!$J$5:$J$32</c:f>
              <c:numCache>
                <c:formatCode>0%</c:formatCode>
                <c:ptCount val="28"/>
                <c:pt idx="0">
                  <c:v>6.5472708796893972E-2</c:v>
                </c:pt>
                <c:pt idx="1">
                  <c:v>0.57526432794335391</c:v>
                </c:pt>
                <c:pt idx="2">
                  <c:v>0.67763784401485572</c:v>
                </c:pt>
                <c:pt idx="3">
                  <c:v>0.42676006757151824</c:v>
                </c:pt>
                <c:pt idx="4">
                  <c:v>0.85805186757296104</c:v>
                </c:pt>
                <c:pt idx="5">
                  <c:v>0.58961524103401108</c:v>
                </c:pt>
                <c:pt idx="6">
                  <c:v>0.83171346845293792</c:v>
                </c:pt>
                <c:pt idx="7">
                  <c:v>0.71770409959916126</c:v>
                </c:pt>
                <c:pt idx="8">
                  <c:v>0.18144416364253269</c:v>
                </c:pt>
                <c:pt idx="9">
                  <c:v>0.12438398014232384</c:v>
                </c:pt>
                <c:pt idx="10">
                  <c:v>0.69923875967658555</c:v>
                </c:pt>
                <c:pt idx="11">
                  <c:v>0.49958680282674484</c:v>
                </c:pt>
                <c:pt idx="12">
                  <c:v>0.99914945622590834</c:v>
                </c:pt>
                <c:pt idx="13">
                  <c:v>0.2272190019961792</c:v>
                </c:pt>
                <c:pt idx="14">
                  <c:v>0.64871793038983894</c:v>
                </c:pt>
                <c:pt idx="15">
                  <c:v>0.46988151659724159</c:v>
                </c:pt>
                <c:pt idx="16">
                  <c:v>0.43269431397422181</c:v>
                </c:pt>
                <c:pt idx="17">
                  <c:v>0.32558597071304701</c:v>
                </c:pt>
                <c:pt idx="18">
                  <c:v>0.9882261030577727</c:v>
                </c:pt>
                <c:pt idx="19">
                  <c:v>0.48330254474842277</c:v>
                </c:pt>
                <c:pt idx="20">
                  <c:v>0</c:v>
                </c:pt>
                <c:pt idx="21">
                  <c:v>0</c:v>
                </c:pt>
                <c:pt idx="22">
                  <c:v>0.32934986771680608</c:v>
                </c:pt>
                <c:pt idx="23">
                  <c:v>0.46255932084627627</c:v>
                </c:pt>
                <c:pt idx="24">
                  <c:v>0.44237354061065837</c:v>
                </c:pt>
                <c:pt idx="25">
                  <c:v>0.46371490123263792</c:v>
                </c:pt>
                <c:pt idx="26">
                  <c:v>0.44216097543875171</c:v>
                </c:pt>
                <c:pt idx="27">
                  <c:v>0.56847463125383535</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423282000"/>
        <c:axId val="423282392"/>
      </c:barChart>
      <c:catAx>
        <c:axId val="42328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23282392"/>
        <c:crosses val="autoZero"/>
        <c:auto val="1"/>
        <c:lblAlgn val="ctr"/>
        <c:lblOffset val="100"/>
        <c:noMultiLvlLbl val="0"/>
      </c:catAx>
      <c:valAx>
        <c:axId val="423282392"/>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2820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II Trimestre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 EJECUCION ESTRATEGIAS '!$E$3</c:f>
              <c:strCache>
                <c:ptCount val="1"/>
                <c:pt idx="0">
                  <c:v>%</c:v>
                </c:pt>
              </c:strCache>
            </c:strRef>
          </c:tx>
          <c:spPr>
            <a:solidFill>
              <a:schemeClr val="accent1"/>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'!$E$4:$E$8</c:f>
              <c:numCache>
                <c:formatCode>0.0%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8FA-4462-BC9D-ADB46B034FFA}"/>
            </c:ext>
          </c:extLst>
        </c:ser>
        <c:ser>
          <c:idx val="1"/>
          <c:order val="1"/>
          <c:tx>
            <c:strRef>
              <c:f>'% EJECUCION ESTRATEGIAS '!$G$3</c:f>
              <c:strCache>
                <c:ptCount val="1"/>
                <c:pt idx="0">
                  <c:v>%</c:v>
                </c:pt>
              </c:strCache>
            </c:strRef>
          </c:tx>
          <c:spPr>
            <a:solidFill>
              <a:schemeClr val="accent2"/>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'!$G$4:$G$8</c:f>
              <c:numCache>
                <c:formatCode>0.00%</c:formatCode>
                <c:ptCount val="5"/>
                <c:pt idx="0">
                  <c:v>0.48026829158713369</c:v>
                </c:pt>
                <c:pt idx="1">
                  <c:v>0.20570546983609739</c:v>
                </c:pt>
                <c:pt idx="2">
                  <c:v>0.45791549726998143</c:v>
                </c:pt>
                <c:pt idx="3">
                  <c:v>0.26463339083799392</c:v>
                </c:pt>
                <c:pt idx="4">
                  <c:v>0.44099819981743948</c:v>
                </c:pt>
              </c:numCache>
            </c:numRef>
          </c:val>
          <c:extLst xmlns:c16r2="http://schemas.microsoft.com/office/drawing/2015/06/chart">
            <c:ext xmlns:c16="http://schemas.microsoft.com/office/drawing/2014/chart" uri="{C3380CC4-5D6E-409C-BE32-E72D297353CC}">
              <c16:uniqueId val="{00000001-28FA-4462-BC9D-ADB46B034FFA}"/>
            </c:ext>
          </c:extLst>
        </c:ser>
        <c:ser>
          <c:idx val="2"/>
          <c:order val="2"/>
          <c:tx>
            <c:strRef>
              <c:f>'% EJECUCION ESTRATEGIAS '!$I$3</c:f>
              <c:strCache>
                <c:ptCount val="1"/>
                <c:pt idx="0">
                  <c:v>%</c:v>
                </c:pt>
              </c:strCache>
            </c:strRef>
          </c:tx>
          <c:spPr>
            <a:solidFill>
              <a:schemeClr val="accent3"/>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'!$I$4:$I$8</c:f>
              <c:numCache>
                <c:formatCode>0.00%</c:formatCode>
                <c:ptCount val="5"/>
                <c:pt idx="0">
                  <c:v>6.5472708796893972E-2</c:v>
                </c:pt>
                <c:pt idx="1">
                  <c:v>0.49580211184079526</c:v>
                </c:pt>
                <c:pt idx="2">
                  <c:v>0.76559459379303219</c:v>
                </c:pt>
                <c:pt idx="3">
                  <c:v>0.3690548321687242</c:v>
                </c:pt>
                <c:pt idx="4">
                  <c:v>0.54409208129724396</c:v>
                </c:pt>
              </c:numCache>
            </c:numRef>
          </c:val>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gapWidth val="219"/>
        <c:overlap val="-27"/>
        <c:axId val="423283176"/>
        <c:axId val="423283568"/>
      </c:barChart>
      <c:catAx>
        <c:axId val="4232831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283568"/>
        <c:crosses val="autoZero"/>
        <c:auto val="1"/>
        <c:lblAlgn val="ctr"/>
        <c:lblOffset val="100"/>
        <c:noMultiLvlLbl val="0"/>
      </c:catAx>
      <c:valAx>
        <c:axId val="4232835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283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II Trimestre 2019</a:t>
            </a:r>
          </a:p>
        </c:rich>
      </c:tx>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 PROGRAMAS '!$C$3</c:f>
              <c:strCache>
                <c:ptCount val="1"/>
                <c:pt idx="0">
                  <c:v>No</c:v>
                </c:pt>
              </c:strCache>
            </c:strRef>
          </c:tx>
          <c:spPr>
            <a:solidFill>
              <a:schemeClr val="accent1"/>
            </a:solidFill>
            <a:ln>
              <a:noFill/>
            </a:ln>
            <a:effectLst/>
          </c:spPr>
          <c:invertIfNegative val="0"/>
          <c:val>
            <c:numRef>
              <c:f>'EJECUCION % PROGRAMAS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'EJECUCION % PROGRAMAS '!$F$3</c:f>
              <c:strCache>
                <c:ptCount val="1"/>
                <c:pt idx="0">
                  <c:v>Definitiva %</c:v>
                </c:pt>
              </c:strCache>
            </c:strRef>
          </c:tx>
          <c:spPr>
            <a:solidFill>
              <a:schemeClr val="accent2"/>
            </a:solidFill>
            <a:ln>
              <a:noFill/>
            </a:ln>
            <a:effectLst/>
          </c:spPr>
          <c:invertIfNegative val="0"/>
          <c:val>
            <c:numRef>
              <c:f>'EJECUCION % PROGRAMAS '!$F$4:$F$32</c:f>
              <c:numCache>
                <c:formatCode>0.00%</c:formatCode>
                <c:ptCount val="29"/>
                <c:pt idx="0">
                  <c:v>2.3289868088959467E-2</c:v>
                </c:pt>
                <c:pt idx="1">
                  <c:v>1.2420596055409541E-2</c:v>
                </c:pt>
                <c:pt idx="2">
                  <c:v>5.6199460769764823E-3</c:v>
                </c:pt>
                <c:pt idx="3">
                  <c:v>9.9583229026277059E-2</c:v>
                </c:pt>
                <c:pt idx="4">
                  <c:v>0.55930849454782561</c:v>
                </c:pt>
                <c:pt idx="5">
                  <c:v>1.9971221370784745E-3</c:v>
                </c:pt>
                <c:pt idx="6">
                  <c:v>6.6265051051626403E-3</c:v>
                </c:pt>
                <c:pt idx="7">
                  <c:v>1.4103803946146345E-2</c:v>
                </c:pt>
                <c:pt idx="8">
                  <c:v>1.5826682218549069E-2</c:v>
                </c:pt>
                <c:pt idx="9">
                  <c:v>2.0830500878141244E-3</c:v>
                </c:pt>
                <c:pt idx="10">
                  <c:v>1.2044366600873289E-3</c:v>
                </c:pt>
                <c:pt idx="11">
                  <c:v>2.2668880314132504E-2</c:v>
                </c:pt>
                <c:pt idx="12">
                  <c:v>7.1900850259755594E-2</c:v>
                </c:pt>
                <c:pt idx="13">
                  <c:v>5.7065481105680133E-2</c:v>
                </c:pt>
                <c:pt idx="14">
                  <c:v>4.9582498216349405E-4</c:v>
                </c:pt>
                <c:pt idx="15">
                  <c:v>2.7392015753516306E-4</c:v>
                </c:pt>
                <c:pt idx="16">
                  <c:v>2.1758452967274664E-3</c:v>
                </c:pt>
                <c:pt idx="17">
                  <c:v>4.5201388673952771E-3</c:v>
                </c:pt>
                <c:pt idx="18">
                  <c:v>1.3147314871633E-2</c:v>
                </c:pt>
                <c:pt idx="19">
                  <c:v>1.0178666841917108E-2</c:v>
                </c:pt>
                <c:pt idx="20">
                  <c:v>1.2922190052802854E-3</c:v>
                </c:pt>
                <c:pt idx="21">
                  <c:v>7.7243719499531466E-4</c:v>
                </c:pt>
                <c:pt idx="22">
                  <c:v>2.6424371565582749E-2</c:v>
                </c:pt>
                <c:pt idx="23">
                  <c:v>1.8014974351940282E-3</c:v>
                </c:pt>
                <c:pt idx="24">
                  <c:v>3.4383491641789207E-3</c:v>
                </c:pt>
                <c:pt idx="25">
                  <c:v>2.2716556338848435E-3</c:v>
                </c:pt>
                <c:pt idx="26">
                  <c:v>3.0398832417265912E-3</c:v>
                </c:pt>
                <c:pt idx="27">
                  <c:v>3.6468930111931412E-2</c:v>
                </c:pt>
                <c:pt idx="28" formatCode="0%">
                  <c:v>1</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422261928"/>
        <c:axId val="422262320"/>
      </c:barChart>
      <c:lineChart>
        <c:grouping val="standard"/>
        <c:varyColors val="0"/>
        <c:ser>
          <c:idx val="2"/>
          <c:order val="2"/>
          <c:tx>
            <c:strRef>
              <c:f>'EJECUCION % PROGRAMAS '!$H$3</c:f>
              <c:strCache>
                <c:ptCount val="1"/>
                <c:pt idx="0">
                  <c:v>Compromisos %</c:v>
                </c:pt>
              </c:strCache>
            </c:strRef>
          </c:tx>
          <c:spPr>
            <a:ln w="28575" cap="rnd">
              <a:solidFill>
                <a:schemeClr val="accent3"/>
              </a:solidFill>
              <a:round/>
            </a:ln>
            <a:effectLst/>
          </c:spPr>
          <c:marker>
            <c:symbol val="none"/>
          </c:marker>
          <c:val>
            <c:numRef>
              <c:f>'EJECUCION % PROGRAMAS '!$H$4:$H$32</c:f>
              <c:numCache>
                <c:formatCode>0.00%</c:formatCode>
                <c:ptCount val="29"/>
                <c:pt idx="0">
                  <c:v>1.1185385158374266E-2</c:v>
                </c:pt>
                <c:pt idx="1">
                  <c:v>4.681408894655347E-3</c:v>
                </c:pt>
                <c:pt idx="2">
                  <c:v>3.8876380761484752E-3</c:v>
                </c:pt>
                <c:pt idx="3">
                  <c:v>1.5626806139282568E-2</c:v>
                </c:pt>
                <c:pt idx="4">
                  <c:v>0.25457143182098585</c:v>
                </c:pt>
                <c:pt idx="5">
                  <c:v>6.663036594057979E-4</c:v>
                </c:pt>
                <c:pt idx="6">
                  <c:v>5.508355395773777E-3</c:v>
                </c:pt>
                <c:pt idx="7">
                  <c:v>4.3086990934209828E-3</c:v>
                </c:pt>
                <c:pt idx="8">
                  <c:v>6.1717905617529947E-3</c:v>
                </c:pt>
                <c:pt idx="9">
                  <c:v>1.5433490472375011E-3</c:v>
                </c:pt>
                <c:pt idx="10">
                  <c:v>7.024223343374867E-4</c:v>
                </c:pt>
                <c:pt idx="11">
                  <c:v>1.153455754610435E-2</c:v>
                </c:pt>
                <c:pt idx="12">
                  <c:v>2.4794831123037344E-2</c:v>
                </c:pt>
                <c:pt idx="13">
                  <c:v>3.6521643814325627E-2</c:v>
                </c:pt>
                <c:pt idx="14">
                  <c:v>1.202342526747662E-4</c:v>
                </c:pt>
                <c:pt idx="15">
                  <c:v>2.047534881468227E-4</c:v>
                </c:pt>
                <c:pt idx="16">
                  <c:v>1.4277662973009046E-3</c:v>
                </c:pt>
                <c:pt idx="17">
                  <c:v>2.5542520179253933E-3</c:v>
                </c:pt>
                <c:pt idx="18">
                  <c:v>4.8505044581934062E-3</c:v>
                </c:pt>
                <c:pt idx="19">
                  <c:v>3.5659959533989329E-3</c:v>
                </c:pt>
                <c:pt idx="20">
                  <c:v>6.1630086687956788E-4</c:v>
                </c:pt>
                <c:pt idx="21">
                  <c:v>9.4305911607496561E-5</c:v>
                </c:pt>
                <c:pt idx="22">
                  <c:v>5.6587664658754805E-3</c:v>
                </c:pt>
                <c:pt idx="23">
                  <c:v>1.2487549877735484E-3</c:v>
                </c:pt>
                <c:pt idx="24">
                  <c:v>1.4718879675771985E-3</c:v>
                </c:pt>
                <c:pt idx="25">
                  <c:v>1.7885240026497267E-3</c:v>
                </c:pt>
                <c:pt idx="26">
                  <c:v>2.0732984962544224E-3</c:v>
                </c:pt>
                <c:pt idx="27">
                  <c:v>1.4563289112130605E-2</c:v>
                </c:pt>
                <c:pt idx="28">
                  <c:v>0.42194325694323059</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'EJECUCION % PROGRAMAS '!$J$3</c:f>
              <c:strCache>
                <c:ptCount val="1"/>
                <c:pt idx="0">
                  <c:v>Obligaciones %</c:v>
                </c:pt>
              </c:strCache>
            </c:strRef>
          </c:tx>
          <c:spPr>
            <a:ln w="28575" cap="rnd">
              <a:solidFill>
                <a:schemeClr val="accent4"/>
              </a:solidFill>
              <a:round/>
            </a:ln>
            <a:effectLst/>
          </c:spPr>
          <c:marker>
            <c:symbol val="none"/>
          </c:marker>
          <c:val>
            <c:numRef>
              <c:f>'EJECUCION % PROGRAMAS '!$J$4:$J$32</c:f>
              <c:numCache>
                <c:formatCode>0.00%</c:formatCode>
                <c:ptCount val="29"/>
                <c:pt idx="0">
                  <c:v>1.7356302137893119E-3</c:v>
                </c:pt>
                <c:pt idx="1">
                  <c:v>6.3824874489563825E-3</c:v>
                </c:pt>
                <c:pt idx="2">
                  <c:v>6.2435188639257122E-3</c:v>
                </c:pt>
                <c:pt idx="3">
                  <c:v>1.5805198291922215E-2</c:v>
                </c:pt>
                <c:pt idx="4">
                  <c:v>0.51768926013221839</c:v>
                </c:pt>
                <c:pt idx="5">
                  <c:v>9.3107968021218998E-4</c:v>
                </c:pt>
                <c:pt idx="6">
                  <c:v>1.0857794967219619E-2</c:v>
                </c:pt>
                <c:pt idx="7">
                  <c:v>7.3288788300353959E-3</c:v>
                </c:pt>
                <c:pt idx="8">
                  <c:v>2.6539951953890679E-3</c:v>
                </c:pt>
                <c:pt idx="9">
                  <c:v>4.5496140555717333E-4</c:v>
                </c:pt>
                <c:pt idx="10">
                  <c:v>1.1640449604278381E-3</c:v>
                </c:pt>
                <c:pt idx="11">
                  <c:v>1.3657079788941099E-2</c:v>
                </c:pt>
                <c:pt idx="12">
                  <c:v>5.8713444583211136E-2</c:v>
                </c:pt>
                <c:pt idx="13">
                  <c:v>1.966712661524412E-2</c:v>
                </c:pt>
                <c:pt idx="14">
                  <c:v>1.8485451366660272E-4</c:v>
                </c:pt>
                <c:pt idx="15">
                  <c:v>2.2801615609643148E-4</c:v>
                </c:pt>
                <c:pt idx="16">
                  <c:v>1.4641455891526388E-3</c:v>
                </c:pt>
                <c:pt idx="17">
                  <c:v>1.9709489582242284E-3</c:v>
                </c:pt>
                <c:pt idx="18">
                  <c:v>1.1360283734146126E-2</c:v>
                </c:pt>
                <c:pt idx="19">
                  <c:v>4.0845656151157796E-3</c:v>
                </c:pt>
                <c:pt idx="20">
                  <c:v>2.947460955463526E-4</c:v>
                </c:pt>
                <c:pt idx="21">
                  <c:v>5.6467410607540651E-5</c:v>
                </c:pt>
                <c:pt idx="22">
                  <c:v>4.4169777720304629E-3</c:v>
                </c:pt>
                <c:pt idx="23">
                  <c:v>1.3689595687167186E-3</c:v>
                </c:pt>
                <c:pt idx="24">
                  <c:v>1.5431560544809351E-3</c:v>
                </c:pt>
                <c:pt idx="25">
                  <c:v>1.9655847500662988E-3</c:v>
                </c:pt>
                <c:pt idx="26">
                  <c:v>2.1726421038715453E-3</c:v>
                </c:pt>
                <c:pt idx="27">
                  <c:v>1.9620790880360724E-2</c:v>
                </c:pt>
                <c:pt idx="28">
                  <c:v>0.71401664017913224</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422263104"/>
        <c:axId val="422262712"/>
      </c:lineChart>
      <c:catAx>
        <c:axId val="422261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262320"/>
        <c:crosses val="autoZero"/>
        <c:auto val="1"/>
        <c:lblAlgn val="ctr"/>
        <c:lblOffset val="100"/>
        <c:noMultiLvlLbl val="0"/>
      </c:catAx>
      <c:valAx>
        <c:axId val="4222623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261928"/>
        <c:crosses val="autoZero"/>
        <c:crossBetween val="between"/>
      </c:valAx>
      <c:valAx>
        <c:axId val="4222627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2263104"/>
        <c:crosses val="max"/>
        <c:crossBetween val="between"/>
      </c:valAx>
      <c:catAx>
        <c:axId val="422263104"/>
        <c:scaling>
          <c:orientation val="minMax"/>
        </c:scaling>
        <c:delete val="1"/>
        <c:axPos val="b"/>
        <c:majorTickMark val="none"/>
        <c:minorTickMark val="none"/>
        <c:tickLblPos val="nextTo"/>
        <c:crossAx val="4222627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1</xdr:row>
      <xdr:rowOff>100853</xdr:rowOff>
    </xdr:from>
    <xdr:to>
      <xdr:col>0</xdr:col>
      <xdr:colOff>1031876</xdr:colOff>
      <xdr:row>5</xdr:row>
      <xdr:rowOff>0</xdr:rowOff>
    </xdr:to>
    <xdr:pic>
      <xdr:nvPicPr>
        <xdr:cNvPr id="3" name="Imagen 2" descr="C:\Users\AUXPLANEACION03\Desktop\Gobernacion_del_quindio.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332174"/>
          <a:ext cx="910878"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10</xdr:col>
      <xdr:colOff>355600</xdr:colOff>
      <xdr:row>33</xdr:row>
      <xdr:rowOff>63500</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15</xdr:row>
      <xdr:rowOff>95250</xdr:rowOff>
    </xdr:to>
    <xdr:graphicFrame macro="">
      <xdr:nvGraphicFramePr>
        <xdr:cNvPr id="2" name="Gráfico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16</xdr:row>
      <xdr:rowOff>55827</xdr:rowOff>
    </xdr:from>
    <xdr:to>
      <xdr:col>19</xdr:col>
      <xdr:colOff>654844</xdr:colOff>
      <xdr:row>27</xdr:row>
      <xdr:rowOff>142875</xdr:rowOff>
    </xdr:to>
    <xdr:graphicFrame macro="">
      <xdr:nvGraphicFramePr>
        <xdr:cNvPr id="6" name="Gráfico 5">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28</xdr:row>
      <xdr:rowOff>188115</xdr:rowOff>
    </xdr:from>
    <xdr:to>
      <xdr:col>18</xdr:col>
      <xdr:colOff>635359</xdr:colOff>
      <xdr:row>44</xdr:row>
      <xdr:rowOff>96330</xdr:rowOff>
    </xdr:to>
    <xdr:graphicFrame macro="">
      <xdr:nvGraphicFramePr>
        <xdr:cNvPr id="12" name="Gráfico 11">
          <a:extLst>
            <a:ext uri="{FF2B5EF4-FFF2-40B4-BE49-F238E27FC236}">
              <a16:creationId xmlns=""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39</xdr:row>
      <xdr:rowOff>23812</xdr:rowOff>
    </xdr:from>
    <xdr:to>
      <xdr:col>10</xdr:col>
      <xdr:colOff>1452563</xdr:colOff>
      <xdr:row>71</xdr:row>
      <xdr:rowOff>119062</xdr:rowOff>
    </xdr:to>
    <xdr:graphicFrame macro="">
      <xdr:nvGraphicFramePr>
        <xdr:cNvPr id="3" name="Gráfico 2">
          <a:extLst>
            <a:ext uri="{FF2B5EF4-FFF2-40B4-BE49-F238E27FC236}">
              <a16:creationId xmlns=""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INDICATIVO%20DNP-INFORME/fut%202018/SGTO%20POAI%202017%20-%20RESERVAS/OBLIGACIONES%202018%20RESERV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OBERNACION%20QUINDIO%202017\INSTRUMENTOS%20PLANIFICACION%202017\INSTRUMENTOS%20SEPTIEMBRE%202017\ANEXOS\SECRETARIAS\CULTURA\CULTURA%20SGTO%20PLAN%20SEP%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XPLANEACION03/Downloads/SEG.%20CULTURA%20A%20MARZO%2031-2019%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CULTURA/Sgto%20Cultura%20Dic%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BERNACION%20QUINDIO%202019/SEGUIMIENTO%20PDD%202019/II%20TRIMESTRE2019/SGTO%20II%20TRIMESTRE%202019%20TRABAJO/SGTO%20SECRETARIAS%20JUNIO%202019/SALUD%20JUNIO%202019/MP%20SALUD%20-%20II%20TRIMESTRE%20ULTIM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SALUD/SALUD%20MEAT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GOBERNACION\SEGUIMIENTO%20SEPT%2030%20SRIAS\Seguimiento%20Interior\SEGUIMIENTO%20POAI%20INTERIO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GOBERNACION\INSTRUMENTOS%20PLANIFICACION%202016\SEGUIMIENTO%20INSTRUMENTOS%20SEPTIEMBRE%2030\SEGUIMIENTO%20DIC%2031%202016\SGTO%20PLAN%20INDICATIVO\SEGUMIENTO%20POAI%20DICIEMBRE%2030-2016%20(ENERO%201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AUXPLANEACION03\Downloads\HACIENDA%20SGTO%20PDD%20SEPT%2030%2020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 FUTURAS DEC 09 2018"/>
      <sheetName val="DECRETO 008"/>
      <sheetName val="Res. Pptales Dec 08"/>
    </sheetNames>
    <sheetDataSet>
      <sheetData sheetId="0"/>
      <sheetData sheetId="1"/>
      <sheetData sheetId="2">
        <row r="9">
          <cell r="N9">
            <v>2800000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 METAS"/>
      <sheetName val="METAS "/>
      <sheetName val="PROYECTOS"/>
      <sheetName val="PLAN DE ACCION"/>
      <sheetName val="SGTO PLAN DE ACCION"/>
      <sheetName val="GESTION DE RECURSOS"/>
      <sheetName val="INV MUNICIPIOS"/>
      <sheetName val="META"/>
    </sheetNames>
    <sheetDataSet>
      <sheetData sheetId="0" refreshError="1">
        <row r="15">
          <cell r="O15">
            <v>164047554</v>
          </cell>
        </row>
        <row r="16">
          <cell r="O16">
            <v>737538491</v>
          </cell>
        </row>
        <row r="18">
          <cell r="O18">
            <v>300000000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y Proyectos"/>
      <sheetName val="Seguimiento P.A."/>
      <sheetName val="Inversión Mpios"/>
      <sheetName val="Gestión Recursos"/>
      <sheetName val="Plan de Acción"/>
      <sheetName val="POAI"/>
      <sheetName val="Presupuesto Gastos"/>
    </sheetNames>
    <sheetDataSet>
      <sheetData sheetId="0">
        <row r="17">
          <cell r="O17">
            <v>1075686973</v>
          </cell>
        </row>
        <row r="18">
          <cell r="O18">
            <v>400000000</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INVRSION MUNICIPIOS"/>
      <sheetName val="GESTION RECURSOS"/>
      <sheetName val=" PLAN DE ACCION"/>
      <sheetName val="INVERSIÓN MPIOS"/>
    </sheetNames>
    <sheetDataSet>
      <sheetData sheetId="0">
        <row r="25">
          <cell r="O25">
            <v>330733</v>
          </cell>
        </row>
        <row r="26">
          <cell r="O26">
            <v>28350000</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SALUD"/>
      <sheetName val="PA SALUD"/>
      <sheetName val="INVERSION MUNICIPIOS"/>
      <sheetName val="POAI JUNIO 30"/>
      <sheetName val="plan de accion"/>
      <sheetName val="Hoja1"/>
    </sheetNames>
    <sheetDataSet>
      <sheetData sheetId="0">
        <row r="17">
          <cell r="O17">
            <v>35000000</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Hoja1"/>
      <sheetName val="SGTO PLAN DE ACCION"/>
      <sheetName val="GESTION RECURSOS"/>
      <sheetName val="DISCRIMINADO X MUNICIPIOS SALUD"/>
      <sheetName val="Hoja2"/>
    </sheetNames>
    <sheetDataSet>
      <sheetData sheetId="0">
        <row r="54">
          <cell r="P54">
            <v>23003708</v>
          </cell>
        </row>
        <row r="83">
          <cell r="O83">
            <v>740589189</v>
          </cell>
          <cell r="P83">
            <v>732218187</v>
          </cell>
          <cell r="Q83">
            <v>732218187</v>
          </cell>
        </row>
        <row r="85">
          <cell r="O85">
            <v>167116714</v>
          </cell>
          <cell r="P85">
            <v>149352164</v>
          </cell>
          <cell r="Q85">
            <v>149352164</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6 ADICIONES"/>
      <sheetName val="POAI_2016_ADICIONES"/>
      <sheetName val="POAI_2016_ADICIONES1"/>
      <sheetName val="POAI_2016_ADICIONES2"/>
    </sheetNames>
    <sheetDataSet>
      <sheetData sheetId="0" refreshError="1">
        <row r="137">
          <cell r="BJ137">
            <v>0</v>
          </cell>
        </row>
        <row r="154">
          <cell r="BJ154">
            <v>3200000</v>
          </cell>
        </row>
        <row r="156">
          <cell r="BJ156">
            <v>10000000</v>
          </cell>
        </row>
      </sheetData>
      <sheetData sheetId="1">
        <row r="137">
          <cell r="BJ137">
            <v>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MIENTO DIC"/>
      <sheetName val="POAI 2016 DEFINITIVO"/>
      <sheetName val="POAI 2016 ADICIONES (2)"/>
      <sheetName val="POAI 2016 ADICIONES"/>
      <sheetName val="Hoja1"/>
      <sheetName val="SEGUMIENTO_DIC"/>
      <sheetName val="POAI_2016_DEFINITIVO"/>
      <sheetName val="POAI_2016_ADICIONES_(2)"/>
      <sheetName val="POAI_2016_ADICIONES"/>
      <sheetName val="SEGUMIENTO_DIC1"/>
      <sheetName val="POAI_2016_DEFINITIVO1"/>
      <sheetName val="POAI_2016_ADICIONES_(2)1"/>
      <sheetName val="POAI_2016_ADICIONES1"/>
      <sheetName val="SEGUMIENTO_DIC2"/>
      <sheetName val="POAI_2016_DEFINITIVO2"/>
      <sheetName val="POAI_2016_ADICIONES_(2)2"/>
      <sheetName val="POAI_2016_ADICIONES2"/>
    </sheetNames>
    <sheetDataSet>
      <sheetData sheetId="0">
        <row r="154">
          <cell r="BW154">
            <v>3000000</v>
          </cell>
        </row>
        <row r="156">
          <cell r="BW156">
            <v>10000000</v>
          </cell>
        </row>
      </sheetData>
      <sheetData sheetId="1"/>
      <sheetData sheetId="2"/>
      <sheetData sheetId="3"/>
      <sheetData sheetId="4"/>
      <sheetData sheetId="5">
        <row r="154">
          <cell r="BW154">
            <v>3000000</v>
          </cell>
        </row>
      </sheetData>
      <sheetData sheetId="6"/>
      <sheetData sheetId="7"/>
      <sheetData sheetId="8"/>
      <sheetData sheetId="9">
        <row r="154">
          <cell r="BW154">
            <v>3000000</v>
          </cell>
        </row>
      </sheetData>
      <sheetData sheetId="10"/>
      <sheetData sheetId="11"/>
      <sheetData sheetId="12"/>
      <sheetData sheetId="13">
        <row r="154">
          <cell r="BW154">
            <v>3000000</v>
          </cell>
        </row>
      </sheetData>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METAS "/>
      <sheetName val="PROYECTO METAS"/>
      <sheetName val="SGTO PLAN DE ACCION"/>
      <sheetName val="GESTION DE RECURSOS"/>
    </sheetNames>
    <sheetDataSet>
      <sheetData sheetId="0"/>
      <sheetData sheetId="1"/>
      <sheetData sheetId="2">
        <row r="20">
          <cell r="O20">
            <v>5733586</v>
          </cell>
        </row>
        <row r="22">
          <cell r="O22">
            <v>35332521</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HE424"/>
  <sheetViews>
    <sheetView showGridLines="0" tabSelected="1" zoomScale="60" zoomScaleNormal="60" workbookViewId="0">
      <selection activeCell="H14" sqref="H14"/>
    </sheetView>
  </sheetViews>
  <sheetFormatPr baseColWidth="10" defaultColWidth="11.42578125" defaultRowHeight="24.75" customHeight="1" x14ac:dyDescent="0.2"/>
  <cols>
    <col min="1" max="1" width="16.140625" style="205" customWidth="1"/>
    <col min="2" max="2" width="20" style="205" customWidth="1"/>
    <col min="3" max="3" width="31.42578125" style="454" customWidth="1"/>
    <col min="4" max="4" width="34.85546875" style="205" customWidth="1"/>
    <col min="5" max="5" width="15.85546875" style="205" customWidth="1"/>
    <col min="6" max="6" width="34" style="205" customWidth="1"/>
    <col min="7" max="7" width="13.85546875" style="579" customWidth="1"/>
    <col min="8" max="8" width="66.28515625" style="597" customWidth="1"/>
    <col min="9" max="9" width="45" style="597" customWidth="1"/>
    <col min="10" max="10" width="19.28515625" style="598" customWidth="1"/>
    <col min="11" max="11" width="11.85546875" style="599" customWidth="1"/>
    <col min="12" max="12" width="14.28515625" style="581" customWidth="1"/>
    <col min="13" max="13" width="14.28515625" style="454" customWidth="1"/>
    <col min="14" max="14" width="13.28515625" style="454" customWidth="1"/>
    <col min="15" max="15" width="13.140625" style="581" customWidth="1"/>
    <col min="16" max="16" width="14" style="582" customWidth="1"/>
    <col min="17" max="17" width="10.42578125" style="454" customWidth="1"/>
    <col min="18" max="18" width="10.140625" style="583" customWidth="1"/>
    <col min="19" max="19" width="13.140625" style="582" customWidth="1"/>
    <col min="20" max="20" width="12" style="454" customWidth="1"/>
    <col min="21" max="21" width="11.28515625" style="454" customWidth="1"/>
    <col min="22" max="22" width="11.140625" style="582" customWidth="1"/>
    <col min="23" max="23" width="11.42578125" style="454" customWidth="1"/>
    <col min="24" max="24" width="12" style="454" customWidth="1"/>
    <col min="25" max="25" width="12" style="582" customWidth="1"/>
    <col min="26" max="26" width="20.7109375" style="584" customWidth="1"/>
    <col min="27" max="27" width="12.140625" style="494" customWidth="1"/>
    <col min="28" max="28" width="17" style="494" customWidth="1"/>
    <col min="29" max="29" width="26.140625" style="585" customWidth="1"/>
    <col min="30" max="30" width="26.42578125" style="585" customWidth="1"/>
    <col min="31" max="32" width="24.28515625" style="586" customWidth="1"/>
    <col min="33" max="33" width="28.28515625" style="587" customWidth="1"/>
    <col min="34" max="34" width="24.42578125" style="587" customWidth="1"/>
    <col min="35" max="35" width="27" style="585" customWidth="1"/>
    <col min="36" max="36" width="24.42578125" style="585" customWidth="1"/>
    <col min="37" max="37" width="26.28515625" style="93" customWidth="1"/>
    <col min="38" max="38" width="24.7109375" style="93" customWidth="1"/>
    <col min="39" max="39" width="23.85546875" style="93" customWidth="1"/>
    <col min="40" max="40" width="28" style="93" customWidth="1"/>
    <col min="41" max="42" width="25.140625" style="585" customWidth="1"/>
    <col min="43" max="43" width="26.28515625" style="585" customWidth="1"/>
    <col min="44" max="44" width="23.28515625" style="585" customWidth="1"/>
    <col min="45" max="46" width="24.140625" style="585" customWidth="1"/>
    <col min="47" max="48" width="24.140625" style="586" customWidth="1"/>
    <col min="49" max="49" width="23.140625" style="585" customWidth="1"/>
    <col min="50" max="50" width="25.42578125" style="585" customWidth="1"/>
    <col min="51" max="51" width="25.85546875" style="585" customWidth="1"/>
    <col min="52" max="52" width="24.140625" style="585" customWidth="1"/>
    <col min="53" max="53" width="29" style="585" customWidth="1"/>
    <col min="54" max="54" width="25.7109375" style="585" customWidth="1"/>
    <col min="55" max="55" width="29.42578125" style="585" customWidth="1"/>
    <col min="56" max="56" width="29.7109375" style="585" customWidth="1"/>
    <col min="57" max="57" width="28" style="585" customWidth="1"/>
    <col min="58" max="58" width="29.28515625" style="585" customWidth="1"/>
    <col min="59" max="59" width="24.7109375" style="586" customWidth="1"/>
    <col min="60" max="60" width="28.140625" style="586" customWidth="1"/>
    <col min="61" max="61" width="28.140625" style="585" customWidth="1"/>
    <col min="62" max="62" width="22.28515625" style="588" customWidth="1"/>
    <col min="63" max="63" width="25.28515625" style="585" customWidth="1"/>
    <col min="64" max="64" width="23.85546875" style="585" customWidth="1"/>
    <col min="65" max="65" width="26.28515625" style="589" customWidth="1"/>
    <col min="66" max="66" width="29.7109375" style="589" customWidth="1"/>
    <col min="67" max="67" width="27.5703125" style="587" customWidth="1"/>
    <col min="68" max="68" width="26.28515625" style="587" customWidth="1"/>
    <col min="69" max="69" width="25.7109375" style="590" customWidth="1"/>
    <col min="70" max="75" width="27.5703125" style="590" customWidth="1"/>
    <col min="76" max="76" width="26.7109375" style="590" customWidth="1"/>
    <col min="77" max="77" width="39.7109375" style="590" customWidth="1"/>
    <col min="78" max="79" width="27.5703125" style="590" customWidth="1"/>
    <col min="80" max="80" width="27" style="590" customWidth="1"/>
    <col min="81" max="81" width="27.28515625" style="590" customWidth="1"/>
    <col min="82" max="82" width="35.85546875" style="590" customWidth="1"/>
    <col min="83" max="85" width="27.5703125" style="590" customWidth="1"/>
    <col min="86" max="86" width="28.28515625" style="590" customWidth="1"/>
    <col min="87" max="89" width="27.5703125" style="590" customWidth="1"/>
    <col min="90" max="90" width="25.140625" style="590" customWidth="1"/>
    <col min="91" max="93" width="27.5703125" style="590" customWidth="1"/>
    <col min="94" max="94" width="27.7109375" style="590" customWidth="1"/>
    <col min="95" max="95" width="31.140625" style="590" customWidth="1"/>
    <col min="96" max="96" width="31.5703125" style="590" customWidth="1"/>
    <col min="97" max="97" width="27.5703125" style="590" customWidth="1"/>
    <col min="98" max="98" width="26.85546875" style="590" customWidth="1"/>
    <col min="99" max="99" width="38.140625" style="590" customWidth="1"/>
    <col min="100" max="102" width="27.5703125" style="590" customWidth="1"/>
    <col min="103" max="103" width="26.85546875" style="590" customWidth="1"/>
    <col min="104" max="104" width="31.28515625" style="590" customWidth="1"/>
    <col min="105" max="109" width="27.5703125" style="590" customWidth="1"/>
    <col min="110" max="110" width="28.85546875" style="590" customWidth="1"/>
    <col min="111" max="111" width="29" style="590" customWidth="1"/>
    <col min="112" max="112" width="27.85546875" style="590" customWidth="1"/>
    <col min="113" max="113" width="42.140625" style="590" customWidth="1"/>
    <col min="114" max="121" width="27.5703125" style="590" customWidth="1"/>
    <col min="122" max="122" width="31.85546875" style="590" customWidth="1"/>
    <col min="123" max="153" width="27.5703125" style="590" customWidth="1"/>
    <col min="154" max="154" width="29" style="590" customWidth="1"/>
    <col min="155" max="155" width="27.5703125" style="590" customWidth="1"/>
    <col min="156" max="156" width="31.7109375" style="590" customWidth="1"/>
    <col min="157" max="157" width="37.140625" style="590" customWidth="1"/>
    <col min="158" max="158" width="26.42578125" style="203" customWidth="1"/>
    <col min="159" max="162" width="27.5703125" style="203" customWidth="1"/>
    <col min="163" max="163" width="27.5703125" style="203" hidden="1" customWidth="1"/>
    <col min="164" max="167" width="27.5703125" style="203" customWidth="1"/>
    <col min="168" max="168" width="27.5703125" style="203" hidden="1" customWidth="1"/>
    <col min="169" max="172" width="27.5703125" style="203" customWidth="1"/>
    <col min="173" max="173" width="27.5703125" style="203" hidden="1" customWidth="1"/>
    <col min="174" max="177" width="27.5703125" style="203" customWidth="1"/>
    <col min="178" max="178" width="27.5703125" style="203" hidden="1" customWidth="1"/>
    <col min="179" max="182" width="27.5703125" style="203" customWidth="1"/>
    <col min="183" max="183" width="27.5703125" style="203" hidden="1" customWidth="1"/>
    <col min="184" max="187" width="27.5703125" style="203" customWidth="1"/>
    <col min="188" max="188" width="27.5703125" style="203" hidden="1" customWidth="1"/>
    <col min="189" max="192" width="27.5703125" style="203" customWidth="1"/>
    <col min="193" max="193" width="27.5703125" style="203" hidden="1" customWidth="1"/>
    <col min="194" max="197" width="27.5703125" style="203" customWidth="1"/>
    <col min="198" max="198" width="27.5703125" style="203" hidden="1" customWidth="1"/>
    <col min="199" max="202" width="27.5703125" style="203" customWidth="1"/>
    <col min="203" max="203" width="30.140625" style="203" hidden="1" customWidth="1"/>
    <col min="204" max="206" width="27.5703125" style="203" customWidth="1"/>
    <col min="207" max="207" width="27.5703125" style="668" customWidth="1"/>
    <col min="208" max="208" width="31.140625" style="205" customWidth="1"/>
    <col min="209" max="16384" width="11.42578125" style="205"/>
  </cols>
  <sheetData>
    <row r="1" spans="1:208" ht="18" customHeight="1" x14ac:dyDescent="0.25">
      <c r="A1" s="964"/>
      <c r="B1" s="965"/>
      <c r="C1" s="965"/>
      <c r="D1" s="965"/>
      <c r="E1" s="965"/>
      <c r="F1" s="965"/>
      <c r="G1" s="965"/>
      <c r="H1" s="965"/>
      <c r="I1" s="965"/>
      <c r="J1" s="965"/>
      <c r="K1" s="965"/>
      <c r="L1" s="965"/>
      <c r="M1" s="965"/>
      <c r="N1" s="965"/>
      <c r="O1" s="965"/>
      <c r="P1" s="965"/>
      <c r="Q1" s="965"/>
      <c r="R1" s="965"/>
      <c r="S1" s="965"/>
      <c r="T1" s="965"/>
      <c r="U1" s="965"/>
      <c r="V1" s="966"/>
      <c r="W1" s="965"/>
      <c r="X1" s="965"/>
      <c r="Y1" s="965"/>
      <c r="Z1" s="965"/>
      <c r="AA1" s="965"/>
      <c r="AB1" s="965"/>
      <c r="AC1" s="965"/>
      <c r="AD1" s="965"/>
      <c r="AE1" s="965"/>
      <c r="AF1" s="965"/>
      <c r="AG1" s="965"/>
      <c r="AH1" s="965"/>
      <c r="AI1" s="965"/>
      <c r="AJ1" s="965"/>
      <c r="AK1" s="965"/>
      <c r="AL1" s="965"/>
      <c r="AM1" s="965"/>
      <c r="AN1" s="965"/>
      <c r="AO1" s="965"/>
      <c r="AP1" s="965"/>
      <c r="AQ1" s="965"/>
      <c r="AR1" s="965"/>
      <c r="AS1" s="965"/>
      <c r="AT1" s="965"/>
      <c r="AU1" s="965"/>
      <c r="AV1" s="965"/>
      <c r="AW1" s="965"/>
      <c r="AX1" s="965"/>
      <c r="AY1" s="965"/>
      <c r="AZ1" s="965"/>
      <c r="BA1" s="965"/>
      <c r="BB1" s="965"/>
      <c r="BC1" s="965"/>
      <c r="BD1" s="965"/>
      <c r="BE1" s="965"/>
      <c r="BF1" s="965"/>
      <c r="BG1" s="965"/>
      <c r="BH1" s="965"/>
      <c r="BI1" s="965"/>
      <c r="BJ1" s="965"/>
      <c r="BK1" s="965"/>
      <c r="BL1" s="965"/>
      <c r="BM1" s="965"/>
      <c r="BN1" s="965"/>
      <c r="BO1" s="965"/>
      <c r="BP1" s="965"/>
      <c r="BQ1" s="965"/>
      <c r="BR1" s="965"/>
      <c r="BS1" s="965"/>
      <c r="BT1" s="965"/>
      <c r="BU1" s="965"/>
      <c r="BV1" s="965"/>
      <c r="BW1" s="965"/>
      <c r="BX1" s="965"/>
      <c r="BY1" s="965"/>
      <c r="BZ1" s="965"/>
      <c r="CA1" s="965"/>
      <c r="CB1" s="965"/>
      <c r="CC1" s="965"/>
      <c r="CD1" s="965"/>
      <c r="CE1" s="965"/>
      <c r="CF1" s="965"/>
      <c r="CG1" s="965"/>
      <c r="CH1" s="965"/>
      <c r="CI1" s="965"/>
      <c r="CJ1" s="965"/>
      <c r="CK1" s="965"/>
      <c r="CL1" s="965"/>
      <c r="CM1" s="965"/>
      <c r="CN1" s="965"/>
      <c r="CO1" s="965"/>
      <c r="CP1" s="965"/>
      <c r="CQ1" s="965"/>
      <c r="CR1" s="965"/>
      <c r="CS1" s="965"/>
      <c r="CT1" s="965"/>
      <c r="CU1" s="965"/>
      <c r="CV1" s="965"/>
      <c r="CW1" s="965"/>
      <c r="CX1" s="965"/>
      <c r="CY1" s="965"/>
      <c r="CZ1" s="965"/>
      <c r="DA1" s="965"/>
      <c r="DB1" s="965"/>
      <c r="DC1" s="965"/>
      <c r="DD1" s="965"/>
      <c r="DE1" s="965"/>
      <c r="DF1" s="965"/>
      <c r="DG1" s="965"/>
      <c r="DH1" s="965"/>
      <c r="DI1" s="965"/>
      <c r="DJ1" s="965"/>
      <c r="DK1" s="965"/>
      <c r="DL1" s="965"/>
      <c r="DM1" s="965"/>
      <c r="DN1" s="965"/>
      <c r="DO1" s="965"/>
      <c r="DP1" s="965"/>
      <c r="DQ1" s="965"/>
      <c r="DR1" s="965"/>
      <c r="DS1" s="965"/>
      <c r="DT1" s="965"/>
      <c r="DU1" s="965"/>
      <c r="DV1" s="965"/>
      <c r="DW1" s="965"/>
      <c r="DX1" s="965"/>
      <c r="DY1" s="965"/>
      <c r="DZ1" s="965"/>
      <c r="EA1" s="965"/>
      <c r="EB1" s="965"/>
      <c r="EC1" s="965"/>
      <c r="ED1" s="965"/>
      <c r="EE1" s="965"/>
      <c r="EF1" s="965"/>
      <c r="EG1" s="965"/>
      <c r="EH1" s="965"/>
      <c r="EI1" s="965"/>
      <c r="EJ1" s="965"/>
      <c r="EK1" s="965"/>
      <c r="EL1" s="965"/>
      <c r="EM1" s="965"/>
      <c r="EN1" s="965"/>
      <c r="EO1" s="965"/>
      <c r="EP1" s="965"/>
      <c r="EQ1" s="965"/>
      <c r="ER1" s="965"/>
      <c r="ES1" s="965"/>
      <c r="ET1" s="965"/>
      <c r="EU1" s="965"/>
      <c r="EV1" s="965"/>
      <c r="EW1" s="965"/>
      <c r="EX1" s="965"/>
      <c r="EY1" s="965"/>
      <c r="EZ1" s="965"/>
      <c r="FA1" s="965"/>
      <c r="FB1" s="965"/>
      <c r="FC1" s="965"/>
      <c r="FD1" s="965"/>
      <c r="FE1" s="965"/>
      <c r="FF1" s="965"/>
      <c r="FG1" s="965"/>
      <c r="FH1" s="965"/>
      <c r="FI1" s="965"/>
      <c r="FJ1" s="965"/>
      <c r="FK1" s="965"/>
      <c r="FL1" s="965"/>
      <c r="FM1" s="965"/>
      <c r="FN1" s="965"/>
      <c r="FO1" s="965"/>
      <c r="FP1" s="965"/>
      <c r="FQ1" s="965"/>
      <c r="FR1" s="965"/>
      <c r="FS1" s="965"/>
      <c r="FT1" s="965"/>
      <c r="FU1" s="965"/>
      <c r="FV1" s="965"/>
      <c r="FW1" s="965"/>
      <c r="FX1" s="965"/>
      <c r="FY1" s="965"/>
      <c r="FZ1" s="965"/>
      <c r="GA1" s="965"/>
      <c r="GB1" s="965"/>
      <c r="GC1" s="965"/>
      <c r="GD1" s="965"/>
      <c r="GE1" s="965"/>
      <c r="GF1" s="965"/>
      <c r="GG1" s="965"/>
      <c r="GH1" s="965"/>
      <c r="GI1" s="965"/>
      <c r="GJ1" s="965"/>
      <c r="GK1" s="965"/>
      <c r="GL1" s="965"/>
      <c r="GM1" s="965"/>
      <c r="GN1" s="965"/>
      <c r="GO1" s="965"/>
      <c r="GP1" s="965"/>
      <c r="GQ1" s="967"/>
      <c r="GR1" s="967"/>
      <c r="GS1" s="967"/>
      <c r="GT1" s="967"/>
      <c r="GU1" s="968"/>
      <c r="GV1" s="968"/>
      <c r="GW1" s="968"/>
      <c r="GX1" s="968"/>
      <c r="GY1" s="204" t="s">
        <v>0</v>
      </c>
      <c r="GZ1" s="204" t="s">
        <v>1</v>
      </c>
    </row>
    <row r="2" spans="1:208" ht="18" customHeight="1" x14ac:dyDescent="0.25">
      <c r="A2" s="969"/>
      <c r="B2" s="970"/>
      <c r="C2" s="970"/>
      <c r="D2" s="970"/>
      <c r="E2" s="970"/>
      <c r="F2" s="970"/>
      <c r="G2" s="970"/>
      <c r="H2" s="970"/>
      <c r="I2" s="970"/>
      <c r="J2" s="970"/>
      <c r="K2" s="970"/>
      <c r="L2" s="970"/>
      <c r="M2" s="970"/>
      <c r="N2" s="970"/>
      <c r="O2" s="970"/>
      <c r="P2" s="970"/>
      <c r="Q2" s="970"/>
      <c r="R2" s="970"/>
      <c r="S2" s="970"/>
      <c r="T2" s="970"/>
      <c r="U2" s="970"/>
      <c r="V2" s="971"/>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C2" s="970"/>
      <c r="DD2" s="970"/>
      <c r="DE2" s="970"/>
      <c r="DF2" s="970"/>
      <c r="DG2" s="970"/>
      <c r="DH2" s="970"/>
      <c r="DI2" s="970"/>
      <c r="DJ2" s="970"/>
      <c r="DK2" s="970"/>
      <c r="DL2" s="970"/>
      <c r="DM2" s="970"/>
      <c r="DN2" s="970"/>
      <c r="DO2" s="970"/>
      <c r="DP2" s="970"/>
      <c r="DQ2" s="970"/>
      <c r="DR2" s="970"/>
      <c r="DS2" s="970"/>
      <c r="DT2" s="970"/>
      <c r="DU2" s="970"/>
      <c r="DV2" s="970"/>
      <c r="DW2" s="970"/>
      <c r="DX2" s="970"/>
      <c r="DY2" s="970"/>
      <c r="DZ2" s="970"/>
      <c r="EA2" s="970"/>
      <c r="EB2" s="970"/>
      <c r="EC2" s="970"/>
      <c r="ED2" s="970"/>
      <c r="EE2" s="970"/>
      <c r="EF2" s="970"/>
      <c r="EG2" s="970"/>
      <c r="EH2" s="970"/>
      <c r="EI2" s="970"/>
      <c r="EJ2" s="970"/>
      <c r="EK2" s="970"/>
      <c r="EL2" s="970"/>
      <c r="EM2" s="970"/>
      <c r="EN2" s="970"/>
      <c r="EO2" s="970"/>
      <c r="EP2" s="970"/>
      <c r="EQ2" s="970"/>
      <c r="ER2" s="970"/>
      <c r="ES2" s="970"/>
      <c r="ET2" s="970"/>
      <c r="EU2" s="970"/>
      <c r="EV2" s="970"/>
      <c r="EW2" s="970"/>
      <c r="EX2" s="970"/>
      <c r="EY2" s="970"/>
      <c r="EZ2" s="970"/>
      <c r="FA2" s="970"/>
      <c r="FB2" s="970"/>
      <c r="FC2" s="970"/>
      <c r="FD2" s="970"/>
      <c r="FE2" s="970"/>
      <c r="FF2" s="970"/>
      <c r="FG2" s="970"/>
      <c r="FH2" s="970"/>
      <c r="FI2" s="970"/>
      <c r="FJ2" s="970"/>
      <c r="FK2" s="970"/>
      <c r="FL2" s="970"/>
      <c r="FM2" s="970"/>
      <c r="FN2" s="970"/>
      <c r="FO2" s="970"/>
      <c r="FP2" s="970"/>
      <c r="FQ2" s="970"/>
      <c r="FR2" s="970"/>
      <c r="FS2" s="970"/>
      <c r="FT2" s="970"/>
      <c r="FU2" s="970"/>
      <c r="FV2" s="970"/>
      <c r="FW2" s="970"/>
      <c r="FX2" s="970"/>
      <c r="FY2" s="970"/>
      <c r="FZ2" s="970"/>
      <c r="GA2" s="970"/>
      <c r="GB2" s="970"/>
      <c r="GC2" s="970"/>
      <c r="GD2" s="970"/>
      <c r="GE2" s="970"/>
      <c r="GF2" s="970"/>
      <c r="GG2" s="970"/>
      <c r="GH2" s="970"/>
      <c r="GI2" s="970"/>
      <c r="GJ2" s="970"/>
      <c r="GK2" s="970"/>
      <c r="GL2" s="970"/>
      <c r="GM2" s="970"/>
      <c r="GN2" s="970"/>
      <c r="GO2" s="970"/>
      <c r="GP2" s="970"/>
      <c r="GQ2" s="972"/>
      <c r="GR2" s="972"/>
      <c r="GS2" s="972"/>
      <c r="GT2" s="972"/>
      <c r="GU2" s="973"/>
      <c r="GV2" s="973"/>
      <c r="GW2" s="973"/>
      <c r="GX2" s="973"/>
      <c r="GY2" s="204" t="s">
        <v>2</v>
      </c>
      <c r="GZ2" s="206">
        <v>5</v>
      </c>
    </row>
    <row r="3" spans="1:208" ht="18" customHeight="1" x14ac:dyDescent="0.2">
      <c r="A3" s="974" t="s">
        <v>997</v>
      </c>
      <c r="B3" s="975"/>
      <c r="C3" s="975"/>
      <c r="D3" s="975"/>
      <c r="E3" s="975"/>
      <c r="F3" s="975"/>
      <c r="G3" s="975"/>
      <c r="H3" s="975"/>
      <c r="I3" s="975"/>
      <c r="J3" s="975"/>
      <c r="K3" s="975"/>
      <c r="L3" s="975"/>
      <c r="M3" s="975"/>
      <c r="N3" s="975"/>
      <c r="O3" s="975"/>
      <c r="P3" s="975"/>
      <c r="Q3" s="975"/>
      <c r="R3" s="975"/>
      <c r="S3" s="975"/>
      <c r="T3" s="975"/>
      <c r="U3" s="975"/>
      <c r="V3" s="976"/>
      <c r="W3" s="975"/>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B3" s="975"/>
      <c r="BC3" s="975"/>
      <c r="BD3" s="975"/>
      <c r="BE3" s="975"/>
      <c r="BF3" s="975"/>
      <c r="BG3" s="975"/>
      <c r="BH3" s="975"/>
      <c r="BI3" s="975"/>
      <c r="BJ3" s="975"/>
      <c r="BK3" s="975"/>
      <c r="BL3" s="975"/>
      <c r="BM3" s="975"/>
      <c r="BN3" s="975"/>
      <c r="BO3" s="975"/>
      <c r="BP3" s="975"/>
      <c r="BQ3" s="975"/>
      <c r="BR3" s="975"/>
      <c r="BS3" s="975"/>
      <c r="BT3" s="975"/>
      <c r="BU3" s="975"/>
      <c r="BV3" s="975"/>
      <c r="BW3" s="975"/>
      <c r="BX3" s="975"/>
      <c r="BY3" s="975"/>
      <c r="BZ3" s="975"/>
      <c r="CA3" s="975"/>
      <c r="CB3" s="975"/>
      <c r="CC3" s="975"/>
      <c r="CD3" s="975"/>
      <c r="CE3" s="975"/>
      <c r="CF3" s="975"/>
      <c r="CG3" s="975"/>
      <c r="CH3" s="975"/>
      <c r="CI3" s="975"/>
      <c r="CJ3" s="975"/>
      <c r="CK3" s="975"/>
      <c r="CL3" s="975"/>
      <c r="CM3" s="975"/>
      <c r="CN3" s="975"/>
      <c r="CO3" s="975"/>
      <c r="CP3" s="975"/>
      <c r="CQ3" s="975"/>
      <c r="CR3" s="975"/>
      <c r="CS3" s="975"/>
      <c r="CT3" s="975"/>
      <c r="CU3" s="975"/>
      <c r="CV3" s="975"/>
      <c r="CW3" s="975"/>
      <c r="CX3" s="975"/>
      <c r="CY3" s="975"/>
      <c r="CZ3" s="975"/>
      <c r="DA3" s="975"/>
      <c r="DB3" s="975"/>
      <c r="DC3" s="975"/>
      <c r="DD3" s="975"/>
      <c r="DE3" s="975"/>
      <c r="DF3" s="975"/>
      <c r="DG3" s="975"/>
      <c r="DH3" s="975"/>
      <c r="DI3" s="975"/>
      <c r="DJ3" s="975"/>
      <c r="DK3" s="975"/>
      <c r="DL3" s="975"/>
      <c r="DM3" s="975"/>
      <c r="DN3" s="975"/>
      <c r="DO3" s="975"/>
      <c r="DP3" s="975"/>
      <c r="DQ3" s="975"/>
      <c r="DR3" s="975"/>
      <c r="DS3" s="975"/>
      <c r="DT3" s="975"/>
      <c r="DU3" s="975"/>
      <c r="DV3" s="975"/>
      <c r="DW3" s="975"/>
      <c r="DX3" s="975"/>
      <c r="DY3" s="975"/>
      <c r="DZ3" s="975"/>
      <c r="EA3" s="975"/>
      <c r="EB3" s="975"/>
      <c r="EC3" s="975"/>
      <c r="ED3" s="975"/>
      <c r="EE3" s="975"/>
      <c r="EF3" s="975"/>
      <c r="EG3" s="975"/>
      <c r="EH3" s="975"/>
      <c r="EI3" s="975"/>
      <c r="EJ3" s="975"/>
      <c r="EK3" s="975"/>
      <c r="EL3" s="975"/>
      <c r="EM3" s="975"/>
      <c r="EN3" s="975"/>
      <c r="EO3" s="975"/>
      <c r="EP3" s="975"/>
      <c r="EQ3" s="975"/>
      <c r="ER3" s="975"/>
      <c r="ES3" s="975"/>
      <c r="ET3" s="975"/>
      <c r="EU3" s="975"/>
      <c r="EV3" s="975"/>
      <c r="EW3" s="975"/>
      <c r="EX3" s="975"/>
      <c r="EY3" s="975"/>
      <c r="EZ3" s="975"/>
      <c r="FA3" s="975"/>
      <c r="FB3" s="975"/>
      <c r="FC3" s="975"/>
      <c r="FD3" s="975"/>
      <c r="FE3" s="975"/>
      <c r="FF3" s="975"/>
      <c r="FG3" s="975"/>
      <c r="FH3" s="975"/>
      <c r="FI3" s="975"/>
      <c r="FJ3" s="975"/>
      <c r="FK3" s="975"/>
      <c r="FL3" s="975"/>
      <c r="FM3" s="975"/>
      <c r="FN3" s="975"/>
      <c r="FO3" s="975"/>
      <c r="FP3" s="975"/>
      <c r="FQ3" s="975"/>
      <c r="FR3" s="975"/>
      <c r="FS3" s="975"/>
      <c r="FT3" s="975"/>
      <c r="FU3" s="975"/>
      <c r="FV3" s="975"/>
      <c r="FW3" s="975"/>
      <c r="FX3" s="975"/>
      <c r="FY3" s="975"/>
      <c r="FZ3" s="975"/>
      <c r="GA3" s="975"/>
      <c r="GB3" s="975"/>
      <c r="GC3" s="975"/>
      <c r="GD3" s="975"/>
      <c r="GE3" s="975"/>
      <c r="GF3" s="975"/>
      <c r="GG3" s="975"/>
      <c r="GH3" s="975"/>
      <c r="GI3" s="975"/>
      <c r="GJ3" s="975"/>
      <c r="GK3" s="975"/>
      <c r="GL3" s="975"/>
      <c r="GM3" s="975"/>
      <c r="GN3" s="975"/>
      <c r="GO3" s="975"/>
      <c r="GP3" s="975"/>
      <c r="GQ3" s="977"/>
      <c r="GR3" s="977"/>
      <c r="GS3" s="977"/>
      <c r="GT3" s="977"/>
      <c r="GU3" s="973"/>
      <c r="GV3" s="973"/>
      <c r="GW3" s="973"/>
      <c r="GX3" s="973"/>
      <c r="GY3" s="207" t="s">
        <v>3</v>
      </c>
      <c r="GZ3" s="207" t="s">
        <v>4</v>
      </c>
    </row>
    <row r="4" spans="1:208" ht="18" customHeight="1" x14ac:dyDescent="0.2">
      <c r="A4" s="974"/>
      <c r="B4" s="975"/>
      <c r="C4" s="975"/>
      <c r="D4" s="975"/>
      <c r="E4" s="975"/>
      <c r="F4" s="975"/>
      <c r="G4" s="975"/>
      <c r="H4" s="975"/>
      <c r="I4" s="975"/>
      <c r="J4" s="975"/>
      <c r="K4" s="975"/>
      <c r="L4" s="975"/>
      <c r="M4" s="975"/>
      <c r="N4" s="975"/>
      <c r="O4" s="975"/>
      <c r="P4" s="975"/>
      <c r="Q4" s="975"/>
      <c r="R4" s="975"/>
      <c r="S4" s="975"/>
      <c r="T4" s="975"/>
      <c r="U4" s="975"/>
      <c r="V4" s="976"/>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c r="BD4" s="975"/>
      <c r="BE4" s="975"/>
      <c r="BF4" s="975"/>
      <c r="BG4" s="975"/>
      <c r="BH4" s="975"/>
      <c r="BI4" s="975"/>
      <c r="BJ4" s="975"/>
      <c r="BK4" s="975"/>
      <c r="BL4" s="975"/>
      <c r="BM4" s="975"/>
      <c r="BN4" s="975"/>
      <c r="BO4" s="975"/>
      <c r="BP4" s="975"/>
      <c r="BQ4" s="975"/>
      <c r="BR4" s="975"/>
      <c r="BS4" s="975"/>
      <c r="BT4" s="975"/>
      <c r="BU4" s="975"/>
      <c r="BV4" s="975"/>
      <c r="BW4" s="975"/>
      <c r="BX4" s="975"/>
      <c r="BY4" s="975"/>
      <c r="BZ4" s="975"/>
      <c r="CA4" s="975"/>
      <c r="CB4" s="975"/>
      <c r="CC4" s="975"/>
      <c r="CD4" s="975"/>
      <c r="CE4" s="975"/>
      <c r="CF4" s="975"/>
      <c r="CG4" s="975"/>
      <c r="CH4" s="975"/>
      <c r="CI4" s="975"/>
      <c r="CJ4" s="975"/>
      <c r="CK4" s="975"/>
      <c r="CL4" s="975"/>
      <c r="CM4" s="975"/>
      <c r="CN4" s="975"/>
      <c r="CO4" s="975"/>
      <c r="CP4" s="975"/>
      <c r="CQ4" s="975"/>
      <c r="CR4" s="975"/>
      <c r="CS4" s="975"/>
      <c r="CT4" s="975"/>
      <c r="CU4" s="975"/>
      <c r="CV4" s="975"/>
      <c r="CW4" s="975"/>
      <c r="CX4" s="975"/>
      <c r="CY4" s="975"/>
      <c r="CZ4" s="975"/>
      <c r="DA4" s="975"/>
      <c r="DB4" s="975"/>
      <c r="DC4" s="975"/>
      <c r="DD4" s="975"/>
      <c r="DE4" s="975"/>
      <c r="DF4" s="975"/>
      <c r="DG4" s="975"/>
      <c r="DH4" s="975"/>
      <c r="DI4" s="975"/>
      <c r="DJ4" s="975"/>
      <c r="DK4" s="975"/>
      <c r="DL4" s="975"/>
      <c r="DM4" s="975"/>
      <c r="DN4" s="975"/>
      <c r="DO4" s="975"/>
      <c r="DP4" s="975"/>
      <c r="DQ4" s="975"/>
      <c r="DR4" s="975"/>
      <c r="DS4" s="975"/>
      <c r="DT4" s="975"/>
      <c r="DU4" s="975"/>
      <c r="DV4" s="975"/>
      <c r="DW4" s="975"/>
      <c r="DX4" s="975"/>
      <c r="DY4" s="975"/>
      <c r="DZ4" s="975"/>
      <c r="EA4" s="975"/>
      <c r="EB4" s="975"/>
      <c r="EC4" s="975"/>
      <c r="ED4" s="975"/>
      <c r="EE4" s="975"/>
      <c r="EF4" s="975"/>
      <c r="EG4" s="975"/>
      <c r="EH4" s="975"/>
      <c r="EI4" s="975"/>
      <c r="EJ4" s="975"/>
      <c r="EK4" s="975"/>
      <c r="EL4" s="975"/>
      <c r="EM4" s="975"/>
      <c r="EN4" s="975"/>
      <c r="EO4" s="975"/>
      <c r="EP4" s="975"/>
      <c r="EQ4" s="975"/>
      <c r="ER4" s="975"/>
      <c r="ES4" s="975"/>
      <c r="ET4" s="975"/>
      <c r="EU4" s="975"/>
      <c r="EV4" s="975"/>
      <c r="EW4" s="975"/>
      <c r="EX4" s="975"/>
      <c r="EY4" s="975"/>
      <c r="EZ4" s="975"/>
      <c r="FA4" s="975"/>
      <c r="FB4" s="975"/>
      <c r="FC4" s="975"/>
      <c r="FD4" s="975"/>
      <c r="FE4" s="975"/>
      <c r="FF4" s="975"/>
      <c r="FG4" s="975"/>
      <c r="FH4" s="975"/>
      <c r="FI4" s="975"/>
      <c r="FJ4" s="975"/>
      <c r="FK4" s="975"/>
      <c r="FL4" s="975"/>
      <c r="FM4" s="975"/>
      <c r="FN4" s="975"/>
      <c r="FO4" s="975"/>
      <c r="FP4" s="975"/>
      <c r="FQ4" s="975"/>
      <c r="FR4" s="975"/>
      <c r="FS4" s="975"/>
      <c r="FT4" s="975"/>
      <c r="FU4" s="975"/>
      <c r="FV4" s="975"/>
      <c r="FW4" s="975"/>
      <c r="FX4" s="975"/>
      <c r="FY4" s="975"/>
      <c r="FZ4" s="975"/>
      <c r="GA4" s="975"/>
      <c r="GB4" s="975"/>
      <c r="GC4" s="975"/>
      <c r="GD4" s="975"/>
      <c r="GE4" s="975"/>
      <c r="GF4" s="975"/>
      <c r="GG4" s="975"/>
      <c r="GH4" s="975"/>
      <c r="GI4" s="975"/>
      <c r="GJ4" s="975"/>
      <c r="GK4" s="975"/>
      <c r="GL4" s="975"/>
      <c r="GM4" s="975"/>
      <c r="GN4" s="975"/>
      <c r="GO4" s="975"/>
      <c r="GP4" s="975"/>
      <c r="GQ4" s="977"/>
      <c r="GR4" s="977"/>
      <c r="GS4" s="977"/>
      <c r="GT4" s="977"/>
      <c r="GU4" s="973"/>
      <c r="GV4" s="973"/>
      <c r="GW4" s="973"/>
      <c r="GX4" s="973"/>
      <c r="GY4" s="204" t="s">
        <v>5</v>
      </c>
      <c r="GZ4" s="204" t="s">
        <v>6</v>
      </c>
    </row>
    <row r="5" spans="1:208" ht="18" customHeight="1" x14ac:dyDescent="0.2">
      <c r="A5" s="974"/>
      <c r="B5" s="975"/>
      <c r="C5" s="975"/>
      <c r="D5" s="975"/>
      <c r="E5" s="975"/>
      <c r="F5" s="975"/>
      <c r="G5" s="975"/>
      <c r="H5" s="975"/>
      <c r="I5" s="975"/>
      <c r="J5" s="975"/>
      <c r="K5" s="975"/>
      <c r="L5" s="975"/>
      <c r="M5" s="975"/>
      <c r="N5" s="975"/>
      <c r="O5" s="975"/>
      <c r="P5" s="975"/>
      <c r="Q5" s="975"/>
      <c r="R5" s="975"/>
      <c r="S5" s="975"/>
      <c r="T5" s="975"/>
      <c r="U5" s="975"/>
      <c r="V5" s="976"/>
      <c r="W5" s="975"/>
      <c r="X5" s="975"/>
      <c r="Y5" s="975"/>
      <c r="Z5" s="975"/>
      <c r="AA5" s="975"/>
      <c r="AB5" s="975"/>
      <c r="AC5" s="975"/>
      <c r="AD5" s="975"/>
      <c r="AE5" s="975"/>
      <c r="AF5" s="975"/>
      <c r="AG5" s="975"/>
      <c r="AH5" s="975"/>
      <c r="AI5" s="975"/>
      <c r="AJ5" s="975"/>
      <c r="AK5" s="975"/>
      <c r="AL5" s="975"/>
      <c r="AM5" s="975"/>
      <c r="AN5" s="975"/>
      <c r="AO5" s="975"/>
      <c r="AP5" s="975"/>
      <c r="AQ5" s="975"/>
      <c r="AR5" s="975"/>
      <c r="AS5" s="975"/>
      <c r="AT5" s="975"/>
      <c r="AU5" s="975"/>
      <c r="AV5" s="975"/>
      <c r="AW5" s="975"/>
      <c r="AX5" s="975"/>
      <c r="AY5" s="975"/>
      <c r="AZ5" s="975"/>
      <c r="BA5" s="975"/>
      <c r="BB5" s="975"/>
      <c r="BC5" s="975"/>
      <c r="BD5" s="975"/>
      <c r="BE5" s="975"/>
      <c r="BF5" s="975"/>
      <c r="BG5" s="975"/>
      <c r="BH5" s="975"/>
      <c r="BI5" s="975"/>
      <c r="BJ5" s="975"/>
      <c r="BK5" s="975"/>
      <c r="BL5" s="975"/>
      <c r="BM5" s="975"/>
      <c r="BN5" s="975"/>
      <c r="BO5" s="975"/>
      <c r="BP5" s="975"/>
      <c r="BQ5" s="975"/>
      <c r="BR5" s="975"/>
      <c r="BS5" s="975"/>
      <c r="BT5" s="975"/>
      <c r="BU5" s="975"/>
      <c r="BV5" s="975"/>
      <c r="BW5" s="975"/>
      <c r="BX5" s="975"/>
      <c r="BY5" s="975"/>
      <c r="BZ5" s="975"/>
      <c r="CA5" s="975"/>
      <c r="CB5" s="975"/>
      <c r="CC5" s="975"/>
      <c r="CD5" s="975"/>
      <c r="CE5" s="975"/>
      <c r="CF5" s="975"/>
      <c r="CG5" s="975"/>
      <c r="CH5" s="975"/>
      <c r="CI5" s="975"/>
      <c r="CJ5" s="975"/>
      <c r="CK5" s="975"/>
      <c r="CL5" s="975"/>
      <c r="CM5" s="975"/>
      <c r="CN5" s="975"/>
      <c r="CO5" s="975"/>
      <c r="CP5" s="975"/>
      <c r="CQ5" s="975"/>
      <c r="CR5" s="975"/>
      <c r="CS5" s="975"/>
      <c r="CT5" s="975"/>
      <c r="CU5" s="975"/>
      <c r="CV5" s="975"/>
      <c r="CW5" s="975"/>
      <c r="CX5" s="975"/>
      <c r="CY5" s="975"/>
      <c r="CZ5" s="975"/>
      <c r="DA5" s="975"/>
      <c r="DB5" s="975"/>
      <c r="DC5" s="975"/>
      <c r="DD5" s="975"/>
      <c r="DE5" s="975"/>
      <c r="DF5" s="975"/>
      <c r="DG5" s="975"/>
      <c r="DH5" s="975"/>
      <c r="DI5" s="975"/>
      <c r="DJ5" s="975"/>
      <c r="DK5" s="975"/>
      <c r="DL5" s="975"/>
      <c r="DM5" s="975"/>
      <c r="DN5" s="975"/>
      <c r="DO5" s="975"/>
      <c r="DP5" s="975"/>
      <c r="DQ5" s="975"/>
      <c r="DR5" s="975"/>
      <c r="DS5" s="975"/>
      <c r="DT5" s="975"/>
      <c r="DU5" s="975"/>
      <c r="DV5" s="975"/>
      <c r="DW5" s="975"/>
      <c r="DX5" s="975"/>
      <c r="DY5" s="975"/>
      <c r="DZ5" s="975"/>
      <c r="EA5" s="975"/>
      <c r="EB5" s="975"/>
      <c r="EC5" s="975"/>
      <c r="ED5" s="975"/>
      <c r="EE5" s="975"/>
      <c r="EF5" s="975"/>
      <c r="EG5" s="975"/>
      <c r="EH5" s="975"/>
      <c r="EI5" s="975"/>
      <c r="EJ5" s="975"/>
      <c r="EK5" s="975"/>
      <c r="EL5" s="975"/>
      <c r="EM5" s="975"/>
      <c r="EN5" s="975"/>
      <c r="EO5" s="975"/>
      <c r="EP5" s="975"/>
      <c r="EQ5" s="975"/>
      <c r="ER5" s="975"/>
      <c r="ES5" s="975"/>
      <c r="ET5" s="975"/>
      <c r="EU5" s="975"/>
      <c r="EV5" s="975"/>
      <c r="EW5" s="975"/>
      <c r="EX5" s="975"/>
      <c r="EY5" s="975"/>
      <c r="EZ5" s="975"/>
      <c r="FA5" s="975"/>
      <c r="FB5" s="975"/>
      <c r="FC5" s="975"/>
      <c r="FD5" s="975"/>
      <c r="FE5" s="975"/>
      <c r="FF5" s="975"/>
      <c r="FG5" s="975"/>
      <c r="FH5" s="975"/>
      <c r="FI5" s="975"/>
      <c r="FJ5" s="975"/>
      <c r="FK5" s="975"/>
      <c r="FL5" s="975"/>
      <c r="FM5" s="975"/>
      <c r="FN5" s="975"/>
      <c r="FO5" s="975"/>
      <c r="FP5" s="975"/>
      <c r="FQ5" s="975"/>
      <c r="FR5" s="975"/>
      <c r="FS5" s="975"/>
      <c r="FT5" s="975"/>
      <c r="FU5" s="975"/>
      <c r="FV5" s="975"/>
      <c r="FW5" s="975"/>
      <c r="FX5" s="975"/>
      <c r="FY5" s="975"/>
      <c r="FZ5" s="975"/>
      <c r="GA5" s="975"/>
      <c r="GB5" s="975"/>
      <c r="GC5" s="975"/>
      <c r="GD5" s="975"/>
      <c r="GE5" s="975"/>
      <c r="GF5" s="975"/>
      <c r="GG5" s="975"/>
      <c r="GH5" s="975"/>
      <c r="GI5" s="975"/>
      <c r="GJ5" s="975"/>
      <c r="GK5" s="975"/>
      <c r="GL5" s="975"/>
      <c r="GM5" s="975"/>
      <c r="GN5" s="975"/>
      <c r="GO5" s="975"/>
      <c r="GP5" s="975"/>
      <c r="GQ5" s="977"/>
      <c r="GR5" s="977"/>
      <c r="GS5" s="977"/>
      <c r="GT5" s="977"/>
      <c r="GU5" s="978"/>
      <c r="GV5" s="978"/>
      <c r="GW5" s="978"/>
      <c r="GX5" s="978"/>
      <c r="GY5" s="979"/>
      <c r="GZ5" s="980"/>
    </row>
    <row r="6" spans="1:208" ht="24.75" customHeight="1" x14ac:dyDescent="0.25">
      <c r="A6" s="981"/>
      <c r="B6" s="982"/>
      <c r="C6" s="982"/>
      <c r="D6" s="778" t="s">
        <v>943</v>
      </c>
      <c r="E6" s="779"/>
      <c r="F6" s="779"/>
      <c r="G6" s="779"/>
      <c r="H6" s="779"/>
      <c r="I6" s="779"/>
      <c r="J6" s="779"/>
      <c r="K6" s="779"/>
      <c r="L6" s="779"/>
      <c r="M6" s="779"/>
      <c r="N6" s="779"/>
      <c r="O6" s="779"/>
      <c r="P6" s="779"/>
      <c r="Q6" s="779"/>
      <c r="R6" s="779"/>
      <c r="S6" s="779"/>
      <c r="T6" s="779"/>
      <c r="U6" s="779"/>
      <c r="V6" s="780"/>
      <c r="W6" s="779"/>
      <c r="X6" s="779"/>
      <c r="Y6" s="779"/>
      <c r="Z6" s="779"/>
      <c r="AA6" s="779"/>
      <c r="AB6" s="781"/>
      <c r="AC6" s="772" t="s">
        <v>7</v>
      </c>
      <c r="AD6" s="773"/>
      <c r="AE6" s="773"/>
      <c r="AF6" s="773"/>
      <c r="AG6" s="773"/>
      <c r="AH6" s="773"/>
      <c r="AI6" s="773"/>
      <c r="AJ6" s="773"/>
      <c r="AK6" s="773"/>
      <c r="AL6" s="773"/>
      <c r="AM6" s="773"/>
      <c r="AN6" s="773"/>
      <c r="AO6" s="773"/>
      <c r="AP6" s="773"/>
      <c r="AQ6" s="773"/>
      <c r="AR6" s="773"/>
      <c r="AS6" s="773"/>
      <c r="AT6" s="773"/>
      <c r="AU6" s="773"/>
      <c r="AV6" s="773"/>
      <c r="AW6" s="773"/>
      <c r="AX6" s="773"/>
      <c r="AY6" s="773"/>
      <c r="AZ6" s="773"/>
      <c r="BA6" s="773"/>
      <c r="BB6" s="773"/>
      <c r="BC6" s="773"/>
      <c r="BD6" s="773"/>
      <c r="BE6" s="773"/>
      <c r="BF6" s="773"/>
      <c r="BG6" s="773"/>
      <c r="BH6" s="773"/>
      <c r="BI6" s="773"/>
      <c r="BJ6" s="773"/>
      <c r="BK6" s="773"/>
      <c r="BL6" s="773"/>
      <c r="BM6" s="773"/>
      <c r="BN6" s="773"/>
      <c r="BO6" s="773"/>
      <c r="BP6" s="774"/>
      <c r="BQ6" s="742" t="s">
        <v>8</v>
      </c>
      <c r="BR6" s="743"/>
      <c r="BS6" s="743"/>
      <c r="BT6" s="743"/>
      <c r="BU6" s="743"/>
      <c r="BV6" s="743"/>
      <c r="BW6" s="743"/>
      <c r="BX6" s="743"/>
      <c r="BY6" s="743"/>
      <c r="BZ6" s="743"/>
      <c r="CA6" s="743"/>
      <c r="CB6" s="743"/>
      <c r="CC6" s="743"/>
      <c r="CD6" s="743"/>
      <c r="CE6" s="743"/>
      <c r="CF6" s="743"/>
      <c r="CG6" s="743"/>
      <c r="CH6" s="743"/>
      <c r="CI6" s="743"/>
      <c r="CJ6" s="743"/>
      <c r="CK6" s="743"/>
      <c r="CL6" s="743"/>
      <c r="CM6" s="743"/>
      <c r="CN6" s="743"/>
      <c r="CO6" s="743"/>
      <c r="CP6" s="743"/>
      <c r="CQ6" s="743"/>
      <c r="CR6" s="743"/>
      <c r="CS6" s="743"/>
      <c r="CT6" s="743"/>
      <c r="CU6" s="743"/>
      <c r="CV6" s="743"/>
      <c r="CW6" s="743"/>
      <c r="CX6" s="743"/>
      <c r="CY6" s="743"/>
      <c r="CZ6" s="743"/>
      <c r="DA6" s="743"/>
      <c r="DB6" s="743"/>
      <c r="DC6" s="743"/>
      <c r="DD6" s="743"/>
      <c r="DE6" s="743"/>
      <c r="DF6" s="743"/>
      <c r="DG6" s="743"/>
      <c r="DH6" s="743"/>
      <c r="DI6" s="744"/>
      <c r="DJ6" s="759" t="s">
        <v>9</v>
      </c>
      <c r="DK6" s="760"/>
      <c r="DL6" s="760"/>
      <c r="DM6" s="760"/>
      <c r="DN6" s="760"/>
      <c r="DO6" s="760"/>
      <c r="DP6" s="760"/>
      <c r="DQ6" s="760"/>
      <c r="DR6" s="760"/>
      <c r="DS6" s="760"/>
      <c r="DT6" s="760"/>
      <c r="DU6" s="760"/>
      <c r="DV6" s="760"/>
      <c r="DW6" s="760"/>
      <c r="DX6" s="760"/>
      <c r="DY6" s="760"/>
      <c r="DZ6" s="760"/>
      <c r="EA6" s="760"/>
      <c r="EB6" s="760"/>
      <c r="EC6" s="760"/>
      <c r="ED6" s="760"/>
      <c r="EE6" s="760"/>
      <c r="EF6" s="760"/>
      <c r="EG6" s="760"/>
      <c r="EH6" s="760"/>
      <c r="EI6" s="760"/>
      <c r="EJ6" s="760"/>
      <c r="EK6" s="760"/>
      <c r="EL6" s="760"/>
      <c r="EM6" s="760"/>
      <c r="EN6" s="760"/>
      <c r="EO6" s="760"/>
      <c r="EP6" s="760"/>
      <c r="EQ6" s="760"/>
      <c r="ER6" s="760"/>
      <c r="ES6" s="760"/>
      <c r="ET6" s="760"/>
      <c r="EU6" s="760"/>
      <c r="EV6" s="760"/>
      <c r="EW6" s="760"/>
      <c r="EX6" s="760"/>
      <c r="EY6" s="760"/>
      <c r="EZ6" s="760"/>
      <c r="FA6" s="177"/>
      <c r="FB6" s="749" t="s">
        <v>10</v>
      </c>
      <c r="FC6" s="749"/>
      <c r="FD6" s="749"/>
      <c r="FE6" s="749"/>
      <c r="FF6" s="749"/>
      <c r="FG6" s="750"/>
      <c r="FH6" s="750"/>
      <c r="FI6" s="750"/>
      <c r="FJ6" s="750"/>
      <c r="FK6" s="750"/>
      <c r="FL6" s="750"/>
      <c r="FM6" s="750"/>
      <c r="FN6" s="750"/>
      <c r="FO6" s="750"/>
      <c r="FP6" s="750"/>
      <c r="FQ6" s="750"/>
      <c r="FR6" s="750"/>
      <c r="FS6" s="750"/>
      <c r="FT6" s="750"/>
      <c r="FU6" s="750"/>
      <c r="FV6" s="750"/>
      <c r="FW6" s="750"/>
      <c r="FX6" s="750"/>
      <c r="FY6" s="750"/>
      <c r="FZ6" s="750"/>
      <c r="GA6" s="750"/>
      <c r="GB6" s="750"/>
      <c r="GC6" s="750"/>
      <c r="GD6" s="750"/>
      <c r="GE6" s="750"/>
      <c r="GF6" s="750"/>
      <c r="GG6" s="750"/>
      <c r="GH6" s="750"/>
      <c r="GI6" s="750"/>
      <c r="GJ6" s="750"/>
      <c r="GK6" s="750"/>
      <c r="GL6" s="750"/>
      <c r="GM6" s="750"/>
      <c r="GN6" s="750"/>
      <c r="GO6" s="750"/>
      <c r="GP6" s="750"/>
      <c r="GQ6" s="750"/>
      <c r="GR6" s="750"/>
      <c r="GS6" s="750"/>
      <c r="GT6" s="750"/>
      <c r="GU6" s="750"/>
      <c r="GV6" s="614"/>
      <c r="GW6" s="614"/>
      <c r="GX6" s="614"/>
      <c r="GY6" s="669"/>
      <c r="GZ6" s="747" t="s">
        <v>941</v>
      </c>
    </row>
    <row r="7" spans="1:208" s="209" customFormat="1" ht="24.75" customHeight="1" x14ac:dyDescent="0.25">
      <c r="A7" s="782" t="s">
        <v>12</v>
      </c>
      <c r="B7" s="783"/>
      <c r="C7" s="784"/>
      <c r="D7" s="983" t="s">
        <v>13</v>
      </c>
      <c r="E7" s="755" t="s">
        <v>14</v>
      </c>
      <c r="F7" s="755" t="s">
        <v>15</v>
      </c>
      <c r="G7" s="754" t="s">
        <v>16</v>
      </c>
      <c r="H7" s="754"/>
      <c r="I7" s="755" t="s">
        <v>17</v>
      </c>
      <c r="J7" s="755" t="s">
        <v>18</v>
      </c>
      <c r="K7" s="755" t="s">
        <v>19</v>
      </c>
      <c r="L7" s="755" t="s">
        <v>20</v>
      </c>
      <c r="M7" s="755" t="s">
        <v>21</v>
      </c>
      <c r="N7" s="755" t="s">
        <v>22</v>
      </c>
      <c r="O7" s="731">
        <v>2016</v>
      </c>
      <c r="P7" s="732"/>
      <c r="Q7" s="731">
        <v>2017</v>
      </c>
      <c r="R7" s="732"/>
      <c r="S7" s="732"/>
      <c r="T7" s="731">
        <v>2018</v>
      </c>
      <c r="U7" s="732"/>
      <c r="V7" s="770"/>
      <c r="W7" s="731">
        <v>2019</v>
      </c>
      <c r="X7" s="732"/>
      <c r="Y7" s="732"/>
      <c r="Z7" s="785" t="s">
        <v>23</v>
      </c>
      <c r="AA7" s="755" t="s">
        <v>24</v>
      </c>
      <c r="AB7" s="755" t="s">
        <v>25</v>
      </c>
      <c r="AC7" s="728" t="s">
        <v>26</v>
      </c>
      <c r="AD7" s="729"/>
      <c r="AE7" s="729"/>
      <c r="AF7" s="730"/>
      <c r="AG7" s="728" t="s">
        <v>27</v>
      </c>
      <c r="AH7" s="729"/>
      <c r="AI7" s="729"/>
      <c r="AJ7" s="730"/>
      <c r="AK7" s="728" t="s">
        <v>28</v>
      </c>
      <c r="AL7" s="729"/>
      <c r="AM7" s="729"/>
      <c r="AN7" s="730"/>
      <c r="AO7" s="728" t="s">
        <v>29</v>
      </c>
      <c r="AP7" s="729"/>
      <c r="AQ7" s="729"/>
      <c r="AR7" s="730"/>
      <c r="AS7" s="728" t="s">
        <v>958</v>
      </c>
      <c r="AT7" s="729"/>
      <c r="AU7" s="729"/>
      <c r="AV7" s="730"/>
      <c r="AW7" s="765" t="s">
        <v>31</v>
      </c>
      <c r="AX7" s="766"/>
      <c r="AY7" s="766"/>
      <c r="AZ7" s="767"/>
      <c r="BA7" s="728" t="s">
        <v>32</v>
      </c>
      <c r="BB7" s="729"/>
      <c r="BC7" s="729"/>
      <c r="BD7" s="730"/>
      <c r="BE7" s="728" t="s">
        <v>33</v>
      </c>
      <c r="BF7" s="729"/>
      <c r="BG7" s="729"/>
      <c r="BH7" s="730"/>
      <c r="BI7" s="728" t="s">
        <v>34</v>
      </c>
      <c r="BJ7" s="729"/>
      <c r="BK7" s="729"/>
      <c r="BL7" s="730"/>
      <c r="BM7" s="728" t="s">
        <v>35</v>
      </c>
      <c r="BN7" s="729"/>
      <c r="BO7" s="729"/>
      <c r="BP7" s="730"/>
      <c r="BQ7" s="751" t="s">
        <v>26</v>
      </c>
      <c r="BR7" s="752"/>
      <c r="BS7" s="752"/>
      <c r="BT7" s="753"/>
      <c r="BU7" s="751" t="s">
        <v>27</v>
      </c>
      <c r="BV7" s="752"/>
      <c r="BW7" s="752"/>
      <c r="BX7" s="752"/>
      <c r="BY7" s="753"/>
      <c r="BZ7" s="751" t="s">
        <v>28</v>
      </c>
      <c r="CA7" s="752"/>
      <c r="CB7" s="752"/>
      <c r="CC7" s="752"/>
      <c r="CD7" s="753"/>
      <c r="CE7" s="751" t="s">
        <v>29</v>
      </c>
      <c r="CF7" s="752"/>
      <c r="CG7" s="752"/>
      <c r="CH7" s="753"/>
      <c r="CI7" s="775" t="s">
        <v>30</v>
      </c>
      <c r="CJ7" s="776"/>
      <c r="CK7" s="776"/>
      <c r="CL7" s="777"/>
      <c r="CM7" s="984" t="s">
        <v>31</v>
      </c>
      <c r="CN7" s="985"/>
      <c r="CO7" s="985"/>
      <c r="CP7" s="771"/>
      <c r="CQ7" s="775" t="s">
        <v>32</v>
      </c>
      <c r="CR7" s="776"/>
      <c r="CS7" s="776"/>
      <c r="CT7" s="776"/>
      <c r="CU7" s="777"/>
      <c r="CV7" s="775" t="s">
        <v>33</v>
      </c>
      <c r="CW7" s="776"/>
      <c r="CX7" s="776"/>
      <c r="CY7" s="776"/>
      <c r="CZ7" s="777"/>
      <c r="DA7" s="984" t="s">
        <v>34</v>
      </c>
      <c r="DB7" s="985"/>
      <c r="DC7" s="985"/>
      <c r="DD7" s="771"/>
      <c r="DE7" s="984" t="s">
        <v>36</v>
      </c>
      <c r="DF7" s="985"/>
      <c r="DG7" s="985"/>
      <c r="DH7" s="771"/>
      <c r="DI7" s="208"/>
      <c r="DJ7" s="756" t="s">
        <v>26</v>
      </c>
      <c r="DK7" s="757"/>
      <c r="DL7" s="757"/>
      <c r="DM7" s="758"/>
      <c r="DN7" s="756" t="s">
        <v>27</v>
      </c>
      <c r="DO7" s="757"/>
      <c r="DP7" s="757"/>
      <c r="DQ7" s="757"/>
      <c r="DR7" s="719"/>
      <c r="DS7" s="756" t="s">
        <v>28</v>
      </c>
      <c r="DT7" s="757"/>
      <c r="DU7" s="757"/>
      <c r="DV7" s="757"/>
      <c r="DW7" s="719"/>
      <c r="DX7" s="756" t="s">
        <v>37</v>
      </c>
      <c r="DY7" s="757"/>
      <c r="DZ7" s="757"/>
      <c r="EA7" s="758"/>
      <c r="EB7" s="756" t="s">
        <v>974</v>
      </c>
      <c r="EC7" s="757"/>
      <c r="ED7" s="757"/>
      <c r="EE7" s="758"/>
      <c r="EF7" s="756" t="s">
        <v>31</v>
      </c>
      <c r="EG7" s="757"/>
      <c r="EH7" s="757"/>
      <c r="EI7" s="758"/>
      <c r="EJ7" s="756" t="s">
        <v>32</v>
      </c>
      <c r="EK7" s="757"/>
      <c r="EL7" s="757"/>
      <c r="EM7" s="758"/>
      <c r="EN7" s="756" t="s">
        <v>33</v>
      </c>
      <c r="EO7" s="757"/>
      <c r="EP7" s="757"/>
      <c r="EQ7" s="757"/>
      <c r="ER7" s="758"/>
      <c r="ES7" s="756" t="s">
        <v>34</v>
      </c>
      <c r="ET7" s="757"/>
      <c r="EU7" s="757"/>
      <c r="EV7" s="758"/>
      <c r="EW7" s="756" t="s">
        <v>11</v>
      </c>
      <c r="EX7" s="757"/>
      <c r="EY7" s="757"/>
      <c r="EZ7" s="757"/>
      <c r="FA7" s="719"/>
      <c r="FB7" s="739" t="s">
        <v>26</v>
      </c>
      <c r="FC7" s="740"/>
      <c r="FD7" s="740"/>
      <c r="FE7" s="740"/>
      <c r="FF7" s="741"/>
      <c r="FG7" s="739" t="s">
        <v>27</v>
      </c>
      <c r="FH7" s="740"/>
      <c r="FI7" s="740"/>
      <c r="FJ7" s="740"/>
      <c r="FK7" s="741"/>
      <c r="FL7" s="739" t="s">
        <v>28</v>
      </c>
      <c r="FM7" s="739"/>
      <c r="FN7" s="740"/>
      <c r="FO7" s="740"/>
      <c r="FP7" s="716"/>
      <c r="FQ7" s="739" t="s">
        <v>37</v>
      </c>
      <c r="FR7" s="740"/>
      <c r="FS7" s="740"/>
      <c r="FT7" s="740"/>
      <c r="FU7" s="741"/>
      <c r="FV7" s="733" t="s">
        <v>30</v>
      </c>
      <c r="FW7" s="734"/>
      <c r="FX7" s="734"/>
      <c r="FY7" s="734"/>
      <c r="FZ7" s="735"/>
      <c r="GA7" s="733" t="s">
        <v>31</v>
      </c>
      <c r="GB7" s="734"/>
      <c r="GC7" s="734"/>
      <c r="GD7" s="734"/>
      <c r="GE7" s="735"/>
      <c r="GF7" s="733" t="s">
        <v>32</v>
      </c>
      <c r="GG7" s="734"/>
      <c r="GH7" s="734"/>
      <c r="GI7" s="734"/>
      <c r="GJ7" s="735"/>
      <c r="GK7" s="733" t="s">
        <v>33</v>
      </c>
      <c r="GL7" s="734"/>
      <c r="GM7" s="734"/>
      <c r="GN7" s="734"/>
      <c r="GO7" s="735"/>
      <c r="GP7" s="733" t="s">
        <v>34</v>
      </c>
      <c r="GQ7" s="734"/>
      <c r="GR7" s="734"/>
      <c r="GS7" s="734"/>
      <c r="GT7" s="735"/>
      <c r="GU7" s="736" t="s">
        <v>38</v>
      </c>
      <c r="GV7" s="737"/>
      <c r="GW7" s="737"/>
      <c r="GX7" s="737"/>
      <c r="GY7" s="738"/>
      <c r="GZ7" s="748"/>
    </row>
    <row r="8" spans="1:208" s="217" customFormat="1" ht="40.5" customHeight="1" x14ac:dyDescent="0.25">
      <c r="A8" s="210" t="s">
        <v>39</v>
      </c>
      <c r="B8" s="211" t="s">
        <v>40</v>
      </c>
      <c r="C8" s="212" t="s">
        <v>41</v>
      </c>
      <c r="D8" s="768"/>
      <c r="E8" s="755"/>
      <c r="F8" s="755"/>
      <c r="G8" s="754"/>
      <c r="H8" s="754"/>
      <c r="I8" s="755"/>
      <c r="J8" s="755"/>
      <c r="K8" s="755"/>
      <c r="L8" s="755"/>
      <c r="M8" s="755"/>
      <c r="N8" s="755"/>
      <c r="O8" s="720" t="s">
        <v>42</v>
      </c>
      <c r="P8" s="213" t="s">
        <v>43</v>
      </c>
      <c r="Q8" s="720" t="s">
        <v>42</v>
      </c>
      <c r="R8" s="214" t="s">
        <v>955</v>
      </c>
      <c r="S8" s="215" t="s">
        <v>43</v>
      </c>
      <c r="T8" s="720" t="s">
        <v>42</v>
      </c>
      <c r="U8" s="720" t="s">
        <v>955</v>
      </c>
      <c r="V8" s="213" t="s">
        <v>43</v>
      </c>
      <c r="W8" s="720" t="s">
        <v>42</v>
      </c>
      <c r="X8" s="720" t="s">
        <v>955</v>
      </c>
      <c r="Y8" s="213" t="s">
        <v>43</v>
      </c>
      <c r="Z8" s="785"/>
      <c r="AA8" s="755"/>
      <c r="AB8" s="755"/>
      <c r="AC8" s="41" t="s">
        <v>45</v>
      </c>
      <c r="AD8" s="42" t="s">
        <v>46</v>
      </c>
      <c r="AE8" s="41" t="s">
        <v>47</v>
      </c>
      <c r="AF8" s="41" t="s">
        <v>48</v>
      </c>
      <c r="AG8" s="43" t="s">
        <v>45</v>
      </c>
      <c r="AH8" s="44" t="s">
        <v>46</v>
      </c>
      <c r="AI8" s="41" t="s">
        <v>47</v>
      </c>
      <c r="AJ8" s="41" t="s">
        <v>48</v>
      </c>
      <c r="AK8" s="45" t="s">
        <v>45</v>
      </c>
      <c r="AL8" s="46" t="s">
        <v>46</v>
      </c>
      <c r="AM8" s="45" t="s">
        <v>47</v>
      </c>
      <c r="AN8" s="45" t="s">
        <v>48</v>
      </c>
      <c r="AO8" s="41" t="s">
        <v>45</v>
      </c>
      <c r="AP8" s="42" t="s">
        <v>46</v>
      </c>
      <c r="AQ8" s="41" t="s">
        <v>47</v>
      </c>
      <c r="AR8" s="41" t="s">
        <v>48</v>
      </c>
      <c r="AS8" s="41" t="s">
        <v>45</v>
      </c>
      <c r="AT8" s="42" t="s">
        <v>46</v>
      </c>
      <c r="AU8" s="41" t="s">
        <v>47</v>
      </c>
      <c r="AV8" s="41" t="s">
        <v>48</v>
      </c>
      <c r="AW8" s="41" t="s">
        <v>45</v>
      </c>
      <c r="AX8" s="42" t="s">
        <v>46</v>
      </c>
      <c r="AY8" s="41" t="s">
        <v>47</v>
      </c>
      <c r="AZ8" s="41" t="s">
        <v>48</v>
      </c>
      <c r="BA8" s="41" t="s">
        <v>45</v>
      </c>
      <c r="BB8" s="41" t="s">
        <v>46</v>
      </c>
      <c r="BC8" s="41" t="s">
        <v>47</v>
      </c>
      <c r="BD8" s="41" t="s">
        <v>48</v>
      </c>
      <c r="BE8" s="41" t="s">
        <v>45</v>
      </c>
      <c r="BF8" s="42" t="s">
        <v>46</v>
      </c>
      <c r="BG8" s="41" t="s">
        <v>47</v>
      </c>
      <c r="BH8" s="41" t="s">
        <v>48</v>
      </c>
      <c r="BI8" s="41" t="s">
        <v>45</v>
      </c>
      <c r="BJ8" s="42" t="s">
        <v>46</v>
      </c>
      <c r="BK8" s="41" t="s">
        <v>47</v>
      </c>
      <c r="BL8" s="41" t="s">
        <v>48</v>
      </c>
      <c r="BM8" s="47" t="s">
        <v>45</v>
      </c>
      <c r="BN8" s="44" t="s">
        <v>46</v>
      </c>
      <c r="BO8" s="43" t="s">
        <v>47</v>
      </c>
      <c r="BP8" s="43" t="s">
        <v>48</v>
      </c>
      <c r="BQ8" s="98" t="s">
        <v>45</v>
      </c>
      <c r="BR8" s="98" t="s">
        <v>46</v>
      </c>
      <c r="BS8" s="98" t="s">
        <v>47</v>
      </c>
      <c r="BT8" s="98" t="s">
        <v>48</v>
      </c>
      <c r="BU8" s="98" t="s">
        <v>45</v>
      </c>
      <c r="BV8" s="98" t="s">
        <v>46</v>
      </c>
      <c r="BW8" s="98" t="s">
        <v>47</v>
      </c>
      <c r="BX8" s="98" t="s">
        <v>48</v>
      </c>
      <c r="BY8" s="98" t="s">
        <v>973</v>
      </c>
      <c r="BZ8" s="98" t="s">
        <v>45</v>
      </c>
      <c r="CA8" s="98" t="s">
        <v>46</v>
      </c>
      <c r="CB8" s="98" t="s">
        <v>47</v>
      </c>
      <c r="CC8" s="98" t="s">
        <v>48</v>
      </c>
      <c r="CD8" s="98" t="s">
        <v>973</v>
      </c>
      <c r="CE8" s="98" t="s">
        <v>45</v>
      </c>
      <c r="CF8" s="98" t="s">
        <v>46</v>
      </c>
      <c r="CG8" s="98" t="s">
        <v>47</v>
      </c>
      <c r="CH8" s="98" t="s">
        <v>48</v>
      </c>
      <c r="CI8" s="98" t="s">
        <v>45</v>
      </c>
      <c r="CJ8" s="98" t="s">
        <v>46</v>
      </c>
      <c r="CK8" s="98" t="s">
        <v>47</v>
      </c>
      <c r="CL8" s="98" t="s">
        <v>48</v>
      </c>
      <c r="CM8" s="98" t="s">
        <v>45</v>
      </c>
      <c r="CN8" s="98" t="s">
        <v>46</v>
      </c>
      <c r="CO8" s="98" t="s">
        <v>47</v>
      </c>
      <c r="CP8" s="98" t="s">
        <v>48</v>
      </c>
      <c r="CQ8" s="98" t="s">
        <v>45</v>
      </c>
      <c r="CR8" s="98" t="s">
        <v>46</v>
      </c>
      <c r="CS8" s="98" t="s">
        <v>47</v>
      </c>
      <c r="CT8" s="98" t="s">
        <v>48</v>
      </c>
      <c r="CU8" s="98" t="s">
        <v>973</v>
      </c>
      <c r="CV8" s="98" t="s">
        <v>45</v>
      </c>
      <c r="CW8" s="98" t="s">
        <v>46</v>
      </c>
      <c r="CX8" s="98" t="s">
        <v>47</v>
      </c>
      <c r="CY8" s="98" t="s">
        <v>48</v>
      </c>
      <c r="CZ8" s="98" t="s">
        <v>973</v>
      </c>
      <c r="DA8" s="98" t="s">
        <v>45</v>
      </c>
      <c r="DB8" s="98" t="s">
        <v>46</v>
      </c>
      <c r="DC8" s="98" t="s">
        <v>47</v>
      </c>
      <c r="DD8" s="98" t="s">
        <v>48</v>
      </c>
      <c r="DE8" s="98" t="s">
        <v>45</v>
      </c>
      <c r="DF8" s="98" t="s">
        <v>46</v>
      </c>
      <c r="DG8" s="98" t="s">
        <v>47</v>
      </c>
      <c r="DH8" s="98" t="s">
        <v>48</v>
      </c>
      <c r="DI8" s="98" t="s">
        <v>973</v>
      </c>
      <c r="DJ8" s="115" t="s">
        <v>45</v>
      </c>
      <c r="DK8" s="115" t="s">
        <v>46</v>
      </c>
      <c r="DL8" s="115" t="s">
        <v>47</v>
      </c>
      <c r="DM8" s="115" t="s">
        <v>48</v>
      </c>
      <c r="DN8" s="115" t="s">
        <v>45</v>
      </c>
      <c r="DO8" s="115" t="s">
        <v>46</v>
      </c>
      <c r="DP8" s="115" t="s">
        <v>47</v>
      </c>
      <c r="DQ8" s="115" t="s">
        <v>48</v>
      </c>
      <c r="DR8" s="175" t="s">
        <v>975</v>
      </c>
      <c r="DS8" s="115" t="s">
        <v>45</v>
      </c>
      <c r="DT8" s="115" t="s">
        <v>46</v>
      </c>
      <c r="DU8" s="115" t="s">
        <v>47</v>
      </c>
      <c r="DV8" s="115" t="s">
        <v>48</v>
      </c>
      <c r="DW8" s="175" t="s">
        <v>975</v>
      </c>
      <c r="DX8" s="115" t="s">
        <v>45</v>
      </c>
      <c r="DY8" s="115" t="s">
        <v>46</v>
      </c>
      <c r="DZ8" s="115" t="s">
        <v>47</v>
      </c>
      <c r="EA8" s="115" t="s">
        <v>48</v>
      </c>
      <c r="EB8" s="115" t="s">
        <v>45</v>
      </c>
      <c r="EC8" s="115" t="s">
        <v>46</v>
      </c>
      <c r="ED8" s="115" t="s">
        <v>47</v>
      </c>
      <c r="EE8" s="115" t="s">
        <v>48</v>
      </c>
      <c r="EF8" s="115" t="s">
        <v>45</v>
      </c>
      <c r="EG8" s="115" t="s">
        <v>46</v>
      </c>
      <c r="EH8" s="115" t="s">
        <v>47</v>
      </c>
      <c r="EI8" s="115" t="s">
        <v>48</v>
      </c>
      <c r="EJ8" s="115" t="s">
        <v>45</v>
      </c>
      <c r="EK8" s="115" t="s">
        <v>46</v>
      </c>
      <c r="EL8" s="115" t="s">
        <v>47</v>
      </c>
      <c r="EM8" s="115" t="s">
        <v>48</v>
      </c>
      <c r="EN8" s="115" t="s">
        <v>45</v>
      </c>
      <c r="EO8" s="115" t="s">
        <v>46</v>
      </c>
      <c r="EP8" s="115" t="s">
        <v>47</v>
      </c>
      <c r="EQ8" s="115" t="s">
        <v>48</v>
      </c>
      <c r="ER8" s="175" t="s">
        <v>975</v>
      </c>
      <c r="ES8" s="115" t="s">
        <v>45</v>
      </c>
      <c r="ET8" s="115" t="s">
        <v>46</v>
      </c>
      <c r="EU8" s="115" t="s">
        <v>47</v>
      </c>
      <c r="EV8" s="115" t="s">
        <v>48</v>
      </c>
      <c r="EW8" s="115" t="s">
        <v>45</v>
      </c>
      <c r="EX8" s="115" t="s">
        <v>46</v>
      </c>
      <c r="EY8" s="115" t="s">
        <v>47</v>
      </c>
      <c r="EZ8" s="115" t="s">
        <v>48</v>
      </c>
      <c r="FA8" s="175" t="s">
        <v>975</v>
      </c>
      <c r="FB8" s="716" t="s">
        <v>976</v>
      </c>
      <c r="FC8" s="716" t="s">
        <v>984</v>
      </c>
      <c r="FD8" s="716" t="s">
        <v>47</v>
      </c>
      <c r="FE8" s="716" t="s">
        <v>48</v>
      </c>
      <c r="FF8" s="600" t="s">
        <v>990</v>
      </c>
      <c r="FG8" s="216" t="s">
        <v>976</v>
      </c>
      <c r="FH8" s="716" t="s">
        <v>984</v>
      </c>
      <c r="FI8" s="716" t="s">
        <v>47</v>
      </c>
      <c r="FJ8" s="716" t="s">
        <v>48</v>
      </c>
      <c r="FK8" s="600" t="s">
        <v>990</v>
      </c>
      <c r="FL8" s="216" t="s">
        <v>976</v>
      </c>
      <c r="FM8" s="216" t="s">
        <v>984</v>
      </c>
      <c r="FN8" s="716" t="s">
        <v>47</v>
      </c>
      <c r="FO8" s="716" t="s">
        <v>48</v>
      </c>
      <c r="FP8" s="600" t="s">
        <v>991</v>
      </c>
      <c r="FQ8" s="216" t="s">
        <v>976</v>
      </c>
      <c r="FR8" s="216" t="s">
        <v>984</v>
      </c>
      <c r="FS8" s="716" t="s">
        <v>47</v>
      </c>
      <c r="FT8" s="716" t="s">
        <v>48</v>
      </c>
      <c r="FU8" s="600" t="s">
        <v>990</v>
      </c>
      <c r="FV8" s="216" t="s">
        <v>976</v>
      </c>
      <c r="FW8" s="216" t="s">
        <v>984</v>
      </c>
      <c r="FX8" s="716" t="s">
        <v>47</v>
      </c>
      <c r="FY8" s="716" t="s">
        <v>48</v>
      </c>
      <c r="FZ8" s="600" t="s">
        <v>990</v>
      </c>
      <c r="GA8" s="216" t="s">
        <v>976</v>
      </c>
      <c r="GB8" s="216" t="s">
        <v>984</v>
      </c>
      <c r="GC8" s="216" t="s">
        <v>47</v>
      </c>
      <c r="GD8" s="216" t="s">
        <v>48</v>
      </c>
      <c r="GE8" s="612" t="s">
        <v>990</v>
      </c>
      <c r="GF8" s="216" t="s">
        <v>976</v>
      </c>
      <c r="GG8" s="216" t="s">
        <v>984</v>
      </c>
      <c r="GH8" s="216" t="s">
        <v>47</v>
      </c>
      <c r="GI8" s="216" t="s">
        <v>48</v>
      </c>
      <c r="GJ8" s="612" t="s">
        <v>990</v>
      </c>
      <c r="GK8" s="216" t="s">
        <v>976</v>
      </c>
      <c r="GL8" s="216" t="s">
        <v>984</v>
      </c>
      <c r="GM8" s="216" t="s">
        <v>47</v>
      </c>
      <c r="GN8" s="216" t="s">
        <v>48</v>
      </c>
      <c r="GO8" s="612" t="s">
        <v>990</v>
      </c>
      <c r="GP8" s="216" t="s">
        <v>976</v>
      </c>
      <c r="GQ8" s="216" t="s">
        <v>984</v>
      </c>
      <c r="GR8" s="216" t="s">
        <v>47</v>
      </c>
      <c r="GS8" s="216" t="s">
        <v>48</v>
      </c>
      <c r="GT8" s="612" t="s">
        <v>990</v>
      </c>
      <c r="GU8" s="216" t="s">
        <v>976</v>
      </c>
      <c r="GV8" s="216" t="s">
        <v>984</v>
      </c>
      <c r="GW8" s="216" t="s">
        <v>47</v>
      </c>
      <c r="GX8" s="216" t="s">
        <v>48</v>
      </c>
      <c r="GY8" s="670" t="s">
        <v>990</v>
      </c>
      <c r="GZ8" s="726" t="s">
        <v>976</v>
      </c>
    </row>
    <row r="9" spans="1:208" s="209" customFormat="1" ht="24.75" customHeight="1" x14ac:dyDescent="0.25">
      <c r="A9" s="986"/>
      <c r="B9" s="218"/>
      <c r="C9" s="218"/>
      <c r="D9" s="218"/>
      <c r="E9" s="218"/>
      <c r="F9" s="218"/>
      <c r="G9" s="219"/>
      <c r="H9" s="219"/>
      <c r="I9" s="218"/>
      <c r="J9" s="218"/>
      <c r="K9" s="218"/>
      <c r="L9" s="220"/>
      <c r="M9" s="218"/>
      <c r="N9" s="218"/>
      <c r="O9" s="220"/>
      <c r="P9" s="220"/>
      <c r="Q9" s="218"/>
      <c r="R9" s="221"/>
      <c r="S9" s="222"/>
      <c r="T9" s="218"/>
      <c r="U9" s="218"/>
      <c r="V9" s="220"/>
      <c r="W9" s="218"/>
      <c r="X9" s="218"/>
      <c r="Y9" s="220"/>
      <c r="Z9" s="223"/>
      <c r="AA9" s="720"/>
      <c r="AB9" s="218"/>
      <c r="AC9" s="41"/>
      <c r="AD9" s="42"/>
      <c r="AE9" s="41"/>
      <c r="AF9" s="41"/>
      <c r="AG9" s="43"/>
      <c r="AH9" s="44"/>
      <c r="AI9" s="41"/>
      <c r="AJ9" s="41"/>
      <c r="AK9" s="45"/>
      <c r="AL9" s="46"/>
      <c r="AM9" s="45"/>
      <c r="AN9" s="45"/>
      <c r="AO9" s="41"/>
      <c r="AP9" s="42"/>
      <c r="AQ9" s="41"/>
      <c r="AR9" s="41"/>
      <c r="AS9" s="41"/>
      <c r="AT9" s="42"/>
      <c r="AU9" s="41"/>
      <c r="AV9" s="41"/>
      <c r="AW9" s="41"/>
      <c r="AX9" s="42"/>
      <c r="AY9" s="41"/>
      <c r="AZ9" s="41"/>
      <c r="BA9" s="41"/>
      <c r="BB9" s="41"/>
      <c r="BC9" s="41"/>
      <c r="BD9" s="41"/>
      <c r="BE9" s="41"/>
      <c r="BF9" s="42"/>
      <c r="BG9" s="41"/>
      <c r="BH9" s="41"/>
      <c r="BI9" s="41"/>
      <c r="BJ9" s="42"/>
      <c r="BK9" s="41"/>
      <c r="BL9" s="41"/>
      <c r="BM9" s="48"/>
      <c r="BN9" s="44"/>
      <c r="BO9" s="43"/>
      <c r="BP9" s="43"/>
      <c r="BQ9" s="100"/>
      <c r="BR9" s="100"/>
      <c r="BS9" s="100"/>
      <c r="BT9" s="100"/>
      <c r="BU9" s="100"/>
      <c r="BV9" s="100"/>
      <c r="BW9" s="100"/>
      <c r="BX9" s="100"/>
      <c r="BY9" s="100"/>
      <c r="BZ9" s="100"/>
      <c r="CA9" s="100"/>
      <c r="CB9" s="100"/>
      <c r="CC9" s="100"/>
      <c r="CD9" s="100"/>
      <c r="CE9" s="100"/>
      <c r="CF9" s="100"/>
      <c r="CG9" s="100"/>
      <c r="CH9" s="100"/>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78"/>
      <c r="DK9" s="78"/>
      <c r="DL9" s="78"/>
      <c r="DM9" s="78"/>
      <c r="DN9" s="78"/>
      <c r="DO9" s="78"/>
      <c r="DP9" s="78"/>
      <c r="DQ9" s="78"/>
      <c r="DR9" s="78"/>
      <c r="DS9" s="78"/>
      <c r="DT9" s="78"/>
      <c r="DU9" s="78"/>
      <c r="DV9" s="78"/>
      <c r="DW9" s="78"/>
      <c r="DX9" s="78"/>
      <c r="DY9" s="78"/>
      <c r="DZ9" s="78"/>
      <c r="EA9" s="78"/>
      <c r="EB9" s="79"/>
      <c r="EC9" s="79"/>
      <c r="ED9" s="79"/>
      <c r="EE9" s="79"/>
      <c r="EF9" s="79"/>
      <c r="EG9" s="79"/>
      <c r="EH9" s="79"/>
      <c r="EI9" s="79"/>
      <c r="EJ9" s="79"/>
      <c r="EK9" s="79"/>
      <c r="EL9" s="79"/>
      <c r="EM9" s="79"/>
      <c r="EN9" s="79"/>
      <c r="EO9" s="79"/>
      <c r="EP9" s="79"/>
      <c r="EQ9" s="79"/>
      <c r="ER9" s="79"/>
      <c r="ES9" s="79"/>
      <c r="ET9" s="79"/>
      <c r="EU9" s="79"/>
      <c r="EV9" s="79"/>
      <c r="EW9" s="79"/>
      <c r="EX9" s="79"/>
      <c r="EY9" s="79"/>
      <c r="EZ9" s="147"/>
      <c r="FA9" s="147"/>
      <c r="FB9" s="80"/>
      <c r="FC9" s="80"/>
      <c r="FD9" s="80"/>
      <c r="FE9" s="80"/>
      <c r="FF9" s="80"/>
      <c r="FG9" s="80"/>
      <c r="FH9" s="80"/>
      <c r="FI9" s="80"/>
      <c r="FJ9" s="80"/>
      <c r="FK9" s="80"/>
      <c r="FL9" s="80"/>
      <c r="FM9" s="80"/>
      <c r="FN9" s="80"/>
      <c r="FO9" s="80"/>
      <c r="FP9" s="80"/>
      <c r="FQ9" s="80"/>
      <c r="FR9" s="80"/>
      <c r="FS9" s="80"/>
      <c r="FT9" s="80"/>
      <c r="FU9" s="80"/>
      <c r="FV9" s="727"/>
      <c r="FW9" s="727"/>
      <c r="FX9" s="727"/>
      <c r="FY9" s="727"/>
      <c r="FZ9" s="727"/>
      <c r="GA9" s="727"/>
      <c r="GB9" s="727"/>
      <c r="GC9" s="727"/>
      <c r="GD9" s="727"/>
      <c r="GE9" s="727"/>
      <c r="GF9" s="727"/>
      <c r="GG9" s="727"/>
      <c r="GH9" s="727"/>
      <c r="GI9" s="727"/>
      <c r="GJ9" s="727"/>
      <c r="GK9" s="727"/>
      <c r="GL9" s="727"/>
      <c r="GM9" s="727"/>
      <c r="GN9" s="727"/>
      <c r="GO9" s="727"/>
      <c r="GP9" s="727"/>
      <c r="GQ9" s="727"/>
      <c r="GR9" s="727"/>
      <c r="GS9" s="727"/>
      <c r="GT9" s="727"/>
      <c r="GU9" s="727"/>
      <c r="GV9" s="727"/>
      <c r="GW9" s="727"/>
      <c r="GX9" s="727"/>
      <c r="GY9" s="671"/>
      <c r="GZ9" s="726"/>
    </row>
    <row r="10" spans="1:208" s="209" customFormat="1" ht="24.75" customHeight="1" x14ac:dyDescent="0.25">
      <c r="A10" s="224">
        <v>1</v>
      </c>
      <c r="B10" s="225" t="s">
        <v>49</v>
      </c>
      <c r="C10" s="226"/>
      <c r="D10" s="227"/>
      <c r="E10" s="227"/>
      <c r="F10" s="227"/>
      <c r="G10" s="226"/>
      <c r="H10" s="227"/>
      <c r="I10" s="227"/>
      <c r="J10" s="228"/>
      <c r="K10" s="226"/>
      <c r="L10" s="229" t="s">
        <v>65</v>
      </c>
      <c r="M10" s="227"/>
      <c r="N10" s="227"/>
      <c r="O10" s="230"/>
      <c r="P10" s="230"/>
      <c r="Q10" s="227"/>
      <c r="R10" s="231"/>
      <c r="S10" s="230"/>
      <c r="T10" s="227"/>
      <c r="U10" s="227"/>
      <c r="V10" s="230"/>
      <c r="W10" s="226"/>
      <c r="X10" s="226"/>
      <c r="Y10" s="229"/>
      <c r="Z10" s="232"/>
      <c r="AA10" s="233"/>
      <c r="AB10" s="226"/>
      <c r="AC10" s="49">
        <f t="shared" ref="AC10:CN10" si="0">AC11</f>
        <v>0</v>
      </c>
      <c r="AD10" s="49">
        <f t="shared" si="0"/>
        <v>0</v>
      </c>
      <c r="AE10" s="49">
        <f t="shared" si="0"/>
        <v>0</v>
      </c>
      <c r="AF10" s="49">
        <f t="shared" si="0"/>
        <v>0</v>
      </c>
      <c r="AG10" s="49">
        <f t="shared" si="0"/>
        <v>0</v>
      </c>
      <c r="AH10" s="49">
        <f t="shared" si="0"/>
        <v>0</v>
      </c>
      <c r="AI10" s="49">
        <f t="shared" si="0"/>
        <v>0</v>
      </c>
      <c r="AJ10" s="49">
        <f t="shared" si="0"/>
        <v>0</v>
      </c>
      <c r="AK10" s="49">
        <f t="shared" si="0"/>
        <v>849566350</v>
      </c>
      <c r="AL10" s="49">
        <f t="shared" si="0"/>
        <v>1055013605</v>
      </c>
      <c r="AM10" s="49">
        <f t="shared" si="0"/>
        <v>389853330</v>
      </c>
      <c r="AN10" s="49">
        <f t="shared" si="0"/>
        <v>389853330</v>
      </c>
      <c r="AO10" s="49">
        <f t="shared" si="0"/>
        <v>0</v>
      </c>
      <c r="AP10" s="49">
        <f t="shared" si="0"/>
        <v>0</v>
      </c>
      <c r="AQ10" s="49">
        <f t="shared" si="0"/>
        <v>0</v>
      </c>
      <c r="AR10" s="49">
        <f t="shared" si="0"/>
        <v>0</v>
      </c>
      <c r="AS10" s="49">
        <f t="shared" si="0"/>
        <v>0</v>
      </c>
      <c r="AT10" s="49">
        <f t="shared" si="0"/>
        <v>0</v>
      </c>
      <c r="AU10" s="49">
        <f t="shared" si="0"/>
        <v>0</v>
      </c>
      <c r="AV10" s="49">
        <f t="shared" si="0"/>
        <v>0</v>
      </c>
      <c r="AW10" s="49">
        <f t="shared" si="0"/>
        <v>2248717121</v>
      </c>
      <c r="AX10" s="49">
        <f t="shared" si="0"/>
        <v>2252293686</v>
      </c>
      <c r="AY10" s="49">
        <f t="shared" si="0"/>
        <v>2141958657.5599999</v>
      </c>
      <c r="AZ10" s="49">
        <f t="shared" si="0"/>
        <v>2141958657.5599999</v>
      </c>
      <c r="BA10" s="49">
        <f t="shared" si="0"/>
        <v>0</v>
      </c>
      <c r="BB10" s="49">
        <f t="shared" si="0"/>
        <v>0</v>
      </c>
      <c r="BC10" s="49">
        <f t="shared" si="0"/>
        <v>0</v>
      </c>
      <c r="BD10" s="49">
        <f t="shared" si="0"/>
        <v>0</v>
      </c>
      <c r="BE10" s="49">
        <f t="shared" si="0"/>
        <v>0</v>
      </c>
      <c r="BF10" s="49">
        <f t="shared" si="0"/>
        <v>0</v>
      </c>
      <c r="BG10" s="49">
        <f t="shared" si="0"/>
        <v>0</v>
      </c>
      <c r="BH10" s="49">
        <f t="shared" si="0"/>
        <v>0</v>
      </c>
      <c r="BI10" s="49">
        <f t="shared" si="0"/>
        <v>1379572379</v>
      </c>
      <c r="BJ10" s="49">
        <f t="shared" si="0"/>
        <v>0</v>
      </c>
      <c r="BK10" s="49">
        <f t="shared" si="0"/>
        <v>0</v>
      </c>
      <c r="BL10" s="49">
        <f t="shared" si="0"/>
        <v>0</v>
      </c>
      <c r="BM10" s="49">
        <f t="shared" si="0"/>
        <v>4477855850</v>
      </c>
      <c r="BN10" s="49">
        <f t="shared" si="0"/>
        <v>3307307291</v>
      </c>
      <c r="BO10" s="49">
        <f t="shared" si="0"/>
        <v>2531811987.5599999</v>
      </c>
      <c r="BP10" s="49">
        <f t="shared" si="0"/>
        <v>2531811987.5599999</v>
      </c>
      <c r="BQ10" s="49">
        <f t="shared" si="0"/>
        <v>0</v>
      </c>
      <c r="BR10" s="49">
        <f t="shared" si="0"/>
        <v>0</v>
      </c>
      <c r="BS10" s="49">
        <f t="shared" si="0"/>
        <v>0</v>
      </c>
      <c r="BT10" s="49">
        <f t="shared" si="0"/>
        <v>0</v>
      </c>
      <c r="BU10" s="49">
        <f t="shared" si="0"/>
        <v>0</v>
      </c>
      <c r="BV10" s="49">
        <f t="shared" si="0"/>
        <v>1028000000</v>
      </c>
      <c r="BW10" s="49">
        <f t="shared" si="0"/>
        <v>715425477.10000002</v>
      </c>
      <c r="BX10" s="49">
        <f t="shared" si="0"/>
        <v>436713684.10000002</v>
      </c>
      <c r="BY10" s="49">
        <f t="shared" si="0"/>
        <v>0</v>
      </c>
      <c r="BZ10" s="49">
        <f t="shared" si="0"/>
        <v>698391884.66919994</v>
      </c>
      <c r="CA10" s="49">
        <f t="shared" si="0"/>
        <v>1140844406</v>
      </c>
      <c r="CB10" s="49">
        <f t="shared" si="0"/>
        <v>615821723.07999992</v>
      </c>
      <c r="CC10" s="49">
        <f t="shared" si="0"/>
        <v>615267623.07999992</v>
      </c>
      <c r="CD10" s="49">
        <f t="shared" si="0"/>
        <v>0</v>
      </c>
      <c r="CE10" s="49">
        <f t="shared" si="0"/>
        <v>0</v>
      </c>
      <c r="CF10" s="49">
        <f t="shared" si="0"/>
        <v>0</v>
      </c>
      <c r="CG10" s="49">
        <f t="shared" si="0"/>
        <v>0</v>
      </c>
      <c r="CH10" s="49">
        <f t="shared" si="0"/>
        <v>0</v>
      </c>
      <c r="CI10" s="49">
        <f t="shared" si="0"/>
        <v>0</v>
      </c>
      <c r="CJ10" s="49">
        <f t="shared" si="0"/>
        <v>0</v>
      </c>
      <c r="CK10" s="49">
        <f t="shared" si="0"/>
        <v>0</v>
      </c>
      <c r="CL10" s="49">
        <f t="shared" si="0"/>
        <v>0</v>
      </c>
      <c r="CM10" s="49">
        <f t="shared" si="0"/>
        <v>2207217417.7399998</v>
      </c>
      <c r="CN10" s="49">
        <f t="shared" si="0"/>
        <v>2432800182</v>
      </c>
      <c r="CO10" s="49">
        <f t="shared" ref="CO10:EW10" si="1">CO11</f>
        <v>2427064367</v>
      </c>
      <c r="CP10" s="49">
        <f t="shared" si="1"/>
        <v>2427064367</v>
      </c>
      <c r="CQ10" s="49">
        <f t="shared" si="1"/>
        <v>0</v>
      </c>
      <c r="CR10" s="49">
        <f t="shared" si="1"/>
        <v>0</v>
      </c>
      <c r="CS10" s="49">
        <f t="shared" si="1"/>
        <v>0</v>
      </c>
      <c r="CT10" s="49">
        <f t="shared" si="1"/>
        <v>0</v>
      </c>
      <c r="CU10" s="49">
        <f t="shared" si="1"/>
        <v>0</v>
      </c>
      <c r="CV10" s="49">
        <f t="shared" si="1"/>
        <v>0</v>
      </c>
      <c r="CW10" s="49">
        <f t="shared" si="1"/>
        <v>0</v>
      </c>
      <c r="CX10" s="49">
        <f t="shared" si="1"/>
        <v>0</v>
      </c>
      <c r="CY10" s="49">
        <f t="shared" si="1"/>
        <v>0</v>
      </c>
      <c r="CZ10" s="49">
        <f t="shared" si="1"/>
        <v>0</v>
      </c>
      <c r="DA10" s="49">
        <f t="shared" si="1"/>
        <v>1000000000</v>
      </c>
      <c r="DB10" s="49">
        <f t="shared" si="1"/>
        <v>0</v>
      </c>
      <c r="DC10" s="49">
        <f t="shared" si="1"/>
        <v>0</v>
      </c>
      <c r="DD10" s="49">
        <f t="shared" si="1"/>
        <v>0</v>
      </c>
      <c r="DE10" s="49">
        <f t="shared" si="1"/>
        <v>3905609302.4091997</v>
      </c>
      <c r="DF10" s="49">
        <f t="shared" si="1"/>
        <v>4601644588</v>
      </c>
      <c r="DG10" s="49">
        <f t="shared" si="1"/>
        <v>3758311567.1800003</v>
      </c>
      <c r="DH10" s="49">
        <f t="shared" si="1"/>
        <v>3479045674.1800003</v>
      </c>
      <c r="DI10" s="49">
        <f t="shared" si="1"/>
        <v>0</v>
      </c>
      <c r="DJ10" s="49">
        <f t="shared" si="1"/>
        <v>0</v>
      </c>
      <c r="DK10" s="49">
        <f t="shared" si="1"/>
        <v>0</v>
      </c>
      <c r="DL10" s="49">
        <f t="shared" si="1"/>
        <v>0</v>
      </c>
      <c r="DM10" s="49">
        <f t="shared" si="1"/>
        <v>0</v>
      </c>
      <c r="DN10" s="49">
        <f t="shared" si="1"/>
        <v>0</v>
      </c>
      <c r="DO10" s="49">
        <f t="shared" si="1"/>
        <v>928622290</v>
      </c>
      <c r="DP10" s="49">
        <f t="shared" si="1"/>
        <v>335587431.55000001</v>
      </c>
      <c r="DQ10" s="49">
        <f t="shared" si="1"/>
        <v>313263947.55000001</v>
      </c>
      <c r="DR10" s="49">
        <f t="shared" si="1"/>
        <v>0</v>
      </c>
      <c r="DS10" s="49">
        <f t="shared" si="1"/>
        <v>646979641.20930004</v>
      </c>
      <c r="DT10" s="49">
        <f t="shared" si="1"/>
        <v>2018222658</v>
      </c>
      <c r="DU10" s="49">
        <f t="shared" si="1"/>
        <v>1122802262</v>
      </c>
      <c r="DV10" s="49">
        <f t="shared" si="1"/>
        <v>526913540</v>
      </c>
      <c r="DW10" s="49">
        <f t="shared" si="1"/>
        <v>0</v>
      </c>
      <c r="DX10" s="49">
        <f t="shared" si="1"/>
        <v>0</v>
      </c>
      <c r="DY10" s="49">
        <f t="shared" si="1"/>
        <v>0</v>
      </c>
      <c r="DZ10" s="49">
        <f t="shared" si="1"/>
        <v>0</v>
      </c>
      <c r="EA10" s="49">
        <f t="shared" si="1"/>
        <v>0</v>
      </c>
      <c r="EB10" s="49">
        <f t="shared" si="1"/>
        <v>0</v>
      </c>
      <c r="EC10" s="49">
        <f t="shared" si="1"/>
        <v>0</v>
      </c>
      <c r="ED10" s="49">
        <f t="shared" si="1"/>
        <v>0</v>
      </c>
      <c r="EE10" s="49">
        <f t="shared" si="1"/>
        <v>0</v>
      </c>
      <c r="EF10" s="49">
        <f t="shared" si="1"/>
        <v>2272403940.2722001</v>
      </c>
      <c r="EG10" s="49">
        <f t="shared" si="1"/>
        <v>2525108749</v>
      </c>
      <c r="EH10" s="49">
        <f t="shared" si="1"/>
        <v>2514716632</v>
      </c>
      <c r="EI10" s="49">
        <f t="shared" si="1"/>
        <v>2514716632</v>
      </c>
      <c r="EJ10" s="49">
        <f t="shared" si="1"/>
        <v>0</v>
      </c>
      <c r="EK10" s="49">
        <f t="shared" si="1"/>
        <v>0</v>
      </c>
      <c r="EL10" s="49">
        <f t="shared" si="1"/>
        <v>0</v>
      </c>
      <c r="EM10" s="49">
        <f t="shared" si="1"/>
        <v>0</v>
      </c>
      <c r="EN10" s="49">
        <f t="shared" si="1"/>
        <v>0</v>
      </c>
      <c r="EO10" s="49">
        <f t="shared" si="1"/>
        <v>0</v>
      </c>
      <c r="EP10" s="49">
        <f t="shared" si="1"/>
        <v>0</v>
      </c>
      <c r="EQ10" s="49">
        <f t="shared" si="1"/>
        <v>0</v>
      </c>
      <c r="ER10" s="49">
        <f t="shared" si="1"/>
        <v>0</v>
      </c>
      <c r="ES10" s="49">
        <f t="shared" si="1"/>
        <v>7904449896</v>
      </c>
      <c r="ET10" s="49">
        <f t="shared" si="1"/>
        <v>0</v>
      </c>
      <c r="EU10" s="49">
        <f t="shared" si="1"/>
        <v>0</v>
      </c>
      <c r="EV10" s="49">
        <f t="shared" si="1"/>
        <v>0</v>
      </c>
      <c r="EW10" s="49">
        <f t="shared" si="1"/>
        <v>10823833477.481499</v>
      </c>
      <c r="EX10" s="49">
        <f t="shared" ref="EX10:GY10" si="2">EX11</f>
        <v>5471953697</v>
      </c>
      <c r="EY10" s="49">
        <f t="shared" si="2"/>
        <v>3973106325.5500002</v>
      </c>
      <c r="EZ10" s="49">
        <f t="shared" si="2"/>
        <v>3354894119.5500002</v>
      </c>
      <c r="FA10" s="49">
        <f t="shared" si="2"/>
        <v>0</v>
      </c>
      <c r="FB10" s="49">
        <f t="shared" si="2"/>
        <v>0</v>
      </c>
      <c r="FC10" s="49">
        <f t="shared" si="2"/>
        <v>0</v>
      </c>
      <c r="FD10" s="49">
        <f t="shared" si="2"/>
        <v>0</v>
      </c>
      <c r="FE10" s="49">
        <f t="shared" si="2"/>
        <v>0</v>
      </c>
      <c r="FF10" s="49">
        <f t="shared" si="2"/>
        <v>0</v>
      </c>
      <c r="FG10" s="49">
        <f t="shared" si="2"/>
        <v>0</v>
      </c>
      <c r="FH10" s="49">
        <f t="shared" si="2"/>
        <v>1251000000</v>
      </c>
      <c r="FI10" s="49">
        <f t="shared" si="2"/>
        <v>0</v>
      </c>
      <c r="FJ10" s="49">
        <f t="shared" si="2"/>
        <v>0</v>
      </c>
      <c r="FK10" s="49">
        <f t="shared" si="2"/>
        <v>0</v>
      </c>
      <c r="FL10" s="49">
        <f t="shared" si="2"/>
        <v>648889030</v>
      </c>
      <c r="FM10" s="49">
        <f t="shared" si="2"/>
        <v>3173566625</v>
      </c>
      <c r="FN10" s="49">
        <f t="shared" si="2"/>
        <v>792190918</v>
      </c>
      <c r="FO10" s="49">
        <f t="shared" si="2"/>
        <v>221551200</v>
      </c>
      <c r="FP10" s="49">
        <f t="shared" si="2"/>
        <v>0</v>
      </c>
      <c r="FQ10" s="49">
        <f t="shared" si="2"/>
        <v>0</v>
      </c>
      <c r="FR10" s="49">
        <f t="shared" si="2"/>
        <v>0</v>
      </c>
      <c r="FS10" s="49">
        <f t="shared" si="2"/>
        <v>0</v>
      </c>
      <c r="FT10" s="49">
        <f t="shared" si="2"/>
        <v>0</v>
      </c>
      <c r="FU10" s="49">
        <f t="shared" si="2"/>
        <v>0</v>
      </c>
      <c r="FV10" s="49">
        <f t="shared" si="2"/>
        <v>0</v>
      </c>
      <c r="FW10" s="49">
        <f t="shared" si="2"/>
        <v>0</v>
      </c>
      <c r="FX10" s="49">
        <f t="shared" si="2"/>
        <v>0</v>
      </c>
      <c r="FY10" s="49">
        <f t="shared" si="2"/>
        <v>0</v>
      </c>
      <c r="FZ10" s="49">
        <f t="shared" si="2"/>
        <v>0</v>
      </c>
      <c r="GA10" s="49">
        <f t="shared" si="2"/>
        <v>2341576058.48</v>
      </c>
      <c r="GB10" s="49">
        <f t="shared" si="2"/>
        <v>2621226425</v>
      </c>
      <c r="GC10" s="49">
        <f t="shared" si="2"/>
        <v>2591680073</v>
      </c>
      <c r="GD10" s="49">
        <f t="shared" si="2"/>
        <v>0</v>
      </c>
      <c r="GE10" s="49">
        <f t="shared" si="2"/>
        <v>0</v>
      </c>
      <c r="GF10" s="49">
        <f t="shared" si="2"/>
        <v>0</v>
      </c>
      <c r="GG10" s="49">
        <f t="shared" si="2"/>
        <v>0</v>
      </c>
      <c r="GH10" s="49">
        <f t="shared" si="2"/>
        <v>0</v>
      </c>
      <c r="GI10" s="49">
        <f t="shared" si="2"/>
        <v>0</v>
      </c>
      <c r="GJ10" s="49">
        <f t="shared" si="2"/>
        <v>0</v>
      </c>
      <c r="GK10" s="49">
        <f t="shared" si="2"/>
        <v>0</v>
      </c>
      <c r="GL10" s="49">
        <f t="shared" si="2"/>
        <v>0</v>
      </c>
      <c r="GM10" s="49">
        <f t="shared" si="2"/>
        <v>0</v>
      </c>
      <c r="GN10" s="49">
        <f t="shared" si="2"/>
        <v>0</v>
      </c>
      <c r="GO10" s="49">
        <f t="shared" si="2"/>
        <v>0</v>
      </c>
      <c r="GP10" s="49">
        <f t="shared" si="2"/>
        <v>2000000000</v>
      </c>
      <c r="GQ10" s="49">
        <f t="shared" si="2"/>
        <v>0</v>
      </c>
      <c r="GR10" s="49">
        <f t="shared" si="2"/>
        <v>0</v>
      </c>
      <c r="GS10" s="49">
        <f t="shared" si="2"/>
        <v>0</v>
      </c>
      <c r="GT10" s="49">
        <f t="shared" si="2"/>
        <v>0</v>
      </c>
      <c r="GU10" s="49">
        <f t="shared" si="2"/>
        <v>4990465088.4799995</v>
      </c>
      <c r="GV10" s="49">
        <f t="shared" si="2"/>
        <v>7045793050</v>
      </c>
      <c r="GW10" s="49">
        <f t="shared" si="2"/>
        <v>3383870991</v>
      </c>
      <c r="GX10" s="49">
        <f t="shared" si="2"/>
        <v>221551200</v>
      </c>
      <c r="GY10" s="672">
        <f t="shared" si="2"/>
        <v>0</v>
      </c>
      <c r="GZ10" s="49">
        <f>GZ11</f>
        <v>24197763718.370697</v>
      </c>
    </row>
    <row r="11" spans="1:208" s="209" customFormat="1" ht="24.75" customHeight="1" x14ac:dyDescent="0.25">
      <c r="A11" s="987"/>
      <c r="B11" s="234">
        <v>1</v>
      </c>
      <c r="C11" s="235" t="s">
        <v>50</v>
      </c>
      <c r="D11" s="236"/>
      <c r="E11" s="237"/>
      <c r="F11" s="237"/>
      <c r="G11" s="238"/>
      <c r="H11" s="239"/>
      <c r="I11" s="239"/>
      <c r="J11" s="240"/>
      <c r="K11" s="238"/>
      <c r="L11" s="241"/>
      <c r="M11" s="239"/>
      <c r="N11" s="239"/>
      <c r="O11" s="242"/>
      <c r="P11" s="242"/>
      <c r="Q11" s="239"/>
      <c r="R11" s="243"/>
      <c r="S11" s="242"/>
      <c r="T11" s="239"/>
      <c r="U11" s="239"/>
      <c r="V11" s="242"/>
      <c r="W11" s="238"/>
      <c r="X11" s="238"/>
      <c r="Y11" s="241"/>
      <c r="Z11" s="238"/>
      <c r="AA11" s="244"/>
      <c r="AB11" s="238"/>
      <c r="AC11" s="50">
        <f t="shared" ref="AC11:CN11" si="3">AC12+AC19+AC27</f>
        <v>0</v>
      </c>
      <c r="AD11" s="50">
        <f t="shared" si="3"/>
        <v>0</v>
      </c>
      <c r="AE11" s="50">
        <f t="shared" si="3"/>
        <v>0</v>
      </c>
      <c r="AF11" s="50">
        <f t="shared" si="3"/>
        <v>0</v>
      </c>
      <c r="AG11" s="50">
        <f t="shared" si="3"/>
        <v>0</v>
      </c>
      <c r="AH11" s="50">
        <f t="shared" si="3"/>
        <v>0</v>
      </c>
      <c r="AI11" s="50">
        <f t="shared" si="3"/>
        <v>0</v>
      </c>
      <c r="AJ11" s="50">
        <f t="shared" si="3"/>
        <v>0</v>
      </c>
      <c r="AK11" s="50">
        <f t="shared" si="3"/>
        <v>849566350</v>
      </c>
      <c r="AL11" s="50">
        <f t="shared" si="3"/>
        <v>1055013605</v>
      </c>
      <c r="AM11" s="50">
        <f t="shared" si="3"/>
        <v>389853330</v>
      </c>
      <c r="AN11" s="50">
        <f t="shared" si="3"/>
        <v>389853330</v>
      </c>
      <c r="AO11" s="50">
        <f t="shared" si="3"/>
        <v>0</v>
      </c>
      <c r="AP11" s="50">
        <f t="shared" si="3"/>
        <v>0</v>
      </c>
      <c r="AQ11" s="50">
        <f t="shared" si="3"/>
        <v>0</v>
      </c>
      <c r="AR11" s="50">
        <f t="shared" si="3"/>
        <v>0</v>
      </c>
      <c r="AS11" s="50">
        <f t="shared" si="3"/>
        <v>0</v>
      </c>
      <c r="AT11" s="50">
        <f t="shared" si="3"/>
        <v>0</v>
      </c>
      <c r="AU11" s="50">
        <f t="shared" si="3"/>
        <v>0</v>
      </c>
      <c r="AV11" s="50">
        <f t="shared" si="3"/>
        <v>0</v>
      </c>
      <c r="AW11" s="50">
        <f t="shared" si="3"/>
        <v>2248717121</v>
      </c>
      <c r="AX11" s="50">
        <f t="shared" si="3"/>
        <v>2252293686</v>
      </c>
      <c r="AY11" s="50">
        <f t="shared" si="3"/>
        <v>2141958657.5599999</v>
      </c>
      <c r="AZ11" s="50">
        <f t="shared" si="3"/>
        <v>2141958657.5599999</v>
      </c>
      <c r="BA11" s="50">
        <f t="shared" si="3"/>
        <v>0</v>
      </c>
      <c r="BB11" s="50">
        <f t="shared" si="3"/>
        <v>0</v>
      </c>
      <c r="BC11" s="50">
        <f t="shared" si="3"/>
        <v>0</v>
      </c>
      <c r="BD11" s="50">
        <f t="shared" si="3"/>
        <v>0</v>
      </c>
      <c r="BE11" s="50">
        <f t="shared" si="3"/>
        <v>0</v>
      </c>
      <c r="BF11" s="50">
        <f t="shared" si="3"/>
        <v>0</v>
      </c>
      <c r="BG11" s="50">
        <f t="shared" si="3"/>
        <v>0</v>
      </c>
      <c r="BH11" s="50">
        <f t="shared" si="3"/>
        <v>0</v>
      </c>
      <c r="BI11" s="50">
        <f t="shared" si="3"/>
        <v>1379572379</v>
      </c>
      <c r="BJ11" s="50">
        <f t="shared" si="3"/>
        <v>0</v>
      </c>
      <c r="BK11" s="50">
        <f t="shared" si="3"/>
        <v>0</v>
      </c>
      <c r="BL11" s="50">
        <f t="shared" si="3"/>
        <v>0</v>
      </c>
      <c r="BM11" s="50">
        <f t="shared" si="3"/>
        <v>4477855850</v>
      </c>
      <c r="BN11" s="50">
        <f t="shared" si="3"/>
        <v>3307307291</v>
      </c>
      <c r="BO11" s="50">
        <f t="shared" si="3"/>
        <v>2531811987.5599999</v>
      </c>
      <c r="BP11" s="50">
        <f t="shared" si="3"/>
        <v>2531811987.5599999</v>
      </c>
      <c r="BQ11" s="50">
        <f t="shared" si="3"/>
        <v>0</v>
      </c>
      <c r="BR11" s="50">
        <f t="shared" si="3"/>
        <v>0</v>
      </c>
      <c r="BS11" s="50">
        <f t="shared" si="3"/>
        <v>0</v>
      </c>
      <c r="BT11" s="50">
        <f t="shared" si="3"/>
        <v>0</v>
      </c>
      <c r="BU11" s="50">
        <f t="shared" si="3"/>
        <v>0</v>
      </c>
      <c r="BV11" s="50">
        <f t="shared" si="3"/>
        <v>1028000000</v>
      </c>
      <c r="BW11" s="50">
        <f t="shared" si="3"/>
        <v>715425477.10000002</v>
      </c>
      <c r="BX11" s="50">
        <f t="shared" si="3"/>
        <v>436713684.10000002</v>
      </c>
      <c r="BY11" s="50">
        <f t="shared" si="3"/>
        <v>0</v>
      </c>
      <c r="BZ11" s="50">
        <f t="shared" si="3"/>
        <v>698391884.66919994</v>
      </c>
      <c r="CA11" s="50">
        <f t="shared" si="3"/>
        <v>1140844406</v>
      </c>
      <c r="CB11" s="50">
        <f t="shared" si="3"/>
        <v>615821723.07999992</v>
      </c>
      <c r="CC11" s="50">
        <f t="shared" si="3"/>
        <v>615267623.07999992</v>
      </c>
      <c r="CD11" s="50">
        <f t="shared" si="3"/>
        <v>0</v>
      </c>
      <c r="CE11" s="50">
        <f t="shared" si="3"/>
        <v>0</v>
      </c>
      <c r="CF11" s="50">
        <f t="shared" si="3"/>
        <v>0</v>
      </c>
      <c r="CG11" s="50">
        <f t="shared" si="3"/>
        <v>0</v>
      </c>
      <c r="CH11" s="50">
        <f t="shared" si="3"/>
        <v>0</v>
      </c>
      <c r="CI11" s="50">
        <f t="shared" si="3"/>
        <v>0</v>
      </c>
      <c r="CJ11" s="50">
        <f t="shared" si="3"/>
        <v>0</v>
      </c>
      <c r="CK11" s="50">
        <f t="shared" si="3"/>
        <v>0</v>
      </c>
      <c r="CL11" s="50">
        <f t="shared" si="3"/>
        <v>0</v>
      </c>
      <c r="CM11" s="50">
        <f t="shared" si="3"/>
        <v>2207217417.7399998</v>
      </c>
      <c r="CN11" s="50">
        <f t="shared" si="3"/>
        <v>2432800182</v>
      </c>
      <c r="CO11" s="50">
        <f t="shared" ref="CO11:EV11" si="4">CO12+CO19+CO27</f>
        <v>2427064367</v>
      </c>
      <c r="CP11" s="50">
        <f t="shared" si="4"/>
        <v>2427064367</v>
      </c>
      <c r="CQ11" s="50">
        <f t="shared" si="4"/>
        <v>0</v>
      </c>
      <c r="CR11" s="50">
        <f t="shared" si="4"/>
        <v>0</v>
      </c>
      <c r="CS11" s="50">
        <f t="shared" si="4"/>
        <v>0</v>
      </c>
      <c r="CT11" s="50">
        <f t="shared" si="4"/>
        <v>0</v>
      </c>
      <c r="CU11" s="50">
        <f t="shared" si="4"/>
        <v>0</v>
      </c>
      <c r="CV11" s="50">
        <f t="shared" si="4"/>
        <v>0</v>
      </c>
      <c r="CW11" s="50">
        <f t="shared" si="4"/>
        <v>0</v>
      </c>
      <c r="CX11" s="50">
        <f t="shared" si="4"/>
        <v>0</v>
      </c>
      <c r="CY11" s="50">
        <f t="shared" si="4"/>
        <v>0</v>
      </c>
      <c r="CZ11" s="50">
        <f t="shared" si="4"/>
        <v>0</v>
      </c>
      <c r="DA11" s="50">
        <f t="shared" si="4"/>
        <v>1000000000</v>
      </c>
      <c r="DB11" s="50">
        <f t="shared" si="4"/>
        <v>0</v>
      </c>
      <c r="DC11" s="50">
        <f t="shared" si="4"/>
        <v>0</v>
      </c>
      <c r="DD11" s="50">
        <f t="shared" si="4"/>
        <v>0</v>
      </c>
      <c r="DE11" s="50">
        <f t="shared" si="4"/>
        <v>3905609302.4091997</v>
      </c>
      <c r="DF11" s="50">
        <f t="shared" si="4"/>
        <v>4601644588</v>
      </c>
      <c r="DG11" s="50">
        <f t="shared" si="4"/>
        <v>3758311567.1800003</v>
      </c>
      <c r="DH11" s="50">
        <f t="shared" si="4"/>
        <v>3479045674.1800003</v>
      </c>
      <c r="DI11" s="50">
        <f t="shared" si="4"/>
        <v>0</v>
      </c>
      <c r="DJ11" s="50">
        <f t="shared" si="4"/>
        <v>0</v>
      </c>
      <c r="DK11" s="50">
        <f t="shared" si="4"/>
        <v>0</v>
      </c>
      <c r="DL11" s="50">
        <f t="shared" si="4"/>
        <v>0</v>
      </c>
      <c r="DM11" s="50">
        <f t="shared" si="4"/>
        <v>0</v>
      </c>
      <c r="DN11" s="50">
        <f t="shared" si="4"/>
        <v>0</v>
      </c>
      <c r="DO11" s="50">
        <f t="shared" si="4"/>
        <v>928622290</v>
      </c>
      <c r="DP11" s="50">
        <f t="shared" si="4"/>
        <v>335587431.55000001</v>
      </c>
      <c r="DQ11" s="50">
        <f t="shared" si="4"/>
        <v>313263947.55000001</v>
      </c>
      <c r="DR11" s="50">
        <f t="shared" si="4"/>
        <v>0</v>
      </c>
      <c r="DS11" s="50">
        <f t="shared" si="4"/>
        <v>646979641.20930004</v>
      </c>
      <c r="DT11" s="50">
        <f t="shared" si="4"/>
        <v>2018222658</v>
      </c>
      <c r="DU11" s="50">
        <f t="shared" si="4"/>
        <v>1122802262</v>
      </c>
      <c r="DV11" s="50">
        <f t="shared" si="4"/>
        <v>526913540</v>
      </c>
      <c r="DW11" s="50">
        <f t="shared" si="4"/>
        <v>0</v>
      </c>
      <c r="DX11" s="50">
        <f t="shared" si="4"/>
        <v>0</v>
      </c>
      <c r="DY11" s="50">
        <f t="shared" si="4"/>
        <v>0</v>
      </c>
      <c r="DZ11" s="50">
        <f t="shared" si="4"/>
        <v>0</v>
      </c>
      <c r="EA11" s="50">
        <f t="shared" si="4"/>
        <v>0</v>
      </c>
      <c r="EB11" s="50">
        <f t="shared" si="4"/>
        <v>0</v>
      </c>
      <c r="EC11" s="50">
        <f t="shared" si="4"/>
        <v>0</v>
      </c>
      <c r="ED11" s="50">
        <f t="shared" si="4"/>
        <v>0</v>
      </c>
      <c r="EE11" s="50">
        <f t="shared" si="4"/>
        <v>0</v>
      </c>
      <c r="EF11" s="50">
        <f t="shared" si="4"/>
        <v>2272403940.2722001</v>
      </c>
      <c r="EG11" s="50">
        <f t="shared" si="4"/>
        <v>2525108749</v>
      </c>
      <c r="EH11" s="50">
        <f t="shared" si="4"/>
        <v>2514716632</v>
      </c>
      <c r="EI11" s="50">
        <f t="shared" si="4"/>
        <v>2514716632</v>
      </c>
      <c r="EJ11" s="50">
        <f t="shared" si="4"/>
        <v>0</v>
      </c>
      <c r="EK11" s="50">
        <f t="shared" si="4"/>
        <v>0</v>
      </c>
      <c r="EL11" s="50">
        <f t="shared" si="4"/>
        <v>0</v>
      </c>
      <c r="EM11" s="50">
        <f t="shared" si="4"/>
        <v>0</v>
      </c>
      <c r="EN11" s="50">
        <f t="shared" si="4"/>
        <v>0</v>
      </c>
      <c r="EO11" s="50">
        <f t="shared" si="4"/>
        <v>0</v>
      </c>
      <c r="EP11" s="50">
        <f t="shared" si="4"/>
        <v>0</v>
      </c>
      <c r="EQ11" s="50">
        <f t="shared" si="4"/>
        <v>0</v>
      </c>
      <c r="ER11" s="50">
        <f t="shared" si="4"/>
        <v>0</v>
      </c>
      <c r="ES11" s="50">
        <f t="shared" si="4"/>
        <v>7904449896</v>
      </c>
      <c r="ET11" s="50">
        <f t="shared" si="4"/>
        <v>0</v>
      </c>
      <c r="EU11" s="50">
        <f t="shared" si="4"/>
        <v>0</v>
      </c>
      <c r="EV11" s="50">
        <f t="shared" si="4"/>
        <v>0</v>
      </c>
      <c r="EW11" s="50">
        <f t="shared" ref="EW11" si="5">EW12+EW19+EW27</f>
        <v>10823833477.481499</v>
      </c>
      <c r="EX11" s="50">
        <f t="shared" ref="EX11:GZ11" si="6">EX12+EX19+EX27</f>
        <v>5471953697</v>
      </c>
      <c r="EY11" s="50">
        <f>EY12+EY19+EY27</f>
        <v>3973106325.5500002</v>
      </c>
      <c r="EZ11" s="50">
        <f t="shared" si="6"/>
        <v>3354894119.5500002</v>
      </c>
      <c r="FA11" s="50">
        <f t="shared" ref="FA11:GY11" si="7">FA12+FA19+FA27</f>
        <v>0</v>
      </c>
      <c r="FB11" s="50">
        <f t="shared" si="7"/>
        <v>0</v>
      </c>
      <c r="FC11" s="50">
        <f t="shared" si="7"/>
        <v>0</v>
      </c>
      <c r="FD11" s="50">
        <f t="shared" si="7"/>
        <v>0</v>
      </c>
      <c r="FE11" s="50">
        <f t="shared" si="7"/>
        <v>0</v>
      </c>
      <c r="FF11" s="50">
        <f t="shared" si="7"/>
        <v>0</v>
      </c>
      <c r="FG11" s="50">
        <f t="shared" si="7"/>
        <v>0</v>
      </c>
      <c r="FH11" s="50">
        <f t="shared" si="7"/>
        <v>1251000000</v>
      </c>
      <c r="FI11" s="50">
        <f t="shared" si="7"/>
        <v>0</v>
      </c>
      <c r="FJ11" s="50">
        <f t="shared" si="7"/>
        <v>0</v>
      </c>
      <c r="FK11" s="50">
        <f t="shared" si="7"/>
        <v>0</v>
      </c>
      <c r="FL11" s="50">
        <f t="shared" si="7"/>
        <v>648889030</v>
      </c>
      <c r="FM11" s="50">
        <f t="shared" si="7"/>
        <v>3173566625</v>
      </c>
      <c r="FN11" s="50">
        <f t="shared" si="7"/>
        <v>792190918</v>
      </c>
      <c r="FO11" s="50">
        <f t="shared" si="7"/>
        <v>221551200</v>
      </c>
      <c r="FP11" s="50">
        <f t="shared" si="7"/>
        <v>0</v>
      </c>
      <c r="FQ11" s="50">
        <f t="shared" si="7"/>
        <v>0</v>
      </c>
      <c r="FR11" s="50">
        <f t="shared" si="7"/>
        <v>0</v>
      </c>
      <c r="FS11" s="50">
        <f t="shared" si="7"/>
        <v>0</v>
      </c>
      <c r="FT11" s="50">
        <f t="shared" si="7"/>
        <v>0</v>
      </c>
      <c r="FU11" s="50">
        <f t="shared" si="7"/>
        <v>0</v>
      </c>
      <c r="FV11" s="50">
        <f t="shared" si="7"/>
        <v>0</v>
      </c>
      <c r="FW11" s="50">
        <f t="shared" si="7"/>
        <v>0</v>
      </c>
      <c r="FX11" s="50">
        <f t="shared" si="7"/>
        <v>0</v>
      </c>
      <c r="FY11" s="50">
        <f t="shared" si="7"/>
        <v>0</v>
      </c>
      <c r="FZ11" s="50">
        <f t="shared" si="7"/>
        <v>0</v>
      </c>
      <c r="GA11" s="50">
        <f t="shared" si="7"/>
        <v>2341576058.48</v>
      </c>
      <c r="GB11" s="50">
        <f t="shared" si="7"/>
        <v>2621226425</v>
      </c>
      <c r="GC11" s="50">
        <f t="shared" si="7"/>
        <v>2591680073</v>
      </c>
      <c r="GD11" s="50">
        <f t="shared" si="7"/>
        <v>0</v>
      </c>
      <c r="GE11" s="50">
        <f t="shared" si="7"/>
        <v>0</v>
      </c>
      <c r="GF11" s="50">
        <f t="shared" si="7"/>
        <v>0</v>
      </c>
      <c r="GG11" s="50">
        <f t="shared" si="7"/>
        <v>0</v>
      </c>
      <c r="GH11" s="50">
        <f t="shared" si="7"/>
        <v>0</v>
      </c>
      <c r="GI11" s="50">
        <f t="shared" si="7"/>
        <v>0</v>
      </c>
      <c r="GJ11" s="50">
        <f t="shared" si="7"/>
        <v>0</v>
      </c>
      <c r="GK11" s="50">
        <f t="shared" si="7"/>
        <v>0</v>
      </c>
      <c r="GL11" s="50">
        <f t="shared" si="7"/>
        <v>0</v>
      </c>
      <c r="GM11" s="50">
        <f t="shared" si="7"/>
        <v>0</v>
      </c>
      <c r="GN11" s="50">
        <f t="shared" si="7"/>
        <v>0</v>
      </c>
      <c r="GO11" s="50">
        <f t="shared" si="7"/>
        <v>0</v>
      </c>
      <c r="GP11" s="50">
        <f t="shared" si="7"/>
        <v>2000000000</v>
      </c>
      <c r="GQ11" s="50">
        <f t="shared" si="7"/>
        <v>0</v>
      </c>
      <c r="GR11" s="50">
        <f t="shared" si="7"/>
        <v>0</v>
      </c>
      <c r="GS11" s="50">
        <f t="shared" si="7"/>
        <v>0</v>
      </c>
      <c r="GT11" s="50">
        <f t="shared" si="7"/>
        <v>0</v>
      </c>
      <c r="GU11" s="50">
        <f t="shared" si="7"/>
        <v>4990465088.4799995</v>
      </c>
      <c r="GV11" s="50">
        <f t="shared" si="7"/>
        <v>7045793050</v>
      </c>
      <c r="GW11" s="50">
        <f t="shared" si="7"/>
        <v>3383870991</v>
      </c>
      <c r="GX11" s="50">
        <f t="shared" si="7"/>
        <v>221551200</v>
      </c>
      <c r="GY11" s="50">
        <f t="shared" si="7"/>
        <v>0</v>
      </c>
      <c r="GZ11" s="50">
        <f t="shared" si="6"/>
        <v>24197763718.370697</v>
      </c>
    </row>
    <row r="12" spans="1:208" s="209" customFormat="1" ht="24.75" customHeight="1" x14ac:dyDescent="0.25">
      <c r="A12" s="245"/>
      <c r="B12" s="987"/>
      <c r="C12" s="246">
        <v>1</v>
      </c>
      <c r="D12" s="247" t="s">
        <v>51</v>
      </c>
      <c r="E12" s="248"/>
      <c r="F12" s="247"/>
      <c r="G12" s="249"/>
      <c r="H12" s="250"/>
      <c r="I12" s="250"/>
      <c r="J12" s="249"/>
      <c r="K12" s="251"/>
      <c r="L12" s="252"/>
      <c r="M12" s="250"/>
      <c r="N12" s="250"/>
      <c r="O12" s="253"/>
      <c r="P12" s="253"/>
      <c r="Q12" s="250"/>
      <c r="R12" s="254"/>
      <c r="S12" s="253"/>
      <c r="T12" s="250"/>
      <c r="U12" s="250"/>
      <c r="V12" s="253"/>
      <c r="W12" s="251"/>
      <c r="X12" s="251"/>
      <c r="Y12" s="252"/>
      <c r="Z12" s="256"/>
      <c r="AA12" s="257"/>
      <c r="AB12" s="251"/>
      <c r="AC12" s="51">
        <f t="shared" ref="AC12:BH12" si="8">SUM(AC13:AC18)</f>
        <v>0</v>
      </c>
      <c r="AD12" s="51">
        <f t="shared" si="8"/>
        <v>0</v>
      </c>
      <c r="AE12" s="51">
        <f t="shared" si="8"/>
        <v>0</v>
      </c>
      <c r="AF12" s="51">
        <f t="shared" si="8"/>
        <v>0</v>
      </c>
      <c r="AG12" s="51">
        <f t="shared" si="8"/>
        <v>0</v>
      </c>
      <c r="AH12" s="51">
        <f t="shared" si="8"/>
        <v>0</v>
      </c>
      <c r="AI12" s="51">
        <f t="shared" si="8"/>
        <v>0</v>
      </c>
      <c r="AJ12" s="51">
        <f t="shared" si="8"/>
        <v>0</v>
      </c>
      <c r="AK12" s="51">
        <f t="shared" si="8"/>
        <v>80000000</v>
      </c>
      <c r="AL12" s="51">
        <f t="shared" si="8"/>
        <v>80000000</v>
      </c>
      <c r="AM12" s="51">
        <f t="shared" si="8"/>
        <v>51730000</v>
      </c>
      <c r="AN12" s="51">
        <f t="shared" si="8"/>
        <v>51730000</v>
      </c>
      <c r="AO12" s="51">
        <f t="shared" si="8"/>
        <v>0</v>
      </c>
      <c r="AP12" s="51">
        <f t="shared" si="8"/>
        <v>0</v>
      </c>
      <c r="AQ12" s="51">
        <f t="shared" si="8"/>
        <v>0</v>
      </c>
      <c r="AR12" s="51">
        <f t="shared" si="8"/>
        <v>0</v>
      </c>
      <c r="AS12" s="51">
        <f t="shared" si="8"/>
        <v>0</v>
      </c>
      <c r="AT12" s="51">
        <f t="shared" si="8"/>
        <v>0</v>
      </c>
      <c r="AU12" s="51">
        <f t="shared" si="8"/>
        <v>0</v>
      </c>
      <c r="AV12" s="51">
        <f t="shared" si="8"/>
        <v>0</v>
      </c>
      <c r="AW12" s="51">
        <f t="shared" si="8"/>
        <v>0</v>
      </c>
      <c r="AX12" s="51">
        <f t="shared" si="8"/>
        <v>0</v>
      </c>
      <c r="AY12" s="51">
        <f t="shared" si="8"/>
        <v>0</v>
      </c>
      <c r="AZ12" s="51">
        <f t="shared" si="8"/>
        <v>0</v>
      </c>
      <c r="BA12" s="51">
        <f t="shared" si="8"/>
        <v>0</v>
      </c>
      <c r="BB12" s="51">
        <f t="shared" si="8"/>
        <v>0</v>
      </c>
      <c r="BC12" s="51">
        <f t="shared" si="8"/>
        <v>0</v>
      </c>
      <c r="BD12" s="51">
        <f t="shared" si="8"/>
        <v>0</v>
      </c>
      <c r="BE12" s="51">
        <f t="shared" si="8"/>
        <v>0</v>
      </c>
      <c r="BF12" s="51">
        <f t="shared" si="8"/>
        <v>0</v>
      </c>
      <c r="BG12" s="51">
        <f t="shared" si="8"/>
        <v>0</v>
      </c>
      <c r="BH12" s="51">
        <f t="shared" si="8"/>
        <v>0</v>
      </c>
      <c r="BI12" s="51">
        <f t="shared" ref="BI12:DT12" si="9">SUM(BI13:BI18)</f>
        <v>1379572379</v>
      </c>
      <c r="BJ12" s="51">
        <f t="shared" si="9"/>
        <v>0</v>
      </c>
      <c r="BK12" s="51">
        <f t="shared" si="9"/>
        <v>0</v>
      </c>
      <c r="BL12" s="51">
        <f t="shared" si="9"/>
        <v>0</v>
      </c>
      <c r="BM12" s="51">
        <f t="shared" si="9"/>
        <v>1459572379</v>
      </c>
      <c r="BN12" s="51">
        <f t="shared" si="9"/>
        <v>80000000</v>
      </c>
      <c r="BO12" s="51">
        <f t="shared" si="9"/>
        <v>51730000</v>
      </c>
      <c r="BP12" s="51">
        <f t="shared" si="9"/>
        <v>51730000</v>
      </c>
      <c r="BQ12" s="51">
        <f t="shared" si="9"/>
        <v>0</v>
      </c>
      <c r="BR12" s="51">
        <f t="shared" si="9"/>
        <v>0</v>
      </c>
      <c r="BS12" s="51">
        <f t="shared" si="9"/>
        <v>0</v>
      </c>
      <c r="BT12" s="51">
        <f t="shared" si="9"/>
        <v>0</v>
      </c>
      <c r="BU12" s="51">
        <f t="shared" si="9"/>
        <v>0</v>
      </c>
      <c r="BV12" s="51">
        <f t="shared" si="9"/>
        <v>50000000</v>
      </c>
      <c r="BW12" s="51">
        <f t="shared" si="9"/>
        <v>50000000</v>
      </c>
      <c r="BX12" s="51">
        <f t="shared" si="9"/>
        <v>50000000</v>
      </c>
      <c r="BY12" s="51">
        <f t="shared" si="9"/>
        <v>0</v>
      </c>
      <c r="BZ12" s="51">
        <f t="shared" si="9"/>
        <v>60000000</v>
      </c>
      <c r="CA12" s="51">
        <f t="shared" si="9"/>
        <v>110000000</v>
      </c>
      <c r="CB12" s="51">
        <f t="shared" si="9"/>
        <v>97523510</v>
      </c>
      <c r="CC12" s="51">
        <f t="shared" si="9"/>
        <v>97519910</v>
      </c>
      <c r="CD12" s="51">
        <f t="shared" si="9"/>
        <v>0</v>
      </c>
      <c r="CE12" s="51">
        <f t="shared" si="9"/>
        <v>0</v>
      </c>
      <c r="CF12" s="51">
        <f t="shared" si="9"/>
        <v>0</v>
      </c>
      <c r="CG12" s="51">
        <f t="shared" si="9"/>
        <v>0</v>
      </c>
      <c r="CH12" s="51">
        <f t="shared" si="9"/>
        <v>0</v>
      </c>
      <c r="CI12" s="51">
        <f t="shared" si="9"/>
        <v>0</v>
      </c>
      <c r="CJ12" s="51">
        <f t="shared" si="9"/>
        <v>0</v>
      </c>
      <c r="CK12" s="51">
        <f t="shared" si="9"/>
        <v>0</v>
      </c>
      <c r="CL12" s="51">
        <f t="shared" si="9"/>
        <v>0</v>
      </c>
      <c r="CM12" s="51">
        <f t="shared" si="9"/>
        <v>0</v>
      </c>
      <c r="CN12" s="51">
        <f t="shared" si="9"/>
        <v>0</v>
      </c>
      <c r="CO12" s="51">
        <f t="shared" si="9"/>
        <v>0</v>
      </c>
      <c r="CP12" s="51">
        <f t="shared" si="9"/>
        <v>0</v>
      </c>
      <c r="CQ12" s="51">
        <f t="shared" si="9"/>
        <v>0</v>
      </c>
      <c r="CR12" s="51">
        <f t="shared" si="9"/>
        <v>0</v>
      </c>
      <c r="CS12" s="51">
        <f t="shared" si="9"/>
        <v>0</v>
      </c>
      <c r="CT12" s="51">
        <f t="shared" si="9"/>
        <v>0</v>
      </c>
      <c r="CU12" s="51">
        <f t="shared" si="9"/>
        <v>0</v>
      </c>
      <c r="CV12" s="51">
        <f t="shared" si="9"/>
        <v>0</v>
      </c>
      <c r="CW12" s="51">
        <f t="shared" si="9"/>
        <v>0</v>
      </c>
      <c r="CX12" s="51">
        <f t="shared" si="9"/>
        <v>0</v>
      </c>
      <c r="CY12" s="51">
        <f t="shared" si="9"/>
        <v>0</v>
      </c>
      <c r="CZ12" s="51">
        <f t="shared" si="9"/>
        <v>0</v>
      </c>
      <c r="DA12" s="51">
        <f t="shared" si="9"/>
        <v>1000000000</v>
      </c>
      <c r="DB12" s="51">
        <f t="shared" si="9"/>
        <v>0</v>
      </c>
      <c r="DC12" s="51">
        <f t="shared" si="9"/>
        <v>0</v>
      </c>
      <c r="DD12" s="51">
        <f t="shared" si="9"/>
        <v>0</v>
      </c>
      <c r="DE12" s="51">
        <f t="shared" si="9"/>
        <v>1060000000</v>
      </c>
      <c r="DF12" s="51">
        <f t="shared" si="9"/>
        <v>160000000</v>
      </c>
      <c r="DG12" s="51">
        <f t="shared" si="9"/>
        <v>147523510</v>
      </c>
      <c r="DH12" s="51">
        <f t="shared" si="9"/>
        <v>147519910</v>
      </c>
      <c r="DI12" s="51">
        <f t="shared" si="9"/>
        <v>0</v>
      </c>
      <c r="DJ12" s="51">
        <f t="shared" si="9"/>
        <v>0</v>
      </c>
      <c r="DK12" s="51">
        <f t="shared" si="9"/>
        <v>0</v>
      </c>
      <c r="DL12" s="51">
        <f t="shared" si="9"/>
        <v>0</v>
      </c>
      <c r="DM12" s="51">
        <f t="shared" si="9"/>
        <v>0</v>
      </c>
      <c r="DN12" s="51">
        <f t="shared" si="9"/>
        <v>0</v>
      </c>
      <c r="DO12" s="51">
        <f t="shared" si="9"/>
        <v>0</v>
      </c>
      <c r="DP12" s="51">
        <f t="shared" si="9"/>
        <v>0</v>
      </c>
      <c r="DQ12" s="51">
        <f t="shared" si="9"/>
        <v>0</v>
      </c>
      <c r="DR12" s="51">
        <f t="shared" si="9"/>
        <v>0</v>
      </c>
      <c r="DS12" s="51">
        <f t="shared" si="9"/>
        <v>30000000</v>
      </c>
      <c r="DT12" s="51">
        <f t="shared" si="9"/>
        <v>85000000</v>
      </c>
      <c r="DU12" s="51">
        <f t="shared" ref="DU12:EW12" si="10">SUM(DU13:DU18)</f>
        <v>82169991</v>
      </c>
      <c r="DV12" s="51">
        <f t="shared" si="10"/>
        <v>82169991</v>
      </c>
      <c r="DW12" s="51">
        <f t="shared" si="10"/>
        <v>0</v>
      </c>
      <c r="DX12" s="51">
        <f t="shared" si="10"/>
        <v>0</v>
      </c>
      <c r="DY12" s="51">
        <f t="shared" si="10"/>
        <v>0</v>
      </c>
      <c r="DZ12" s="51">
        <f t="shared" si="10"/>
        <v>0</v>
      </c>
      <c r="EA12" s="51">
        <f t="shared" si="10"/>
        <v>0</v>
      </c>
      <c r="EB12" s="51">
        <f t="shared" si="10"/>
        <v>0</v>
      </c>
      <c r="EC12" s="51">
        <f t="shared" si="10"/>
        <v>0</v>
      </c>
      <c r="ED12" s="51">
        <f t="shared" si="10"/>
        <v>0</v>
      </c>
      <c r="EE12" s="51">
        <f t="shared" si="10"/>
        <v>0</v>
      </c>
      <c r="EF12" s="51">
        <f t="shared" si="10"/>
        <v>0</v>
      </c>
      <c r="EG12" s="51">
        <f t="shared" si="10"/>
        <v>0</v>
      </c>
      <c r="EH12" s="51">
        <f t="shared" si="10"/>
        <v>0</v>
      </c>
      <c r="EI12" s="51">
        <f t="shared" si="10"/>
        <v>0</v>
      </c>
      <c r="EJ12" s="51">
        <f t="shared" si="10"/>
        <v>0</v>
      </c>
      <c r="EK12" s="51">
        <f t="shared" si="10"/>
        <v>0</v>
      </c>
      <c r="EL12" s="51">
        <f t="shared" si="10"/>
        <v>0</v>
      </c>
      <c r="EM12" s="51">
        <f t="shared" si="10"/>
        <v>0</v>
      </c>
      <c r="EN12" s="51">
        <f t="shared" si="10"/>
        <v>0</v>
      </c>
      <c r="EO12" s="51">
        <f t="shared" si="10"/>
        <v>0</v>
      </c>
      <c r="EP12" s="51">
        <f t="shared" si="10"/>
        <v>0</v>
      </c>
      <c r="EQ12" s="51">
        <f t="shared" si="10"/>
        <v>0</v>
      </c>
      <c r="ER12" s="51">
        <f t="shared" si="10"/>
        <v>0</v>
      </c>
      <c r="ES12" s="51">
        <f t="shared" si="10"/>
        <v>7904449896</v>
      </c>
      <c r="ET12" s="51">
        <f t="shared" si="10"/>
        <v>0</v>
      </c>
      <c r="EU12" s="51">
        <f t="shared" si="10"/>
        <v>0</v>
      </c>
      <c r="EV12" s="51">
        <f t="shared" si="10"/>
        <v>0</v>
      </c>
      <c r="EW12" s="51">
        <f t="shared" si="10"/>
        <v>7934449896</v>
      </c>
      <c r="EX12" s="51">
        <f t="shared" ref="EX12:GZ12" si="11">SUM(EX13:EX18)</f>
        <v>85000000</v>
      </c>
      <c r="EY12" s="51">
        <f t="shared" si="11"/>
        <v>82169991</v>
      </c>
      <c r="EZ12" s="51">
        <f t="shared" si="11"/>
        <v>82169991</v>
      </c>
      <c r="FA12" s="51">
        <f t="shared" ref="FA12:GY12" si="12">SUM(FA13:FA18)</f>
        <v>0</v>
      </c>
      <c r="FB12" s="51">
        <f t="shared" si="12"/>
        <v>0</v>
      </c>
      <c r="FC12" s="51">
        <f t="shared" si="12"/>
        <v>0</v>
      </c>
      <c r="FD12" s="51">
        <f t="shared" si="12"/>
        <v>0</v>
      </c>
      <c r="FE12" s="51">
        <f t="shared" si="12"/>
        <v>0</v>
      </c>
      <c r="FF12" s="51">
        <f t="shared" si="12"/>
        <v>0</v>
      </c>
      <c r="FG12" s="51">
        <f t="shared" si="12"/>
        <v>0</v>
      </c>
      <c r="FH12" s="51">
        <f t="shared" si="12"/>
        <v>0</v>
      </c>
      <c r="FI12" s="51">
        <f t="shared" si="12"/>
        <v>0</v>
      </c>
      <c r="FJ12" s="51">
        <f t="shared" si="12"/>
        <v>0</v>
      </c>
      <c r="FK12" s="51">
        <f t="shared" si="12"/>
        <v>0</v>
      </c>
      <c r="FL12" s="51">
        <f t="shared" si="12"/>
        <v>15000000</v>
      </c>
      <c r="FM12" s="51">
        <f t="shared" si="12"/>
        <v>134617500</v>
      </c>
      <c r="FN12" s="51">
        <f t="shared" si="12"/>
        <v>79183999</v>
      </c>
      <c r="FO12" s="51">
        <f t="shared" si="12"/>
        <v>43554200</v>
      </c>
      <c r="FP12" s="51">
        <f t="shared" si="12"/>
        <v>0</v>
      </c>
      <c r="FQ12" s="51">
        <f t="shared" si="12"/>
        <v>0</v>
      </c>
      <c r="FR12" s="51">
        <f t="shared" si="12"/>
        <v>0</v>
      </c>
      <c r="FS12" s="51">
        <f t="shared" si="12"/>
        <v>0</v>
      </c>
      <c r="FT12" s="51">
        <f t="shared" si="12"/>
        <v>0</v>
      </c>
      <c r="FU12" s="51">
        <f t="shared" si="12"/>
        <v>0</v>
      </c>
      <c r="FV12" s="51">
        <f t="shared" si="12"/>
        <v>0</v>
      </c>
      <c r="FW12" s="51">
        <f t="shared" si="12"/>
        <v>0</v>
      </c>
      <c r="FX12" s="51">
        <f t="shared" si="12"/>
        <v>0</v>
      </c>
      <c r="FY12" s="51">
        <f t="shared" si="12"/>
        <v>0</v>
      </c>
      <c r="FZ12" s="51">
        <f t="shared" si="12"/>
        <v>0</v>
      </c>
      <c r="GA12" s="51">
        <f t="shared" si="12"/>
        <v>0</v>
      </c>
      <c r="GB12" s="51">
        <f t="shared" si="12"/>
        <v>0</v>
      </c>
      <c r="GC12" s="51">
        <f t="shared" si="12"/>
        <v>0</v>
      </c>
      <c r="GD12" s="51">
        <f t="shared" si="12"/>
        <v>0</v>
      </c>
      <c r="GE12" s="51">
        <f t="shared" si="12"/>
        <v>0</v>
      </c>
      <c r="GF12" s="51">
        <f t="shared" si="12"/>
        <v>0</v>
      </c>
      <c r="GG12" s="51">
        <f t="shared" si="12"/>
        <v>0</v>
      </c>
      <c r="GH12" s="51">
        <f t="shared" si="12"/>
        <v>0</v>
      </c>
      <c r="GI12" s="51">
        <f t="shared" si="12"/>
        <v>0</v>
      </c>
      <c r="GJ12" s="51">
        <f t="shared" si="12"/>
        <v>0</v>
      </c>
      <c r="GK12" s="51">
        <f t="shared" si="12"/>
        <v>0</v>
      </c>
      <c r="GL12" s="51">
        <f t="shared" si="12"/>
        <v>0</v>
      </c>
      <c r="GM12" s="51">
        <f t="shared" si="12"/>
        <v>0</v>
      </c>
      <c r="GN12" s="51">
        <f t="shared" si="12"/>
        <v>0</v>
      </c>
      <c r="GO12" s="51">
        <f t="shared" si="12"/>
        <v>0</v>
      </c>
      <c r="GP12" s="51">
        <f t="shared" si="12"/>
        <v>2000000000</v>
      </c>
      <c r="GQ12" s="51">
        <f t="shared" si="12"/>
        <v>0</v>
      </c>
      <c r="GR12" s="51">
        <f t="shared" si="12"/>
        <v>0</v>
      </c>
      <c r="GS12" s="51">
        <f t="shared" si="12"/>
        <v>0</v>
      </c>
      <c r="GT12" s="51">
        <f t="shared" si="12"/>
        <v>0</v>
      </c>
      <c r="GU12" s="51">
        <f t="shared" si="12"/>
        <v>2015000000</v>
      </c>
      <c r="GV12" s="51">
        <f t="shared" si="12"/>
        <v>134617500</v>
      </c>
      <c r="GW12" s="51">
        <f t="shared" si="12"/>
        <v>79183999</v>
      </c>
      <c r="GX12" s="51">
        <f t="shared" si="12"/>
        <v>43554200</v>
      </c>
      <c r="GY12" s="51">
        <f t="shared" si="12"/>
        <v>0</v>
      </c>
      <c r="GZ12" s="51">
        <f t="shared" si="11"/>
        <v>12469022275</v>
      </c>
    </row>
    <row r="13" spans="1:208" s="276" customFormat="1" ht="74.25" customHeight="1" x14ac:dyDescent="0.25">
      <c r="A13" s="245"/>
      <c r="B13" s="245"/>
      <c r="C13" s="456">
        <v>1</v>
      </c>
      <c r="D13" s="258" t="s">
        <v>52</v>
      </c>
      <c r="E13" s="717" t="s">
        <v>53</v>
      </c>
      <c r="F13" s="259" t="s">
        <v>54</v>
      </c>
      <c r="G13" s="260">
        <v>1</v>
      </c>
      <c r="H13" s="261" t="s">
        <v>55</v>
      </c>
      <c r="I13" s="258" t="s">
        <v>56</v>
      </c>
      <c r="J13" s="262" t="s">
        <v>57</v>
      </c>
      <c r="K13" s="262">
        <v>10</v>
      </c>
      <c r="L13" s="263" t="s">
        <v>58</v>
      </c>
      <c r="M13" s="264">
        <v>0</v>
      </c>
      <c r="N13" s="264">
        <v>1</v>
      </c>
      <c r="O13" s="265">
        <v>1</v>
      </c>
      <c r="P13" s="266">
        <v>0.7</v>
      </c>
      <c r="Q13" s="264">
        <v>1</v>
      </c>
      <c r="R13" s="268"/>
      <c r="S13" s="269">
        <v>1</v>
      </c>
      <c r="T13" s="264">
        <v>1</v>
      </c>
      <c r="U13" s="263"/>
      <c r="V13" s="271">
        <v>1</v>
      </c>
      <c r="W13" s="263">
        <v>1</v>
      </c>
      <c r="X13" s="264"/>
      <c r="Y13" s="653">
        <v>1</v>
      </c>
      <c r="Z13" s="272">
        <f>BM13/$BM$12</f>
        <v>2.055396527889488E-2</v>
      </c>
      <c r="AA13" s="273">
        <v>15</v>
      </c>
      <c r="AB13" s="274" t="s">
        <v>59</v>
      </c>
      <c r="AC13" s="53"/>
      <c r="AD13" s="54"/>
      <c r="AE13" s="54"/>
      <c r="AF13" s="54"/>
      <c r="AG13" s="53"/>
      <c r="AH13" s="54"/>
      <c r="AI13" s="54"/>
      <c r="AJ13" s="54"/>
      <c r="AK13" s="53">
        <v>30000000</v>
      </c>
      <c r="AL13" s="55">
        <v>30000000</v>
      </c>
      <c r="AM13" s="54">
        <v>19550000</v>
      </c>
      <c r="AN13" s="54">
        <v>19550000</v>
      </c>
      <c r="AO13" s="53"/>
      <c r="AP13" s="54"/>
      <c r="AQ13" s="54"/>
      <c r="AR13" s="54"/>
      <c r="AS13" s="53"/>
      <c r="AT13" s="54"/>
      <c r="AU13" s="54"/>
      <c r="AV13" s="54"/>
      <c r="AW13" s="53"/>
      <c r="AX13" s="54"/>
      <c r="AY13" s="54"/>
      <c r="AZ13" s="54"/>
      <c r="BA13" s="53"/>
      <c r="BB13" s="54"/>
      <c r="BC13" s="54"/>
      <c r="BD13" s="54"/>
      <c r="BE13" s="53"/>
      <c r="BF13" s="54"/>
      <c r="BG13" s="54"/>
      <c r="BH13" s="54"/>
      <c r="BI13" s="53"/>
      <c r="BJ13" s="54"/>
      <c r="BK13" s="54"/>
      <c r="BL13" s="54"/>
      <c r="BM13" s="53">
        <f t="shared" ref="BM13:BM18" si="13">+AC13+AG13+AK13+AO13+AS13+AW13+BA13+BE13+BI13</f>
        <v>30000000</v>
      </c>
      <c r="BN13" s="54">
        <f t="shared" ref="BN13:BP18" si="14">AD13+AH13+AL13+AP13+AT13+AX13+BB13+BF13+BJ13</f>
        <v>30000000</v>
      </c>
      <c r="BO13" s="54">
        <f t="shared" si="14"/>
        <v>19550000</v>
      </c>
      <c r="BP13" s="54">
        <f t="shared" si="14"/>
        <v>19550000</v>
      </c>
      <c r="BQ13" s="81"/>
      <c r="BR13" s="81"/>
      <c r="BS13" s="81"/>
      <c r="BT13" s="81"/>
      <c r="BU13" s="81"/>
      <c r="BV13" s="81"/>
      <c r="BW13" s="81"/>
      <c r="BX13" s="81"/>
      <c r="BY13" s="81"/>
      <c r="BZ13" s="81">
        <v>22500000</v>
      </c>
      <c r="CA13" s="81">
        <v>32500000</v>
      </c>
      <c r="CB13" s="81">
        <v>25140004</v>
      </c>
      <c r="CC13" s="81">
        <v>25140004</v>
      </c>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f t="shared" ref="DE13:DE18" si="15">BQ13+BU13+BZ13+CE13+CI13+CM13+CQ13+CV13+DA13</f>
        <v>22500000</v>
      </c>
      <c r="DF13" s="95">
        <f>+CA13</f>
        <v>32500000</v>
      </c>
      <c r="DG13" s="95">
        <f t="shared" ref="DG13:DH18" si="16">BS13+BW13+CB13+CG13+CK13+CO13+CS13+CX13+DC13</f>
        <v>25140004</v>
      </c>
      <c r="DH13" s="95">
        <f t="shared" si="16"/>
        <v>25140004</v>
      </c>
      <c r="DI13" s="95"/>
      <c r="DJ13" s="81"/>
      <c r="DK13" s="95"/>
      <c r="DL13" s="81"/>
      <c r="DM13" s="81"/>
      <c r="DN13" s="81"/>
      <c r="DO13" s="81"/>
      <c r="DP13" s="81"/>
      <c r="DQ13" s="81"/>
      <c r="DR13" s="81"/>
      <c r="DS13" s="81">
        <v>11250000</v>
      </c>
      <c r="DT13" s="81">
        <v>20000000</v>
      </c>
      <c r="DU13" s="81">
        <v>20000000</v>
      </c>
      <c r="DV13" s="81">
        <v>20000000</v>
      </c>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f t="shared" ref="EW13:EX18" si="17">DJ13+DN13+DS13+DX13+EB13+EF13+EJ13+EN13+ES13</f>
        <v>11250000</v>
      </c>
      <c r="EX13" s="86">
        <f t="shared" si="17"/>
        <v>20000000</v>
      </c>
      <c r="EY13" s="86">
        <f t="shared" ref="EY13:EZ18" si="18">DL13+DP13+DU13+DZ13+ED13+EH13+EL13+EP13+EU13</f>
        <v>20000000</v>
      </c>
      <c r="EZ13" s="86">
        <f t="shared" si="18"/>
        <v>20000000</v>
      </c>
      <c r="FA13" s="176"/>
      <c r="FB13" s="81"/>
      <c r="FC13" s="86"/>
      <c r="FD13" s="86"/>
      <c r="FE13" s="86"/>
      <c r="FF13" s="138"/>
      <c r="FG13" s="81"/>
      <c r="FH13" s="81"/>
      <c r="FI13" s="81"/>
      <c r="FJ13" s="81"/>
      <c r="FK13" s="81"/>
      <c r="FL13" s="81">
        <v>7525000</v>
      </c>
      <c r="FM13" s="81">
        <v>9500000</v>
      </c>
      <c r="FN13" s="81">
        <v>9500000</v>
      </c>
      <c r="FO13" s="81">
        <v>8240300</v>
      </c>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f t="shared" ref="GU13:GU18" si="19">FB13+FG13+FL13+FQ13+FV13+GA13+GF13+GK13+GP13</f>
        <v>7525000</v>
      </c>
      <c r="GV13" s="81">
        <f t="shared" ref="GV13:GY18" si="20">GQ13+GL13+GG13+GB13+FW13+FR13+FM13+FH13</f>
        <v>9500000</v>
      </c>
      <c r="GW13" s="81">
        <f t="shared" si="20"/>
        <v>9500000</v>
      </c>
      <c r="GX13" s="81">
        <f t="shared" si="20"/>
        <v>8240300</v>
      </c>
      <c r="GY13" s="673">
        <f t="shared" si="20"/>
        <v>0</v>
      </c>
      <c r="GZ13" s="67">
        <f>BM13+DE13+EW13+GU13</f>
        <v>71275000</v>
      </c>
    </row>
    <row r="14" spans="1:208" ht="132" customHeight="1" x14ac:dyDescent="0.2">
      <c r="A14" s="245"/>
      <c r="B14" s="245"/>
      <c r="C14" s="456"/>
      <c r="D14" s="745" t="s">
        <v>60</v>
      </c>
      <c r="E14" s="265" t="s">
        <v>61</v>
      </c>
      <c r="F14" s="265" t="s">
        <v>62</v>
      </c>
      <c r="G14" s="260">
        <v>2</v>
      </c>
      <c r="H14" s="261" t="s">
        <v>63</v>
      </c>
      <c r="I14" s="258" t="s">
        <v>64</v>
      </c>
      <c r="J14" s="262" t="s">
        <v>57</v>
      </c>
      <c r="K14" s="262">
        <v>10</v>
      </c>
      <c r="L14" s="263" t="s">
        <v>58</v>
      </c>
      <c r="M14" s="264">
        <v>3</v>
      </c>
      <c r="N14" s="264">
        <v>4</v>
      </c>
      <c r="O14" s="265">
        <v>4</v>
      </c>
      <c r="P14" s="266">
        <v>2</v>
      </c>
      <c r="Q14" s="264">
        <v>4</v>
      </c>
      <c r="R14" s="268"/>
      <c r="S14" s="269">
        <v>4</v>
      </c>
      <c r="T14" s="264">
        <v>4</v>
      </c>
      <c r="U14" s="263"/>
      <c r="V14" s="271">
        <v>4</v>
      </c>
      <c r="W14" s="263">
        <v>4</v>
      </c>
      <c r="X14" s="264"/>
      <c r="Y14" s="653">
        <v>4</v>
      </c>
      <c r="Z14" s="272">
        <f>BM14/$BM$12</f>
        <v>6.8513217596316272E-3</v>
      </c>
      <c r="AA14" s="273">
        <v>15</v>
      </c>
      <c r="AB14" s="274" t="s">
        <v>59</v>
      </c>
      <c r="AC14" s="53"/>
      <c r="AD14" s="54"/>
      <c r="AE14" s="54"/>
      <c r="AF14" s="54"/>
      <c r="AG14" s="53"/>
      <c r="AH14" s="54"/>
      <c r="AI14" s="54"/>
      <c r="AJ14" s="54"/>
      <c r="AK14" s="53">
        <v>10000000</v>
      </c>
      <c r="AL14" s="55">
        <v>10000000</v>
      </c>
      <c r="AM14" s="54">
        <v>2415000</v>
      </c>
      <c r="AN14" s="54">
        <v>2415000</v>
      </c>
      <c r="AO14" s="53"/>
      <c r="AP14" s="54"/>
      <c r="AQ14" s="54"/>
      <c r="AR14" s="54"/>
      <c r="AS14" s="53"/>
      <c r="AT14" s="54"/>
      <c r="AU14" s="54"/>
      <c r="AV14" s="54"/>
      <c r="AW14" s="53"/>
      <c r="AX14" s="54"/>
      <c r="AY14" s="54"/>
      <c r="AZ14" s="54"/>
      <c r="BA14" s="53"/>
      <c r="BB14" s="54"/>
      <c r="BC14" s="54"/>
      <c r="BD14" s="54"/>
      <c r="BE14" s="53"/>
      <c r="BF14" s="54"/>
      <c r="BG14" s="54"/>
      <c r="BH14" s="54"/>
      <c r="BI14" s="53"/>
      <c r="BJ14" s="54"/>
      <c r="BK14" s="54"/>
      <c r="BL14" s="54"/>
      <c r="BM14" s="53">
        <f t="shared" si="13"/>
        <v>10000000</v>
      </c>
      <c r="BN14" s="54">
        <f t="shared" si="14"/>
        <v>10000000</v>
      </c>
      <c r="BO14" s="54">
        <f t="shared" si="14"/>
        <v>2415000</v>
      </c>
      <c r="BP14" s="54">
        <f t="shared" si="14"/>
        <v>2415000</v>
      </c>
      <c r="BQ14" s="83"/>
      <c r="BR14" s="83"/>
      <c r="BS14" s="83"/>
      <c r="BT14" s="83"/>
      <c r="BU14" s="83"/>
      <c r="BV14" s="83"/>
      <c r="BW14" s="83"/>
      <c r="BX14" s="83"/>
      <c r="BY14" s="83"/>
      <c r="BZ14" s="81">
        <v>7500000</v>
      </c>
      <c r="CA14" s="81">
        <v>17500000</v>
      </c>
      <c r="CB14" s="81">
        <v>17500000</v>
      </c>
      <c r="CC14" s="81">
        <v>17500000</v>
      </c>
      <c r="CD14" s="81"/>
      <c r="CE14" s="81"/>
      <c r="CF14" s="81"/>
      <c r="CG14" s="81"/>
      <c r="CH14" s="81"/>
      <c r="CI14" s="83"/>
      <c r="CJ14" s="83"/>
      <c r="CK14" s="83"/>
      <c r="CL14" s="83"/>
      <c r="CM14" s="83"/>
      <c r="CN14" s="83"/>
      <c r="CO14" s="83"/>
      <c r="CP14" s="83"/>
      <c r="CQ14" s="83"/>
      <c r="CR14" s="83"/>
      <c r="CS14" s="83"/>
      <c r="CT14" s="83"/>
      <c r="CU14" s="83"/>
      <c r="CV14" s="83"/>
      <c r="CW14" s="83"/>
      <c r="CX14" s="83"/>
      <c r="CY14" s="83"/>
      <c r="CZ14" s="83"/>
      <c r="DA14" s="83"/>
      <c r="DB14" s="83"/>
      <c r="DC14" s="83"/>
      <c r="DD14" s="83"/>
      <c r="DE14" s="81">
        <f t="shared" si="15"/>
        <v>7500000</v>
      </c>
      <c r="DF14" s="95">
        <f>BR14+BV14+CA14+CF14+CJ14+CN14+CR14+CW14+DB14</f>
        <v>17500000</v>
      </c>
      <c r="DG14" s="95">
        <f t="shared" si="16"/>
        <v>17500000</v>
      </c>
      <c r="DH14" s="95">
        <f t="shared" si="16"/>
        <v>17500000</v>
      </c>
      <c r="DI14" s="95"/>
      <c r="DJ14" s="81"/>
      <c r="DK14" s="95"/>
      <c r="DL14" s="81"/>
      <c r="DM14" s="81"/>
      <c r="DN14" s="81"/>
      <c r="DO14" s="81"/>
      <c r="DP14" s="81"/>
      <c r="DQ14" s="81"/>
      <c r="DR14" s="81"/>
      <c r="DS14" s="81">
        <v>3750000</v>
      </c>
      <c r="DT14" s="81">
        <v>10000000</v>
      </c>
      <c r="DU14" s="81">
        <v>10000000</v>
      </c>
      <c r="DV14" s="81">
        <v>10000000</v>
      </c>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f t="shared" si="17"/>
        <v>3750000</v>
      </c>
      <c r="EX14" s="86">
        <f t="shared" si="17"/>
        <v>10000000</v>
      </c>
      <c r="EY14" s="86">
        <f t="shared" si="18"/>
        <v>10000000</v>
      </c>
      <c r="EZ14" s="86">
        <f t="shared" si="18"/>
        <v>10000000</v>
      </c>
      <c r="FA14" s="176"/>
      <c r="FB14" s="81"/>
      <c r="FC14" s="86"/>
      <c r="FD14" s="86"/>
      <c r="FE14" s="86"/>
      <c r="FF14" s="138"/>
      <c r="FG14" s="81"/>
      <c r="FH14" s="81"/>
      <c r="FI14" s="81"/>
      <c r="FJ14" s="81"/>
      <c r="FK14" s="81"/>
      <c r="FL14" s="81">
        <v>1875000</v>
      </c>
      <c r="FM14" s="81">
        <v>26900000</v>
      </c>
      <c r="FN14" s="81">
        <v>22385000</v>
      </c>
      <c r="FO14" s="81">
        <v>15120900</v>
      </c>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f t="shared" si="19"/>
        <v>1875000</v>
      </c>
      <c r="GV14" s="81">
        <f t="shared" si="20"/>
        <v>26900000</v>
      </c>
      <c r="GW14" s="81">
        <f t="shared" si="20"/>
        <v>22385000</v>
      </c>
      <c r="GX14" s="81">
        <f t="shared" si="20"/>
        <v>15120900</v>
      </c>
      <c r="GY14" s="673">
        <f t="shared" si="20"/>
        <v>0</v>
      </c>
      <c r="GZ14" s="67">
        <f>BM14+DE14+EW14+GU14</f>
        <v>23125000</v>
      </c>
    </row>
    <row r="15" spans="1:208" ht="154.5" customHeight="1" x14ac:dyDescent="0.2">
      <c r="A15" s="245"/>
      <c r="B15" s="245"/>
      <c r="C15" s="277">
        <v>4</v>
      </c>
      <c r="D15" s="746"/>
      <c r="E15" s="259"/>
      <c r="F15" s="259"/>
      <c r="G15" s="260">
        <v>3</v>
      </c>
      <c r="H15" s="261" t="s">
        <v>66</v>
      </c>
      <c r="I15" s="258" t="s">
        <v>67</v>
      </c>
      <c r="J15" s="262" t="s">
        <v>57</v>
      </c>
      <c r="K15" s="262">
        <v>10</v>
      </c>
      <c r="L15" s="263" t="s">
        <v>58</v>
      </c>
      <c r="M15" s="264">
        <v>1</v>
      </c>
      <c r="N15" s="264">
        <v>1</v>
      </c>
      <c r="O15" s="265">
        <v>1</v>
      </c>
      <c r="P15" s="266">
        <v>0.9</v>
      </c>
      <c r="Q15" s="264">
        <v>1</v>
      </c>
      <c r="R15" s="268"/>
      <c r="S15" s="278">
        <v>1</v>
      </c>
      <c r="T15" s="264">
        <v>1</v>
      </c>
      <c r="U15" s="263"/>
      <c r="V15" s="271">
        <v>1</v>
      </c>
      <c r="W15" s="263">
        <v>1</v>
      </c>
      <c r="X15" s="264"/>
      <c r="Y15" s="653">
        <v>1</v>
      </c>
      <c r="Z15" s="272">
        <f>BM15/$BM$12</f>
        <v>0.9554664085623944</v>
      </c>
      <c r="AA15" s="273">
        <v>15</v>
      </c>
      <c r="AB15" s="274" t="s">
        <v>59</v>
      </c>
      <c r="AC15" s="53"/>
      <c r="AD15" s="54"/>
      <c r="AE15" s="54"/>
      <c r="AF15" s="54"/>
      <c r="AG15" s="53"/>
      <c r="AH15" s="54"/>
      <c r="AI15" s="54"/>
      <c r="AJ15" s="54"/>
      <c r="AK15" s="53">
        <v>15000000</v>
      </c>
      <c r="AL15" s="55">
        <v>15000000</v>
      </c>
      <c r="AM15" s="54">
        <v>13850000</v>
      </c>
      <c r="AN15" s="54">
        <v>13850000</v>
      </c>
      <c r="AO15" s="53"/>
      <c r="AP15" s="54"/>
      <c r="AQ15" s="54"/>
      <c r="AR15" s="54"/>
      <c r="AS15" s="53"/>
      <c r="AT15" s="54"/>
      <c r="AU15" s="54"/>
      <c r="AV15" s="54"/>
      <c r="AW15" s="53"/>
      <c r="AX15" s="54"/>
      <c r="AY15" s="54"/>
      <c r="AZ15" s="54"/>
      <c r="BA15" s="53"/>
      <c r="BB15" s="54"/>
      <c r="BC15" s="54"/>
      <c r="BD15" s="54"/>
      <c r="BE15" s="53"/>
      <c r="BF15" s="54"/>
      <c r="BG15" s="54"/>
      <c r="BH15" s="54"/>
      <c r="BI15" s="53">
        <f>1394572379-15000000</f>
        <v>1379572379</v>
      </c>
      <c r="BJ15" s="54"/>
      <c r="BK15" s="54"/>
      <c r="BL15" s="54"/>
      <c r="BM15" s="53">
        <f t="shared" si="13"/>
        <v>1394572379</v>
      </c>
      <c r="BN15" s="54">
        <f t="shared" si="14"/>
        <v>15000000</v>
      </c>
      <c r="BO15" s="54">
        <f t="shared" si="14"/>
        <v>13850000</v>
      </c>
      <c r="BP15" s="54">
        <f t="shared" si="14"/>
        <v>13850000</v>
      </c>
      <c r="BQ15" s="83"/>
      <c r="BR15" s="83"/>
      <c r="BS15" s="83"/>
      <c r="BT15" s="83"/>
      <c r="BU15" s="83"/>
      <c r="BV15" s="83"/>
      <c r="BW15" s="83"/>
      <c r="BX15" s="83"/>
      <c r="BY15" s="83"/>
      <c r="BZ15" s="81">
        <v>11250000</v>
      </c>
      <c r="CA15" s="81">
        <v>11000000</v>
      </c>
      <c r="CB15" s="81">
        <v>11000000</v>
      </c>
      <c r="CC15" s="81">
        <v>11000000</v>
      </c>
      <c r="CD15" s="81"/>
      <c r="CE15" s="81"/>
      <c r="CF15" s="81"/>
      <c r="CG15" s="81"/>
      <c r="CH15" s="81"/>
      <c r="CI15" s="83"/>
      <c r="CJ15" s="83"/>
      <c r="CK15" s="83"/>
      <c r="CL15" s="83"/>
      <c r="CM15" s="83"/>
      <c r="CN15" s="83"/>
      <c r="CO15" s="83"/>
      <c r="CP15" s="83"/>
      <c r="CQ15" s="83"/>
      <c r="CR15" s="83"/>
      <c r="CS15" s="83"/>
      <c r="CT15" s="83"/>
      <c r="CU15" s="83"/>
      <c r="CV15" s="83"/>
      <c r="CW15" s="83"/>
      <c r="CX15" s="83"/>
      <c r="CY15" s="83"/>
      <c r="CZ15" s="83"/>
      <c r="DA15" s="83"/>
      <c r="DB15" s="83"/>
      <c r="DC15" s="83"/>
      <c r="DD15" s="83"/>
      <c r="DE15" s="81">
        <f t="shared" si="15"/>
        <v>11250000</v>
      </c>
      <c r="DF15" s="95">
        <f>BR15+BV15+CA15+CF15+CJ15+CN15+CR15+CW15+DB15</f>
        <v>11000000</v>
      </c>
      <c r="DG15" s="95">
        <f t="shared" si="16"/>
        <v>11000000</v>
      </c>
      <c r="DH15" s="95">
        <f t="shared" si="16"/>
        <v>11000000</v>
      </c>
      <c r="DI15" s="95"/>
      <c r="DJ15" s="81"/>
      <c r="DK15" s="95"/>
      <c r="DL15" s="81"/>
      <c r="DM15" s="81"/>
      <c r="DN15" s="81"/>
      <c r="DO15" s="81"/>
      <c r="DP15" s="81"/>
      <c r="DQ15" s="81"/>
      <c r="DR15" s="81"/>
      <c r="DS15" s="81">
        <v>5625000</v>
      </c>
      <c r="DT15" s="81">
        <v>6000000</v>
      </c>
      <c r="DU15" s="81">
        <v>3170000</v>
      </c>
      <c r="DV15" s="81">
        <v>3170000</v>
      </c>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f t="shared" si="17"/>
        <v>5625000</v>
      </c>
      <c r="EX15" s="86">
        <f t="shared" si="17"/>
        <v>6000000</v>
      </c>
      <c r="EY15" s="86">
        <f t="shared" si="18"/>
        <v>3170000</v>
      </c>
      <c r="EZ15" s="86">
        <f t="shared" si="18"/>
        <v>3170000</v>
      </c>
      <c r="FA15" s="176"/>
      <c r="FB15" s="81"/>
      <c r="FC15" s="86"/>
      <c r="FD15" s="86"/>
      <c r="FE15" s="86"/>
      <c r="FF15" s="138"/>
      <c r="FG15" s="81"/>
      <c r="FH15" s="81"/>
      <c r="FI15" s="81"/>
      <c r="FJ15" s="81"/>
      <c r="FK15" s="81"/>
      <c r="FL15" s="81">
        <v>2800000</v>
      </c>
      <c r="FM15" s="81">
        <v>20500000</v>
      </c>
      <c r="FN15" s="81">
        <v>14980000</v>
      </c>
      <c r="FO15" s="81">
        <v>8432300</v>
      </c>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f t="shared" si="19"/>
        <v>2800000</v>
      </c>
      <c r="GV15" s="81">
        <f t="shared" si="20"/>
        <v>20500000</v>
      </c>
      <c r="GW15" s="81">
        <f t="shared" si="20"/>
        <v>14980000</v>
      </c>
      <c r="GX15" s="81">
        <f t="shared" si="20"/>
        <v>8432300</v>
      </c>
      <c r="GY15" s="673">
        <f t="shared" si="20"/>
        <v>0</v>
      </c>
      <c r="GZ15" s="67">
        <f>BM15+DE15+EW15+GU15</f>
        <v>1414247379</v>
      </c>
    </row>
    <row r="16" spans="1:208" ht="74.25" customHeight="1" x14ac:dyDescent="0.2">
      <c r="A16" s="245"/>
      <c r="B16" s="245"/>
      <c r="C16" s="279">
        <v>1</v>
      </c>
      <c r="D16" s="721" t="s">
        <v>52</v>
      </c>
      <c r="E16" s="717" t="s">
        <v>53</v>
      </c>
      <c r="F16" s="417" t="s">
        <v>54</v>
      </c>
      <c r="G16" s="260">
        <v>4</v>
      </c>
      <c r="H16" s="261" t="s">
        <v>68</v>
      </c>
      <c r="I16" s="258" t="s">
        <v>69</v>
      </c>
      <c r="J16" s="262" t="s">
        <v>57</v>
      </c>
      <c r="K16" s="262">
        <v>10</v>
      </c>
      <c r="L16" s="262" t="s">
        <v>58</v>
      </c>
      <c r="M16" s="265">
        <v>0</v>
      </c>
      <c r="N16" s="265">
        <v>1</v>
      </c>
      <c r="O16" s="265">
        <v>0</v>
      </c>
      <c r="P16" s="266"/>
      <c r="Q16" s="265">
        <v>1</v>
      </c>
      <c r="R16" s="281"/>
      <c r="S16" s="269">
        <v>1</v>
      </c>
      <c r="T16" s="265">
        <v>1</v>
      </c>
      <c r="U16" s="262"/>
      <c r="V16" s="283">
        <v>0.6</v>
      </c>
      <c r="W16" s="262">
        <v>1</v>
      </c>
      <c r="X16" s="265"/>
      <c r="Y16" s="654">
        <v>0.3</v>
      </c>
      <c r="Z16" s="272">
        <f>BM16/$BM$12</f>
        <v>0</v>
      </c>
      <c r="AA16" s="273">
        <v>7</v>
      </c>
      <c r="AB16" s="274" t="s">
        <v>70</v>
      </c>
      <c r="AC16" s="53"/>
      <c r="AD16" s="54"/>
      <c r="AE16" s="54"/>
      <c r="AF16" s="54"/>
      <c r="AG16" s="53"/>
      <c r="AH16" s="54"/>
      <c r="AI16" s="54"/>
      <c r="AJ16" s="54"/>
      <c r="AK16" s="53"/>
      <c r="AL16" s="54"/>
      <c r="AM16" s="54"/>
      <c r="AN16" s="54"/>
      <c r="AO16" s="53"/>
      <c r="AP16" s="54"/>
      <c r="AQ16" s="54"/>
      <c r="AR16" s="54"/>
      <c r="AS16" s="53"/>
      <c r="AT16" s="54"/>
      <c r="AU16" s="54"/>
      <c r="AV16" s="54"/>
      <c r="AW16" s="53"/>
      <c r="AX16" s="54"/>
      <c r="AY16" s="54"/>
      <c r="AZ16" s="54"/>
      <c r="BA16" s="53"/>
      <c r="BB16" s="54"/>
      <c r="BC16" s="54"/>
      <c r="BD16" s="54"/>
      <c r="BE16" s="53"/>
      <c r="BF16" s="54"/>
      <c r="BG16" s="54"/>
      <c r="BH16" s="54"/>
      <c r="BI16" s="53"/>
      <c r="BJ16" s="54"/>
      <c r="BK16" s="54"/>
      <c r="BL16" s="54"/>
      <c r="BM16" s="53">
        <f t="shared" si="13"/>
        <v>0</v>
      </c>
      <c r="BN16" s="54">
        <f t="shared" si="14"/>
        <v>0</v>
      </c>
      <c r="BO16" s="54">
        <f t="shared" si="14"/>
        <v>0</v>
      </c>
      <c r="BP16" s="54">
        <f t="shared" si="14"/>
        <v>0</v>
      </c>
      <c r="BQ16" s="83"/>
      <c r="BR16" s="83"/>
      <c r="BS16" s="83"/>
      <c r="BT16" s="83"/>
      <c r="BU16" s="83"/>
      <c r="BV16" s="83">
        <v>8910000</v>
      </c>
      <c r="BW16" s="83">
        <v>8910000</v>
      </c>
      <c r="BX16" s="83">
        <v>8910000</v>
      </c>
      <c r="BY16" s="83"/>
      <c r="BZ16" s="81">
        <v>0</v>
      </c>
      <c r="CA16" s="81">
        <v>11090000</v>
      </c>
      <c r="CB16" s="81">
        <v>11000000</v>
      </c>
      <c r="CC16" s="81">
        <v>11000000</v>
      </c>
      <c r="CD16" s="81"/>
      <c r="CE16" s="81"/>
      <c r="CF16" s="81"/>
      <c r="CG16" s="81"/>
      <c r="CH16" s="81"/>
      <c r="CI16" s="83"/>
      <c r="CJ16" s="83"/>
      <c r="CK16" s="83"/>
      <c r="CL16" s="83"/>
      <c r="CM16" s="83"/>
      <c r="CN16" s="83"/>
      <c r="CO16" s="83"/>
      <c r="CP16" s="83"/>
      <c r="CQ16" s="83"/>
      <c r="CR16" s="83"/>
      <c r="CS16" s="83"/>
      <c r="CT16" s="83"/>
      <c r="CU16" s="83"/>
      <c r="CV16" s="83"/>
      <c r="CW16" s="83"/>
      <c r="CX16" s="83"/>
      <c r="CY16" s="83"/>
      <c r="CZ16" s="83"/>
      <c r="DA16" s="83">
        <v>1000000000</v>
      </c>
      <c r="DB16" s="83"/>
      <c r="DC16" s="83"/>
      <c r="DD16" s="83"/>
      <c r="DE16" s="81">
        <f t="shared" si="15"/>
        <v>1000000000</v>
      </c>
      <c r="DF16" s="95">
        <f>BR16+BV16+CA16+CF16+CJ16+CN16+CR16+CW16+DB16</f>
        <v>20000000</v>
      </c>
      <c r="DG16" s="95">
        <f t="shared" si="16"/>
        <v>19910000</v>
      </c>
      <c r="DH16" s="95">
        <f t="shared" si="16"/>
        <v>19910000</v>
      </c>
      <c r="DI16" s="95"/>
      <c r="DJ16" s="81"/>
      <c r="DK16" s="95"/>
      <c r="DL16" s="81"/>
      <c r="DM16" s="81"/>
      <c r="DN16" s="81"/>
      <c r="DO16" s="81"/>
      <c r="DP16" s="81"/>
      <c r="DQ16" s="81"/>
      <c r="DR16" s="81"/>
      <c r="DS16" s="81">
        <v>0</v>
      </c>
      <c r="DT16" s="81">
        <v>21000000</v>
      </c>
      <c r="DU16" s="81">
        <v>20999991</v>
      </c>
      <c r="DV16" s="81">
        <v>20999991</v>
      </c>
      <c r="DW16" s="81"/>
      <c r="DX16" s="81"/>
      <c r="DY16" s="81"/>
      <c r="DZ16" s="81"/>
      <c r="EA16" s="81"/>
      <c r="EB16" s="81"/>
      <c r="EC16" s="81"/>
      <c r="ED16" s="81"/>
      <c r="EE16" s="81"/>
      <c r="EF16" s="81"/>
      <c r="EG16" s="81"/>
      <c r="EH16" s="81"/>
      <c r="EI16" s="81"/>
      <c r="EJ16" s="81"/>
      <c r="EK16" s="81"/>
      <c r="EL16" s="81"/>
      <c r="EM16" s="81"/>
      <c r="EN16" s="81"/>
      <c r="EO16" s="81"/>
      <c r="EP16" s="81"/>
      <c r="EQ16" s="81"/>
      <c r="ER16" s="81"/>
      <c r="ES16" s="81">
        <v>7904449896</v>
      </c>
      <c r="ET16" s="81"/>
      <c r="EU16" s="81"/>
      <c r="EV16" s="81"/>
      <c r="EW16" s="81">
        <f t="shared" si="17"/>
        <v>7904449896</v>
      </c>
      <c r="EX16" s="86">
        <f t="shared" si="17"/>
        <v>21000000</v>
      </c>
      <c r="EY16" s="86">
        <f t="shared" si="18"/>
        <v>20999991</v>
      </c>
      <c r="EZ16" s="86">
        <f t="shared" si="18"/>
        <v>20999991</v>
      </c>
      <c r="FA16" s="176"/>
      <c r="FB16" s="81">
        <v>0</v>
      </c>
      <c r="FC16" s="86"/>
      <c r="FD16" s="86"/>
      <c r="FE16" s="86"/>
      <c r="FF16" s="138"/>
      <c r="FG16" s="81">
        <v>0</v>
      </c>
      <c r="FH16" s="81"/>
      <c r="FI16" s="81"/>
      <c r="FJ16" s="81"/>
      <c r="FK16" s="81"/>
      <c r="FL16" s="81">
        <v>0</v>
      </c>
      <c r="FM16" s="81">
        <v>66500000</v>
      </c>
      <c r="FN16" s="81">
        <v>21101999</v>
      </c>
      <c r="FO16" s="81">
        <v>6720400</v>
      </c>
      <c r="FP16" s="81"/>
      <c r="FQ16" s="81">
        <v>0</v>
      </c>
      <c r="FR16" s="81"/>
      <c r="FS16" s="81"/>
      <c r="FT16" s="81"/>
      <c r="FU16" s="81"/>
      <c r="FV16" s="81">
        <v>0</v>
      </c>
      <c r="FW16" s="81"/>
      <c r="FX16" s="81"/>
      <c r="FY16" s="81"/>
      <c r="FZ16" s="81"/>
      <c r="GA16" s="81">
        <v>0</v>
      </c>
      <c r="GB16" s="81"/>
      <c r="GC16" s="81"/>
      <c r="GD16" s="81"/>
      <c r="GE16" s="81"/>
      <c r="GF16" s="81">
        <v>0</v>
      </c>
      <c r="GG16" s="81"/>
      <c r="GH16" s="81"/>
      <c r="GI16" s="81"/>
      <c r="GJ16" s="81"/>
      <c r="GK16" s="81">
        <v>0</v>
      </c>
      <c r="GL16" s="81"/>
      <c r="GM16" s="81"/>
      <c r="GN16" s="81"/>
      <c r="GO16" s="81"/>
      <c r="GP16" s="81">
        <v>2000000000</v>
      </c>
      <c r="GQ16" s="81"/>
      <c r="GR16" s="81"/>
      <c r="GS16" s="81"/>
      <c r="GT16" s="81"/>
      <c r="GU16" s="81">
        <f t="shared" si="19"/>
        <v>2000000000</v>
      </c>
      <c r="GV16" s="81">
        <f t="shared" si="20"/>
        <v>66500000</v>
      </c>
      <c r="GW16" s="81">
        <f t="shared" si="20"/>
        <v>21101999</v>
      </c>
      <c r="GX16" s="81">
        <f t="shared" si="20"/>
        <v>6720400</v>
      </c>
      <c r="GY16" s="673">
        <f t="shared" si="20"/>
        <v>0</v>
      </c>
      <c r="GZ16" s="67">
        <f>BM16+DE16+EW16+GU16</f>
        <v>10904449896</v>
      </c>
    </row>
    <row r="17" spans="1:208" ht="126" customHeight="1" x14ac:dyDescent="0.2">
      <c r="A17" s="245"/>
      <c r="B17" s="245"/>
      <c r="C17" s="277"/>
      <c r="D17" s="723"/>
      <c r="E17" s="718"/>
      <c r="F17" s="284"/>
      <c r="G17" s="273">
        <v>5</v>
      </c>
      <c r="H17" s="261" t="s">
        <v>71</v>
      </c>
      <c r="I17" s="258" t="s">
        <v>72</v>
      </c>
      <c r="J17" s="262" t="s">
        <v>57</v>
      </c>
      <c r="K17" s="262">
        <v>10</v>
      </c>
      <c r="L17" s="263" t="s">
        <v>73</v>
      </c>
      <c r="M17" s="264">
        <v>3</v>
      </c>
      <c r="N17" s="264">
        <v>5</v>
      </c>
      <c r="O17" s="265">
        <v>1</v>
      </c>
      <c r="P17" s="266">
        <v>1</v>
      </c>
      <c r="Q17" s="264">
        <v>2</v>
      </c>
      <c r="R17" s="285"/>
      <c r="S17" s="278">
        <v>2</v>
      </c>
      <c r="T17" s="264">
        <v>2</v>
      </c>
      <c r="U17" s="263"/>
      <c r="V17" s="271">
        <v>6</v>
      </c>
      <c r="W17" s="263">
        <v>0</v>
      </c>
      <c r="X17" s="264"/>
      <c r="Y17" s="653"/>
      <c r="Z17" s="272">
        <f>BM17/$BM$12</f>
        <v>6.8513217596316272E-3</v>
      </c>
      <c r="AA17" s="273">
        <v>12</v>
      </c>
      <c r="AB17" s="274" t="s">
        <v>74</v>
      </c>
      <c r="AC17" s="53"/>
      <c r="AD17" s="54"/>
      <c r="AE17" s="54"/>
      <c r="AF17" s="54"/>
      <c r="AG17" s="53"/>
      <c r="AH17" s="54"/>
      <c r="AI17" s="54"/>
      <c r="AJ17" s="54"/>
      <c r="AK17" s="53">
        <v>10000000</v>
      </c>
      <c r="AL17" s="54">
        <v>10000000</v>
      </c>
      <c r="AM17" s="54">
        <v>10000000</v>
      </c>
      <c r="AN17" s="54">
        <v>10000000</v>
      </c>
      <c r="AO17" s="53"/>
      <c r="AP17" s="54"/>
      <c r="AQ17" s="54"/>
      <c r="AR17" s="54"/>
      <c r="AS17" s="53"/>
      <c r="AT17" s="54"/>
      <c r="AU17" s="54"/>
      <c r="AV17" s="54"/>
      <c r="AW17" s="53"/>
      <c r="AX17" s="54"/>
      <c r="AY17" s="54"/>
      <c r="AZ17" s="54"/>
      <c r="BA17" s="53"/>
      <c r="BB17" s="54"/>
      <c r="BC17" s="54"/>
      <c r="BD17" s="54"/>
      <c r="BE17" s="53"/>
      <c r="BF17" s="54"/>
      <c r="BG17" s="54"/>
      <c r="BH17" s="54"/>
      <c r="BI17" s="53"/>
      <c r="BJ17" s="54"/>
      <c r="BK17" s="54"/>
      <c r="BL17" s="54"/>
      <c r="BM17" s="53">
        <f t="shared" si="13"/>
        <v>10000000</v>
      </c>
      <c r="BN17" s="54">
        <f t="shared" si="14"/>
        <v>10000000</v>
      </c>
      <c r="BO17" s="54">
        <f t="shared" si="14"/>
        <v>10000000</v>
      </c>
      <c r="BP17" s="54">
        <f t="shared" si="14"/>
        <v>10000000</v>
      </c>
      <c r="BQ17" s="83"/>
      <c r="BR17" s="83"/>
      <c r="BS17" s="83"/>
      <c r="BT17" s="83"/>
      <c r="BU17" s="83"/>
      <c r="BV17" s="83">
        <v>41090000</v>
      </c>
      <c r="BW17" s="83">
        <v>41090000</v>
      </c>
      <c r="BX17" s="83">
        <v>41090000</v>
      </c>
      <c r="BY17" s="83"/>
      <c r="BZ17" s="81">
        <v>7500000</v>
      </c>
      <c r="CA17" s="81">
        <v>26910000</v>
      </c>
      <c r="CB17" s="81">
        <v>26910216</v>
      </c>
      <c r="CC17" s="81">
        <v>26906616</v>
      </c>
      <c r="CD17" s="81"/>
      <c r="CE17" s="81"/>
      <c r="CF17" s="81"/>
      <c r="CG17" s="81"/>
      <c r="CH17" s="81"/>
      <c r="CI17" s="83"/>
      <c r="CJ17" s="83"/>
      <c r="CK17" s="83"/>
      <c r="CL17" s="83"/>
      <c r="CM17" s="83"/>
      <c r="CN17" s="83"/>
      <c r="CO17" s="83"/>
      <c r="CP17" s="83"/>
      <c r="CQ17" s="83"/>
      <c r="CR17" s="83"/>
      <c r="CS17" s="83"/>
      <c r="CT17" s="83"/>
      <c r="CU17" s="83"/>
      <c r="CV17" s="83"/>
      <c r="CW17" s="83"/>
      <c r="CX17" s="83"/>
      <c r="CY17" s="83"/>
      <c r="CZ17" s="83"/>
      <c r="DA17" s="83"/>
      <c r="DB17" s="83"/>
      <c r="DC17" s="83"/>
      <c r="DD17" s="83"/>
      <c r="DE17" s="81">
        <f t="shared" si="15"/>
        <v>7500000</v>
      </c>
      <c r="DF17" s="95">
        <f>BR17+BV17+CA17+CF17+CJ17+CN17+CR17+CW17+DB17</f>
        <v>68000000</v>
      </c>
      <c r="DG17" s="95">
        <f t="shared" si="16"/>
        <v>68000216</v>
      </c>
      <c r="DH17" s="95">
        <f t="shared" si="16"/>
        <v>67996616</v>
      </c>
      <c r="DI17" s="95"/>
      <c r="DJ17" s="81"/>
      <c r="DK17" s="95"/>
      <c r="DL17" s="81"/>
      <c r="DM17" s="81"/>
      <c r="DN17" s="81"/>
      <c r="DO17" s="81"/>
      <c r="DP17" s="81"/>
      <c r="DQ17" s="81"/>
      <c r="DR17" s="81"/>
      <c r="DS17" s="81">
        <v>3750000</v>
      </c>
      <c r="DT17" s="81">
        <v>21000000</v>
      </c>
      <c r="DU17" s="81">
        <v>21000000</v>
      </c>
      <c r="DV17" s="81">
        <v>21000000</v>
      </c>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f t="shared" si="17"/>
        <v>3750000</v>
      </c>
      <c r="EX17" s="86">
        <f t="shared" si="17"/>
        <v>21000000</v>
      </c>
      <c r="EY17" s="86">
        <f t="shared" si="18"/>
        <v>21000000</v>
      </c>
      <c r="EZ17" s="86">
        <f t="shared" si="18"/>
        <v>21000000</v>
      </c>
      <c r="FA17" s="176"/>
      <c r="FB17" s="81"/>
      <c r="FC17" s="86"/>
      <c r="FD17" s="86"/>
      <c r="FE17" s="86"/>
      <c r="FF17" s="138"/>
      <c r="FG17" s="81"/>
      <c r="FH17" s="607"/>
      <c r="FI17" s="607"/>
      <c r="FJ17" s="607"/>
      <c r="FK17" s="607"/>
      <c r="FL17" s="81">
        <v>0</v>
      </c>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f t="shared" si="19"/>
        <v>0</v>
      </c>
      <c r="GV17" s="81">
        <f t="shared" si="20"/>
        <v>0</v>
      </c>
      <c r="GW17" s="81">
        <f t="shared" si="20"/>
        <v>0</v>
      </c>
      <c r="GX17" s="81">
        <f t="shared" si="20"/>
        <v>0</v>
      </c>
      <c r="GY17" s="673">
        <f t="shared" si="20"/>
        <v>0</v>
      </c>
      <c r="GZ17" s="67">
        <f>BM17+DE17+EW17+GU17</f>
        <v>21250000</v>
      </c>
    </row>
    <row r="18" spans="1:208" ht="166.5" customHeight="1" x14ac:dyDescent="0.2">
      <c r="A18" s="245"/>
      <c r="B18" s="245"/>
      <c r="C18" s="279">
        <v>2</v>
      </c>
      <c r="D18" s="258" t="s">
        <v>75</v>
      </c>
      <c r="E18" s="288" t="s">
        <v>76</v>
      </c>
      <c r="F18" s="288" t="s">
        <v>76</v>
      </c>
      <c r="G18" s="988">
        <v>6</v>
      </c>
      <c r="H18" s="989" t="s">
        <v>77</v>
      </c>
      <c r="I18" s="258" t="s">
        <v>78</v>
      </c>
      <c r="J18" s="988" t="s">
        <v>57</v>
      </c>
      <c r="K18" s="988">
        <v>10</v>
      </c>
      <c r="L18" s="717" t="s">
        <v>58</v>
      </c>
      <c r="M18" s="717">
        <v>3</v>
      </c>
      <c r="N18" s="717">
        <v>12</v>
      </c>
      <c r="O18" s="988">
        <v>12</v>
      </c>
      <c r="P18" s="990">
        <v>2</v>
      </c>
      <c r="Q18" s="717">
        <v>12</v>
      </c>
      <c r="R18" s="289"/>
      <c r="S18" s="269">
        <v>12</v>
      </c>
      <c r="T18" s="717">
        <v>12</v>
      </c>
      <c r="U18" s="290"/>
      <c r="V18" s="291">
        <v>12</v>
      </c>
      <c r="W18" s="290">
        <v>12</v>
      </c>
      <c r="X18" s="717"/>
      <c r="Y18" s="655">
        <v>12</v>
      </c>
      <c r="Z18" s="272">
        <f>BM18/BM12</f>
        <v>1.027698263944744E-2</v>
      </c>
      <c r="AA18" s="292">
        <v>15</v>
      </c>
      <c r="AB18" s="717" t="s">
        <v>59</v>
      </c>
      <c r="AC18" s="150"/>
      <c r="AD18" s="54"/>
      <c r="AE18" s="54"/>
      <c r="AF18" s="54"/>
      <c r="AG18" s="150"/>
      <c r="AH18" s="54"/>
      <c r="AI18" s="54"/>
      <c r="AJ18" s="54"/>
      <c r="AK18" s="150">
        <v>15000000</v>
      </c>
      <c r="AL18" s="54">
        <v>15000000</v>
      </c>
      <c r="AM18" s="54">
        <v>5915000</v>
      </c>
      <c r="AN18" s="54">
        <v>5915000</v>
      </c>
      <c r="AO18" s="150"/>
      <c r="AP18" s="54"/>
      <c r="AQ18" s="54"/>
      <c r="AR18" s="54"/>
      <c r="AS18" s="150"/>
      <c r="AT18" s="54"/>
      <c r="AU18" s="54"/>
      <c r="AV18" s="54"/>
      <c r="AW18" s="150"/>
      <c r="AX18" s="54"/>
      <c r="AY18" s="54"/>
      <c r="AZ18" s="54"/>
      <c r="BA18" s="150"/>
      <c r="BB18" s="54"/>
      <c r="BC18" s="54"/>
      <c r="BD18" s="54"/>
      <c r="BE18" s="150"/>
      <c r="BF18" s="54"/>
      <c r="BG18" s="54"/>
      <c r="BH18" s="54"/>
      <c r="BI18" s="150"/>
      <c r="BJ18" s="54"/>
      <c r="BK18" s="54"/>
      <c r="BL18" s="54"/>
      <c r="BM18" s="167">
        <f t="shared" si="13"/>
        <v>15000000</v>
      </c>
      <c r="BN18" s="167">
        <f t="shared" si="14"/>
        <v>15000000</v>
      </c>
      <c r="BO18" s="167">
        <f t="shared" si="14"/>
        <v>5915000</v>
      </c>
      <c r="BP18" s="167">
        <f t="shared" si="14"/>
        <v>5915000</v>
      </c>
      <c r="BQ18" s="106"/>
      <c r="BR18" s="102"/>
      <c r="BS18" s="102"/>
      <c r="BT18" s="102"/>
      <c r="BU18" s="106"/>
      <c r="BV18" s="102"/>
      <c r="BW18" s="102"/>
      <c r="BX18" s="102"/>
      <c r="BY18" s="102"/>
      <c r="BZ18" s="106">
        <v>11250000</v>
      </c>
      <c r="CA18" s="102">
        <v>11000000</v>
      </c>
      <c r="CB18" s="102">
        <v>5973290</v>
      </c>
      <c r="CC18" s="102">
        <v>5973290</v>
      </c>
      <c r="CD18" s="102"/>
      <c r="CE18" s="102"/>
      <c r="CF18" s="102"/>
      <c r="CG18" s="102"/>
      <c r="CH18" s="102"/>
      <c r="CI18" s="106"/>
      <c r="CJ18" s="102"/>
      <c r="CK18" s="102"/>
      <c r="CL18" s="102"/>
      <c r="CM18" s="106"/>
      <c r="CN18" s="102"/>
      <c r="CO18" s="102"/>
      <c r="CP18" s="102"/>
      <c r="CQ18" s="106"/>
      <c r="CR18" s="102"/>
      <c r="CS18" s="102"/>
      <c r="CT18" s="102"/>
      <c r="CU18" s="102"/>
      <c r="CV18" s="106"/>
      <c r="CW18" s="102"/>
      <c r="CX18" s="102"/>
      <c r="CY18" s="102"/>
      <c r="CZ18" s="102"/>
      <c r="DA18" s="106"/>
      <c r="DB18" s="102"/>
      <c r="DC18" s="102"/>
      <c r="DD18" s="102"/>
      <c r="DE18" s="179">
        <f t="shared" si="15"/>
        <v>11250000</v>
      </c>
      <c r="DF18" s="167">
        <f>BR18+BV18+CA18+CF18+CJ18+CN18+CR18+CW18+DB18</f>
        <v>11000000</v>
      </c>
      <c r="DG18" s="167">
        <f t="shared" si="16"/>
        <v>5973290</v>
      </c>
      <c r="DH18" s="167">
        <f t="shared" si="16"/>
        <v>5973290</v>
      </c>
      <c r="DI18" s="167"/>
      <c r="DJ18" s="102"/>
      <c r="DK18" s="168"/>
      <c r="DL18" s="102"/>
      <c r="DM18" s="102"/>
      <c r="DN18" s="102"/>
      <c r="DO18" s="102"/>
      <c r="DP18" s="102"/>
      <c r="DQ18" s="102"/>
      <c r="DR18" s="102"/>
      <c r="DS18" s="102">
        <v>5625000</v>
      </c>
      <c r="DT18" s="102">
        <v>7000000</v>
      </c>
      <c r="DU18" s="102">
        <v>7000000</v>
      </c>
      <c r="DV18" s="102">
        <v>7000000</v>
      </c>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9"/>
      <c r="EU18" s="109"/>
      <c r="EV18" s="109"/>
      <c r="EW18" s="81">
        <f t="shared" si="17"/>
        <v>5625000</v>
      </c>
      <c r="EX18" s="86">
        <f t="shared" si="17"/>
        <v>7000000</v>
      </c>
      <c r="EY18" s="86">
        <f t="shared" si="18"/>
        <v>7000000</v>
      </c>
      <c r="EZ18" s="86">
        <f t="shared" si="18"/>
        <v>7000000</v>
      </c>
      <c r="FA18" s="141"/>
      <c r="FB18" s="181"/>
      <c r="FC18" s="68"/>
      <c r="FD18" s="68"/>
      <c r="FE18" s="68"/>
      <c r="FF18" s="139"/>
      <c r="FG18" s="179"/>
      <c r="FH18" s="179"/>
      <c r="FI18" s="179"/>
      <c r="FJ18" s="179"/>
      <c r="FK18" s="179"/>
      <c r="FL18" s="179">
        <v>2800000</v>
      </c>
      <c r="FM18" s="179">
        <v>11217500</v>
      </c>
      <c r="FN18" s="179">
        <v>11217000</v>
      </c>
      <c r="FO18" s="179">
        <v>5040300</v>
      </c>
      <c r="FP18" s="179"/>
      <c r="FQ18" s="179"/>
      <c r="FR18" s="179"/>
      <c r="FS18" s="179"/>
      <c r="FT18" s="179"/>
      <c r="FU18" s="179"/>
      <c r="FV18" s="179"/>
      <c r="FW18" s="179"/>
      <c r="FX18" s="179"/>
      <c r="FY18" s="179"/>
      <c r="FZ18" s="179"/>
      <c r="GA18" s="179"/>
      <c r="GB18" s="179"/>
      <c r="GC18" s="179"/>
      <c r="GD18" s="179"/>
      <c r="GE18" s="179"/>
      <c r="GF18" s="179"/>
      <c r="GG18" s="179"/>
      <c r="GH18" s="179"/>
      <c r="GI18" s="179"/>
      <c r="GJ18" s="179"/>
      <c r="GK18" s="179"/>
      <c r="GL18" s="179"/>
      <c r="GM18" s="179"/>
      <c r="GN18" s="179"/>
      <c r="GO18" s="179"/>
      <c r="GP18" s="179"/>
      <c r="GQ18" s="181"/>
      <c r="GR18" s="181"/>
      <c r="GS18" s="181"/>
      <c r="GT18" s="181"/>
      <c r="GU18" s="81">
        <f t="shared" si="19"/>
        <v>2800000</v>
      </c>
      <c r="GV18" s="81">
        <f t="shared" si="20"/>
        <v>11217500</v>
      </c>
      <c r="GW18" s="81">
        <f t="shared" si="20"/>
        <v>11217000</v>
      </c>
      <c r="GX18" s="81">
        <f t="shared" si="20"/>
        <v>5040300</v>
      </c>
      <c r="GY18" s="673">
        <f t="shared" si="20"/>
        <v>0</v>
      </c>
      <c r="GZ18" s="102">
        <f>GU18+EW18+DE18+BM18</f>
        <v>34675000</v>
      </c>
    </row>
    <row r="19" spans="1:208" ht="24.75" customHeight="1" x14ac:dyDescent="0.2">
      <c r="A19" s="245"/>
      <c r="B19" s="245"/>
      <c r="C19" s="246">
        <v>2</v>
      </c>
      <c r="D19" s="293" t="s">
        <v>79</v>
      </c>
      <c r="E19" s="294"/>
      <c r="F19" s="295"/>
      <c r="G19" s="249"/>
      <c r="H19" s="295"/>
      <c r="I19" s="295"/>
      <c r="J19" s="249"/>
      <c r="K19" s="249"/>
      <c r="L19" s="296"/>
      <c r="M19" s="295"/>
      <c r="N19" s="295"/>
      <c r="O19" s="297"/>
      <c r="P19" s="297"/>
      <c r="Q19" s="295"/>
      <c r="R19" s="298"/>
      <c r="S19" s="295"/>
      <c r="T19" s="295"/>
      <c r="U19" s="295"/>
      <c r="V19" s="297"/>
      <c r="W19" s="249"/>
      <c r="X19" s="663"/>
      <c r="Y19" s="296"/>
      <c r="Z19" s="299"/>
      <c r="AA19" s="249"/>
      <c r="AB19" s="249"/>
      <c r="AC19" s="186">
        <f t="shared" ref="AC19:BL19" si="21">SUM(AC20:AC26)</f>
        <v>0</v>
      </c>
      <c r="AD19" s="186">
        <f t="shared" si="21"/>
        <v>0</v>
      </c>
      <c r="AE19" s="186">
        <f t="shared" si="21"/>
        <v>0</v>
      </c>
      <c r="AF19" s="186">
        <f t="shared" si="21"/>
        <v>0</v>
      </c>
      <c r="AG19" s="186">
        <f t="shared" si="21"/>
        <v>0</v>
      </c>
      <c r="AH19" s="186">
        <f t="shared" si="21"/>
        <v>0</v>
      </c>
      <c r="AI19" s="186">
        <f t="shared" si="21"/>
        <v>0</v>
      </c>
      <c r="AJ19" s="186">
        <f t="shared" si="21"/>
        <v>0</v>
      </c>
      <c r="AK19" s="186">
        <f t="shared" si="21"/>
        <v>60200000</v>
      </c>
      <c r="AL19" s="186">
        <f t="shared" si="21"/>
        <v>265647255</v>
      </c>
      <c r="AM19" s="186">
        <f t="shared" si="21"/>
        <v>30853333</v>
      </c>
      <c r="AN19" s="186">
        <f t="shared" si="21"/>
        <v>30853333</v>
      </c>
      <c r="AO19" s="186">
        <f t="shared" si="21"/>
        <v>0</v>
      </c>
      <c r="AP19" s="186">
        <f t="shared" si="21"/>
        <v>0</v>
      </c>
      <c r="AQ19" s="186">
        <f t="shared" si="21"/>
        <v>0</v>
      </c>
      <c r="AR19" s="186">
        <f t="shared" si="21"/>
        <v>0</v>
      </c>
      <c r="AS19" s="186">
        <f t="shared" si="21"/>
        <v>0</v>
      </c>
      <c r="AT19" s="186">
        <f t="shared" si="21"/>
        <v>0</v>
      </c>
      <c r="AU19" s="186">
        <f t="shared" si="21"/>
        <v>0</v>
      </c>
      <c r="AV19" s="186">
        <f t="shared" si="21"/>
        <v>0</v>
      </c>
      <c r="AW19" s="186">
        <f t="shared" si="21"/>
        <v>2248717121</v>
      </c>
      <c r="AX19" s="186">
        <f t="shared" si="21"/>
        <v>2252293686</v>
      </c>
      <c r="AY19" s="186">
        <f t="shared" si="21"/>
        <v>2141958657.5599999</v>
      </c>
      <c r="AZ19" s="186">
        <f t="shared" si="21"/>
        <v>2141958657.5599999</v>
      </c>
      <c r="BA19" s="186">
        <f t="shared" si="21"/>
        <v>0</v>
      </c>
      <c r="BB19" s="186">
        <f t="shared" si="21"/>
        <v>0</v>
      </c>
      <c r="BC19" s="186">
        <f t="shared" si="21"/>
        <v>0</v>
      </c>
      <c r="BD19" s="186">
        <f t="shared" si="21"/>
        <v>0</v>
      </c>
      <c r="BE19" s="186">
        <f t="shared" si="21"/>
        <v>0</v>
      </c>
      <c r="BF19" s="186">
        <f t="shared" si="21"/>
        <v>0</v>
      </c>
      <c r="BG19" s="186">
        <f t="shared" si="21"/>
        <v>0</v>
      </c>
      <c r="BH19" s="186">
        <f t="shared" si="21"/>
        <v>0</v>
      </c>
      <c r="BI19" s="186">
        <f t="shared" si="21"/>
        <v>0</v>
      </c>
      <c r="BJ19" s="186">
        <f t="shared" si="21"/>
        <v>0</v>
      </c>
      <c r="BK19" s="186">
        <f t="shared" si="21"/>
        <v>0</v>
      </c>
      <c r="BL19" s="186">
        <f t="shared" si="21"/>
        <v>0</v>
      </c>
      <c r="BM19" s="186">
        <f t="shared" ref="BM19:EX19" si="22">SUM(BM20:BM26)</f>
        <v>2308917121</v>
      </c>
      <c r="BN19" s="186">
        <f t="shared" si="22"/>
        <v>2517940941</v>
      </c>
      <c r="BO19" s="186">
        <f t="shared" si="22"/>
        <v>2172811990.5599999</v>
      </c>
      <c r="BP19" s="186">
        <f t="shared" si="22"/>
        <v>2172811990.5599999</v>
      </c>
      <c r="BQ19" s="186">
        <f t="shared" si="22"/>
        <v>0</v>
      </c>
      <c r="BR19" s="186">
        <f t="shared" si="22"/>
        <v>0</v>
      </c>
      <c r="BS19" s="186">
        <f t="shared" si="22"/>
        <v>0</v>
      </c>
      <c r="BT19" s="186">
        <f t="shared" si="22"/>
        <v>0</v>
      </c>
      <c r="BU19" s="186">
        <f t="shared" si="22"/>
        <v>0</v>
      </c>
      <c r="BV19" s="186">
        <f t="shared" si="22"/>
        <v>610000000</v>
      </c>
      <c r="BW19" s="186">
        <f t="shared" si="22"/>
        <v>543127167.10000002</v>
      </c>
      <c r="BX19" s="186">
        <f t="shared" si="22"/>
        <v>264415374.09999999</v>
      </c>
      <c r="BY19" s="186">
        <f t="shared" si="22"/>
        <v>0</v>
      </c>
      <c r="BZ19" s="186">
        <f t="shared" si="22"/>
        <v>58800000</v>
      </c>
      <c r="CA19" s="186">
        <f t="shared" si="22"/>
        <v>358800000</v>
      </c>
      <c r="CB19" s="186">
        <f t="shared" si="22"/>
        <v>153622545.07999998</v>
      </c>
      <c r="CC19" s="186">
        <f t="shared" si="22"/>
        <v>153072045.07999998</v>
      </c>
      <c r="CD19" s="186">
        <f t="shared" si="22"/>
        <v>0</v>
      </c>
      <c r="CE19" s="186">
        <f t="shared" si="22"/>
        <v>0</v>
      </c>
      <c r="CF19" s="186">
        <f t="shared" si="22"/>
        <v>0</v>
      </c>
      <c r="CG19" s="186">
        <f t="shared" si="22"/>
        <v>0</v>
      </c>
      <c r="CH19" s="186">
        <f t="shared" si="22"/>
        <v>0</v>
      </c>
      <c r="CI19" s="186">
        <f t="shared" si="22"/>
        <v>0</v>
      </c>
      <c r="CJ19" s="186">
        <f t="shared" si="22"/>
        <v>0</v>
      </c>
      <c r="CK19" s="186">
        <f t="shared" si="22"/>
        <v>0</v>
      </c>
      <c r="CL19" s="186">
        <f t="shared" si="22"/>
        <v>0</v>
      </c>
      <c r="CM19" s="186">
        <f t="shared" si="22"/>
        <v>2207217417.7399998</v>
      </c>
      <c r="CN19" s="186">
        <f t="shared" si="22"/>
        <v>2432800182</v>
      </c>
      <c r="CO19" s="186">
        <f t="shared" si="22"/>
        <v>2427064367</v>
      </c>
      <c r="CP19" s="186">
        <f t="shared" si="22"/>
        <v>2427064367</v>
      </c>
      <c r="CQ19" s="186">
        <f t="shared" si="22"/>
        <v>0</v>
      </c>
      <c r="CR19" s="186">
        <f t="shared" si="22"/>
        <v>0</v>
      </c>
      <c r="CS19" s="186">
        <f t="shared" si="22"/>
        <v>0</v>
      </c>
      <c r="CT19" s="186">
        <f t="shared" si="22"/>
        <v>0</v>
      </c>
      <c r="CU19" s="186">
        <f t="shared" si="22"/>
        <v>0</v>
      </c>
      <c r="CV19" s="186">
        <f t="shared" si="22"/>
        <v>0</v>
      </c>
      <c r="CW19" s="186">
        <f t="shared" si="22"/>
        <v>0</v>
      </c>
      <c r="CX19" s="186">
        <f t="shared" si="22"/>
        <v>0</v>
      </c>
      <c r="CY19" s="186">
        <f t="shared" si="22"/>
        <v>0</v>
      </c>
      <c r="CZ19" s="186">
        <f t="shared" si="22"/>
        <v>0</v>
      </c>
      <c r="DA19" s="186">
        <f t="shared" si="22"/>
        <v>0</v>
      </c>
      <c r="DB19" s="186">
        <f t="shared" si="22"/>
        <v>0</v>
      </c>
      <c r="DC19" s="186">
        <f t="shared" si="22"/>
        <v>0</v>
      </c>
      <c r="DD19" s="186">
        <f t="shared" si="22"/>
        <v>0</v>
      </c>
      <c r="DE19" s="186">
        <f t="shared" si="22"/>
        <v>2266017417.7399998</v>
      </c>
      <c r="DF19" s="186">
        <f t="shared" si="22"/>
        <v>3401600182</v>
      </c>
      <c r="DG19" s="186">
        <f t="shared" si="22"/>
        <v>3123814079.1800003</v>
      </c>
      <c r="DH19" s="186">
        <f t="shared" si="22"/>
        <v>2844551786.1800003</v>
      </c>
      <c r="DI19" s="186">
        <f t="shared" si="22"/>
        <v>0</v>
      </c>
      <c r="DJ19" s="186">
        <f t="shared" si="22"/>
        <v>0</v>
      </c>
      <c r="DK19" s="186">
        <f t="shared" si="22"/>
        <v>0</v>
      </c>
      <c r="DL19" s="186">
        <f t="shared" si="22"/>
        <v>0</v>
      </c>
      <c r="DM19" s="186">
        <f t="shared" si="22"/>
        <v>0</v>
      </c>
      <c r="DN19" s="186">
        <f t="shared" si="22"/>
        <v>0</v>
      </c>
      <c r="DO19" s="186">
        <f t="shared" si="22"/>
        <v>336332504</v>
      </c>
      <c r="DP19" s="186">
        <f t="shared" si="22"/>
        <v>299137431.55000001</v>
      </c>
      <c r="DQ19" s="186">
        <f t="shared" si="22"/>
        <v>276813947.55000001</v>
      </c>
      <c r="DR19" s="186">
        <f t="shared" si="22"/>
        <v>0</v>
      </c>
      <c r="DS19" s="186">
        <f t="shared" si="22"/>
        <v>20000000</v>
      </c>
      <c r="DT19" s="186">
        <f t="shared" si="22"/>
        <v>1174750000</v>
      </c>
      <c r="DU19" s="186">
        <f t="shared" si="22"/>
        <v>700360121</v>
      </c>
      <c r="DV19" s="186">
        <f t="shared" si="22"/>
        <v>104471399</v>
      </c>
      <c r="DW19" s="186">
        <f t="shared" si="22"/>
        <v>0</v>
      </c>
      <c r="DX19" s="186">
        <f t="shared" si="22"/>
        <v>0</v>
      </c>
      <c r="DY19" s="186">
        <f t="shared" si="22"/>
        <v>0</v>
      </c>
      <c r="DZ19" s="186">
        <f t="shared" si="22"/>
        <v>0</v>
      </c>
      <c r="EA19" s="186">
        <f t="shared" si="22"/>
        <v>0</v>
      </c>
      <c r="EB19" s="186">
        <f t="shared" si="22"/>
        <v>0</v>
      </c>
      <c r="EC19" s="186">
        <f t="shared" si="22"/>
        <v>0</v>
      </c>
      <c r="ED19" s="186">
        <f t="shared" si="22"/>
        <v>0</v>
      </c>
      <c r="EE19" s="186">
        <f t="shared" si="22"/>
        <v>0</v>
      </c>
      <c r="EF19" s="186">
        <f t="shared" si="22"/>
        <v>2272403940.2722001</v>
      </c>
      <c r="EG19" s="186">
        <f t="shared" si="22"/>
        <v>2525108749</v>
      </c>
      <c r="EH19" s="186">
        <f t="shared" si="22"/>
        <v>2514716632</v>
      </c>
      <c r="EI19" s="186">
        <f t="shared" si="22"/>
        <v>2514716632</v>
      </c>
      <c r="EJ19" s="186">
        <f t="shared" si="22"/>
        <v>0</v>
      </c>
      <c r="EK19" s="186">
        <f t="shared" si="22"/>
        <v>0</v>
      </c>
      <c r="EL19" s="186">
        <f t="shared" si="22"/>
        <v>0</v>
      </c>
      <c r="EM19" s="186">
        <f t="shared" si="22"/>
        <v>0</v>
      </c>
      <c r="EN19" s="186">
        <f t="shared" si="22"/>
        <v>0</v>
      </c>
      <c r="EO19" s="186">
        <f t="shared" si="22"/>
        <v>0</v>
      </c>
      <c r="EP19" s="186">
        <f t="shared" si="22"/>
        <v>0</v>
      </c>
      <c r="EQ19" s="186">
        <f t="shared" si="22"/>
        <v>0</v>
      </c>
      <c r="ER19" s="186">
        <f t="shared" si="22"/>
        <v>0</v>
      </c>
      <c r="ES19" s="186">
        <f t="shared" si="22"/>
        <v>0</v>
      </c>
      <c r="ET19" s="186">
        <f t="shared" si="22"/>
        <v>0</v>
      </c>
      <c r="EU19" s="186">
        <f t="shared" si="22"/>
        <v>0</v>
      </c>
      <c r="EV19" s="186">
        <f t="shared" si="22"/>
        <v>0</v>
      </c>
      <c r="EW19" s="186">
        <f t="shared" si="22"/>
        <v>2292403940.2722001</v>
      </c>
      <c r="EX19" s="186">
        <f t="shared" si="22"/>
        <v>4036191253</v>
      </c>
      <c r="EY19" s="186">
        <f t="shared" ref="EY19" si="23">SUM(EY20:EY26)</f>
        <v>3514214184.5500002</v>
      </c>
      <c r="EZ19" s="186">
        <f>SUM(EZ20:EZ26)</f>
        <v>2896001978.5500002</v>
      </c>
      <c r="FA19" s="186">
        <f>SUM(FA20:FA26)</f>
        <v>0</v>
      </c>
      <c r="FB19" s="601">
        <f t="shared" ref="FB19:GZ19" si="24">SUM(FB20:FB26)</f>
        <v>0</v>
      </c>
      <c r="FC19" s="601">
        <f t="shared" si="24"/>
        <v>0</v>
      </c>
      <c r="FD19" s="601">
        <f t="shared" si="24"/>
        <v>0</v>
      </c>
      <c r="FE19" s="601">
        <f t="shared" si="24"/>
        <v>0</v>
      </c>
      <c r="FF19" s="601">
        <f t="shared" si="24"/>
        <v>0</v>
      </c>
      <c r="FG19" s="601">
        <f t="shared" si="24"/>
        <v>0</v>
      </c>
      <c r="FH19" s="601">
        <f t="shared" si="24"/>
        <v>425000000</v>
      </c>
      <c r="FI19" s="601">
        <f t="shared" si="24"/>
        <v>0</v>
      </c>
      <c r="FJ19" s="601">
        <f t="shared" si="24"/>
        <v>0</v>
      </c>
      <c r="FK19" s="601">
        <f t="shared" si="24"/>
        <v>0</v>
      </c>
      <c r="FL19" s="601">
        <f t="shared" si="24"/>
        <v>19000000</v>
      </c>
      <c r="FM19" s="601">
        <f t="shared" si="24"/>
        <v>2158373529</v>
      </c>
      <c r="FN19" s="601">
        <f t="shared" si="24"/>
        <v>511810439</v>
      </c>
      <c r="FO19" s="601">
        <f t="shared" si="24"/>
        <v>42062600</v>
      </c>
      <c r="FP19" s="601">
        <f t="shared" si="24"/>
        <v>0</v>
      </c>
      <c r="FQ19" s="601">
        <f t="shared" si="24"/>
        <v>0</v>
      </c>
      <c r="FR19" s="601">
        <f t="shared" si="24"/>
        <v>0</v>
      </c>
      <c r="FS19" s="601">
        <f t="shared" si="24"/>
        <v>0</v>
      </c>
      <c r="FT19" s="601">
        <f t="shared" si="24"/>
        <v>0</v>
      </c>
      <c r="FU19" s="601">
        <f t="shared" si="24"/>
        <v>0</v>
      </c>
      <c r="FV19" s="601">
        <f t="shared" si="24"/>
        <v>0</v>
      </c>
      <c r="FW19" s="601">
        <f t="shared" si="24"/>
        <v>0</v>
      </c>
      <c r="FX19" s="601">
        <f t="shared" si="24"/>
        <v>0</v>
      </c>
      <c r="FY19" s="601">
        <f t="shared" si="24"/>
        <v>0</v>
      </c>
      <c r="FZ19" s="601">
        <f t="shared" si="24"/>
        <v>0</v>
      </c>
      <c r="GA19" s="601">
        <f t="shared" si="24"/>
        <v>2341576058.48</v>
      </c>
      <c r="GB19" s="601">
        <f t="shared" si="24"/>
        <v>2621226425</v>
      </c>
      <c r="GC19" s="601">
        <f t="shared" si="24"/>
        <v>2591680073</v>
      </c>
      <c r="GD19" s="601">
        <f t="shared" si="24"/>
        <v>0</v>
      </c>
      <c r="GE19" s="601">
        <f t="shared" si="24"/>
        <v>0</v>
      </c>
      <c r="GF19" s="601">
        <f t="shared" si="24"/>
        <v>0</v>
      </c>
      <c r="GG19" s="601">
        <f t="shared" si="24"/>
        <v>0</v>
      </c>
      <c r="GH19" s="601">
        <f t="shared" si="24"/>
        <v>0</v>
      </c>
      <c r="GI19" s="601">
        <f t="shared" si="24"/>
        <v>0</v>
      </c>
      <c r="GJ19" s="601">
        <f t="shared" si="24"/>
        <v>0</v>
      </c>
      <c r="GK19" s="601">
        <f t="shared" si="24"/>
        <v>0</v>
      </c>
      <c r="GL19" s="601">
        <f t="shared" si="24"/>
        <v>0</v>
      </c>
      <c r="GM19" s="601">
        <f t="shared" si="24"/>
        <v>0</v>
      </c>
      <c r="GN19" s="601">
        <f t="shared" si="24"/>
        <v>0</v>
      </c>
      <c r="GO19" s="601">
        <f t="shared" si="24"/>
        <v>0</v>
      </c>
      <c r="GP19" s="601">
        <f t="shared" si="24"/>
        <v>0</v>
      </c>
      <c r="GQ19" s="601">
        <f t="shared" si="24"/>
        <v>0</v>
      </c>
      <c r="GR19" s="601">
        <f t="shared" si="24"/>
        <v>0</v>
      </c>
      <c r="GS19" s="601">
        <f t="shared" si="24"/>
        <v>0</v>
      </c>
      <c r="GT19" s="601">
        <f t="shared" si="24"/>
        <v>0</v>
      </c>
      <c r="GU19" s="601">
        <f t="shared" si="24"/>
        <v>2360576058.48</v>
      </c>
      <c r="GV19" s="601">
        <f t="shared" si="24"/>
        <v>5204599954</v>
      </c>
      <c r="GW19" s="601">
        <f t="shared" si="24"/>
        <v>3103490512</v>
      </c>
      <c r="GX19" s="601">
        <f t="shared" si="24"/>
        <v>42062600</v>
      </c>
      <c r="GY19" s="601">
        <f t="shared" si="24"/>
        <v>0</v>
      </c>
      <c r="GZ19" s="186">
        <f t="shared" si="24"/>
        <v>9227914537.4921989</v>
      </c>
    </row>
    <row r="20" spans="1:208" ht="139.5" customHeight="1" x14ac:dyDescent="0.2">
      <c r="A20" s="245"/>
      <c r="B20" s="245"/>
      <c r="C20" s="456"/>
      <c r="D20" s="991"/>
      <c r="E20" s="992"/>
      <c r="F20" s="992"/>
      <c r="G20" s="260">
        <v>7</v>
      </c>
      <c r="H20" s="261" t="s">
        <v>80</v>
      </c>
      <c r="I20" s="258" t="s">
        <v>81</v>
      </c>
      <c r="J20" s="262" t="s">
        <v>57</v>
      </c>
      <c r="K20" s="262">
        <v>10</v>
      </c>
      <c r="L20" s="263" t="s">
        <v>58</v>
      </c>
      <c r="M20" s="264">
        <v>0</v>
      </c>
      <c r="N20" s="264">
        <v>1</v>
      </c>
      <c r="O20" s="265">
        <v>1</v>
      </c>
      <c r="P20" s="266">
        <v>0.5</v>
      </c>
      <c r="Q20" s="264">
        <v>1</v>
      </c>
      <c r="R20" s="268"/>
      <c r="S20" s="300">
        <v>1</v>
      </c>
      <c r="T20" s="264">
        <v>1</v>
      </c>
      <c r="U20" s="264"/>
      <c r="V20" s="270">
        <v>0.6</v>
      </c>
      <c r="W20" s="264">
        <v>1</v>
      </c>
      <c r="X20" s="264"/>
      <c r="Y20" s="656">
        <v>0.3</v>
      </c>
      <c r="Z20" s="272">
        <f t="shared" ref="Z20:Z26" si="25">BM20/$BM$19</f>
        <v>5.4137932827083056E-3</v>
      </c>
      <c r="AA20" s="273">
        <v>6</v>
      </c>
      <c r="AB20" s="274" t="s">
        <v>82</v>
      </c>
      <c r="AC20" s="53"/>
      <c r="AD20" s="54"/>
      <c r="AE20" s="54"/>
      <c r="AF20" s="54"/>
      <c r="AG20" s="53"/>
      <c r="AH20" s="54"/>
      <c r="AI20" s="54"/>
      <c r="AJ20" s="54"/>
      <c r="AK20" s="56">
        <v>12500000</v>
      </c>
      <c r="AL20" s="55">
        <v>12500000</v>
      </c>
      <c r="AM20" s="55">
        <v>12500000</v>
      </c>
      <c r="AN20" s="55">
        <v>12500000</v>
      </c>
      <c r="AO20" s="56"/>
      <c r="AP20" s="55"/>
      <c r="AQ20" s="55"/>
      <c r="AR20" s="55"/>
      <c r="AS20" s="56"/>
      <c r="AT20" s="55"/>
      <c r="AU20" s="54"/>
      <c r="AV20" s="54"/>
      <c r="AW20" s="53"/>
      <c r="AX20" s="54"/>
      <c r="AY20" s="54"/>
      <c r="AZ20" s="54"/>
      <c r="BA20" s="53"/>
      <c r="BB20" s="54"/>
      <c r="BC20" s="54"/>
      <c r="BD20" s="54"/>
      <c r="BE20" s="53"/>
      <c r="BF20" s="54"/>
      <c r="BG20" s="54"/>
      <c r="BH20" s="54"/>
      <c r="BI20" s="53"/>
      <c r="BJ20" s="54"/>
      <c r="BK20" s="54"/>
      <c r="BL20" s="54"/>
      <c r="BM20" s="53">
        <f t="shared" ref="BM20:BM26" si="26">+AC20+AG20+AK20+AO20+AS20+AW20+BA20+BE20+BI20</f>
        <v>12500000</v>
      </c>
      <c r="BN20" s="54">
        <f t="shared" ref="BN20:BP26" si="27">AD20+AH20+AL20+AP20+AT20+AX20+BB20+BF20+BJ20</f>
        <v>12500000</v>
      </c>
      <c r="BO20" s="54">
        <f t="shared" si="27"/>
        <v>12500000</v>
      </c>
      <c r="BP20" s="54">
        <f t="shared" si="27"/>
        <v>12500000</v>
      </c>
      <c r="BQ20" s="82"/>
      <c r="BR20" s="82"/>
      <c r="BS20" s="82"/>
      <c r="BT20" s="82"/>
      <c r="BU20" s="82"/>
      <c r="BV20" s="82"/>
      <c r="BW20" s="82"/>
      <c r="BX20" s="82"/>
      <c r="BY20" s="82"/>
      <c r="BZ20" s="82">
        <v>12200000</v>
      </c>
      <c r="CA20" s="82">
        <v>92200000</v>
      </c>
      <c r="CB20" s="82">
        <v>56482216</v>
      </c>
      <c r="CC20" s="82">
        <v>55931716</v>
      </c>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1">
        <f t="shared" ref="DE20:DE34" si="28">BQ20+BU20+BZ20+CE20+CI20+CM20+CQ20+CV20+DA20</f>
        <v>12200000</v>
      </c>
      <c r="DF20" s="95">
        <f t="shared" ref="DF20:DF26" si="29">BR20+BV20+CA20+CF20+CJ20+CN20+CR20+CW20+DB20</f>
        <v>92200000</v>
      </c>
      <c r="DG20" s="95">
        <f t="shared" ref="DG20:DG26" si="30">BS20+BW20+CB20+CG20+CK20+CO20+CS20+CX20+DC20</f>
        <v>56482216</v>
      </c>
      <c r="DH20" s="95">
        <f t="shared" ref="DH20:DH26" si="31">BT20+BX20+CC20+CH20+CL20+CP20+CT20+CY20+DD20</f>
        <v>55931716</v>
      </c>
      <c r="DI20" s="95"/>
      <c r="DJ20" s="82"/>
      <c r="DK20" s="82"/>
      <c r="DL20" s="82"/>
      <c r="DM20" s="82"/>
      <c r="DN20" s="82"/>
      <c r="DO20" s="82">
        <v>100000000</v>
      </c>
      <c r="DP20" s="82">
        <v>71829735</v>
      </c>
      <c r="DQ20" s="82">
        <v>71829735</v>
      </c>
      <c r="DR20" s="82"/>
      <c r="DS20" s="82">
        <v>12400000</v>
      </c>
      <c r="DT20" s="82">
        <v>62000000</v>
      </c>
      <c r="DU20" s="82">
        <v>58453000</v>
      </c>
      <c r="DV20" s="82">
        <v>58453000</v>
      </c>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1">
        <f t="shared" ref="EW20:EX26" si="32">DJ20+DN20+DS20+DX20+EB20+EF20+EJ20+EN20+ES20</f>
        <v>12400000</v>
      </c>
      <c r="EX20" s="86">
        <f t="shared" si="32"/>
        <v>162000000</v>
      </c>
      <c r="EY20" s="86">
        <f t="shared" ref="EY20:EZ26" si="33">DL20+DP20+DU20+DZ20+ED20+EH20+EL20+EP20+EU20</f>
        <v>130282735</v>
      </c>
      <c r="EZ20" s="86">
        <f t="shared" si="33"/>
        <v>130282735</v>
      </c>
      <c r="FA20" s="176"/>
      <c r="FB20" s="83"/>
      <c r="FC20" s="84"/>
      <c r="FD20" s="84"/>
      <c r="FE20" s="84"/>
      <c r="FF20" s="140"/>
      <c r="FG20" s="83"/>
      <c r="FH20" s="83"/>
      <c r="FI20" s="83"/>
      <c r="FJ20" s="83"/>
      <c r="FK20" s="83"/>
      <c r="FL20" s="83">
        <v>12700000</v>
      </c>
      <c r="FM20" s="83">
        <v>126673529</v>
      </c>
      <c r="FN20" s="83">
        <v>62523641</v>
      </c>
      <c r="FO20" s="83">
        <v>31982000</v>
      </c>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1">
        <f t="shared" ref="GU20:GU26" si="34">FB20+FG20+FL20+FQ20+FV20+GA20+GF20+GK20+GP20</f>
        <v>12700000</v>
      </c>
      <c r="GV20" s="81">
        <f t="shared" ref="GV20:GY21" si="35">GQ20+GL20+GG20+GB20+FW20+FR20+FM20+FH20</f>
        <v>126673529</v>
      </c>
      <c r="GW20" s="81">
        <f t="shared" si="35"/>
        <v>62523641</v>
      </c>
      <c r="GX20" s="81">
        <f t="shared" si="35"/>
        <v>31982000</v>
      </c>
      <c r="GY20" s="673">
        <f t="shared" si="35"/>
        <v>0</v>
      </c>
      <c r="GZ20" s="67">
        <f t="shared" ref="GZ20:GZ26" si="36">BM20+DE20+EW20+GU20</f>
        <v>49800000</v>
      </c>
    </row>
    <row r="21" spans="1:208" ht="90.75" customHeight="1" x14ac:dyDescent="0.2">
      <c r="A21" s="245"/>
      <c r="B21" s="245"/>
      <c r="C21" s="279"/>
      <c r="D21" s="301"/>
      <c r="E21" s="302"/>
      <c r="F21" s="302"/>
      <c r="G21" s="260">
        <v>8</v>
      </c>
      <c r="H21" s="261" t="s">
        <v>83</v>
      </c>
      <c r="I21" s="258" t="s">
        <v>84</v>
      </c>
      <c r="J21" s="262" t="s">
        <v>57</v>
      </c>
      <c r="K21" s="262">
        <v>10</v>
      </c>
      <c r="L21" s="263" t="s">
        <v>73</v>
      </c>
      <c r="M21" s="264">
        <v>1</v>
      </c>
      <c r="N21" s="264">
        <v>6</v>
      </c>
      <c r="O21" s="265">
        <v>2</v>
      </c>
      <c r="P21" s="266">
        <v>2</v>
      </c>
      <c r="Q21" s="264">
        <v>2</v>
      </c>
      <c r="R21" s="268"/>
      <c r="S21" s="300">
        <v>2</v>
      </c>
      <c r="T21" s="264">
        <v>1</v>
      </c>
      <c r="U21" s="264"/>
      <c r="V21" s="270">
        <v>2</v>
      </c>
      <c r="W21" s="264">
        <v>1</v>
      </c>
      <c r="X21" s="264"/>
      <c r="Y21" s="656">
        <v>0.8</v>
      </c>
      <c r="Z21" s="272">
        <f t="shared" si="25"/>
        <v>2.0572414474291562E-2</v>
      </c>
      <c r="AA21" s="273">
        <v>15</v>
      </c>
      <c r="AB21" s="274" t="s">
        <v>59</v>
      </c>
      <c r="AC21" s="53"/>
      <c r="AD21" s="54"/>
      <c r="AE21" s="54"/>
      <c r="AF21" s="54"/>
      <c r="AG21" s="53"/>
      <c r="AH21" s="54"/>
      <c r="AI21" s="54"/>
      <c r="AJ21" s="54"/>
      <c r="AK21" s="57">
        <v>47500000</v>
      </c>
      <c r="AL21" s="55">
        <f>60000000-12500000</f>
        <v>47500000</v>
      </c>
      <c r="AM21" s="55">
        <v>18353333</v>
      </c>
      <c r="AN21" s="58">
        <v>18353333</v>
      </c>
      <c r="AO21" s="57"/>
      <c r="AP21" s="58"/>
      <c r="AQ21" s="58"/>
      <c r="AR21" s="58"/>
      <c r="AS21" s="57"/>
      <c r="AT21" s="58"/>
      <c r="AU21" s="59"/>
      <c r="AV21" s="54"/>
      <c r="AW21" s="53"/>
      <c r="AX21" s="54"/>
      <c r="AY21" s="54"/>
      <c r="AZ21" s="54"/>
      <c r="BA21" s="53"/>
      <c r="BB21" s="54"/>
      <c r="BC21" s="54"/>
      <c r="BD21" s="54"/>
      <c r="BE21" s="53"/>
      <c r="BF21" s="54"/>
      <c r="BG21" s="54"/>
      <c r="BH21" s="54"/>
      <c r="BI21" s="53"/>
      <c r="BJ21" s="54"/>
      <c r="BK21" s="54"/>
      <c r="BL21" s="54"/>
      <c r="BM21" s="53">
        <f t="shared" si="26"/>
        <v>47500000</v>
      </c>
      <c r="BN21" s="54">
        <f t="shared" si="27"/>
        <v>47500000</v>
      </c>
      <c r="BO21" s="54">
        <f t="shared" si="27"/>
        <v>18353333</v>
      </c>
      <c r="BP21" s="54">
        <f t="shared" si="27"/>
        <v>18353333</v>
      </c>
      <c r="BQ21" s="83"/>
      <c r="BR21" s="83"/>
      <c r="BS21" s="83"/>
      <c r="BT21" s="83"/>
      <c r="BU21" s="83"/>
      <c r="BV21" s="83"/>
      <c r="BW21" s="83"/>
      <c r="BX21" s="83"/>
      <c r="BY21" s="83"/>
      <c r="BZ21" s="82">
        <v>46600000</v>
      </c>
      <c r="CA21" s="82">
        <v>66600000</v>
      </c>
      <c r="CB21" s="82">
        <v>66600000</v>
      </c>
      <c r="CC21" s="82">
        <v>66600000</v>
      </c>
      <c r="CD21" s="82"/>
      <c r="CE21" s="82"/>
      <c r="CF21" s="82"/>
      <c r="CG21" s="82"/>
      <c r="CH21" s="82"/>
      <c r="CI21" s="83"/>
      <c r="CJ21" s="83"/>
      <c r="CK21" s="83"/>
      <c r="CL21" s="83"/>
      <c r="CM21" s="83"/>
      <c r="CN21" s="83"/>
      <c r="CO21" s="83"/>
      <c r="CP21" s="83"/>
      <c r="CQ21" s="83"/>
      <c r="CR21" s="83"/>
      <c r="CS21" s="83"/>
      <c r="CT21" s="83"/>
      <c r="CU21" s="83"/>
      <c r="CV21" s="83"/>
      <c r="CW21" s="83"/>
      <c r="CX21" s="83"/>
      <c r="CY21" s="83"/>
      <c r="CZ21" s="83"/>
      <c r="DA21" s="83"/>
      <c r="DB21" s="83"/>
      <c r="DC21" s="83"/>
      <c r="DD21" s="83"/>
      <c r="DE21" s="81">
        <f t="shared" si="28"/>
        <v>46600000</v>
      </c>
      <c r="DF21" s="95">
        <f t="shared" si="29"/>
        <v>66600000</v>
      </c>
      <c r="DG21" s="95">
        <f t="shared" si="30"/>
        <v>66600000</v>
      </c>
      <c r="DH21" s="95">
        <f t="shared" si="31"/>
        <v>66600000</v>
      </c>
      <c r="DI21" s="95"/>
      <c r="DJ21" s="82"/>
      <c r="DK21" s="82"/>
      <c r="DL21" s="82"/>
      <c r="DM21" s="82"/>
      <c r="DN21" s="82"/>
      <c r="DO21" s="82"/>
      <c r="DP21" s="82"/>
      <c r="DQ21" s="82"/>
      <c r="DR21" s="82"/>
      <c r="DS21" s="82">
        <v>7600000</v>
      </c>
      <c r="DT21" s="82">
        <v>38000000</v>
      </c>
      <c r="DU21" s="82">
        <v>33520000</v>
      </c>
      <c r="DV21" s="82">
        <v>33520000</v>
      </c>
      <c r="DW21" s="82"/>
      <c r="DX21" s="82"/>
      <c r="DY21" s="82"/>
      <c r="DZ21" s="82"/>
      <c r="EA21" s="82"/>
      <c r="EB21" s="82"/>
      <c r="EC21" s="82"/>
      <c r="ED21" s="82"/>
      <c r="EE21" s="82"/>
      <c r="EF21" s="82">
        <v>39500000</v>
      </c>
      <c r="EG21" s="82"/>
      <c r="EH21" s="82"/>
      <c r="EI21" s="82"/>
      <c r="EJ21" s="82"/>
      <c r="EK21" s="82"/>
      <c r="EL21" s="82"/>
      <c r="EM21" s="82"/>
      <c r="EN21" s="82"/>
      <c r="EO21" s="82"/>
      <c r="EP21" s="82"/>
      <c r="EQ21" s="82"/>
      <c r="ER21" s="82"/>
      <c r="ES21" s="82"/>
      <c r="ET21" s="82"/>
      <c r="EU21" s="82"/>
      <c r="EV21" s="82"/>
      <c r="EW21" s="81">
        <f t="shared" si="32"/>
        <v>47100000</v>
      </c>
      <c r="EX21" s="86">
        <f t="shared" si="32"/>
        <v>38000000</v>
      </c>
      <c r="EY21" s="86">
        <f t="shared" si="33"/>
        <v>33520000</v>
      </c>
      <c r="EZ21" s="86">
        <f t="shared" si="33"/>
        <v>33520000</v>
      </c>
      <c r="FA21" s="176"/>
      <c r="FB21" s="83"/>
      <c r="FC21" s="84"/>
      <c r="FD21" s="84"/>
      <c r="FE21" s="84"/>
      <c r="FF21" s="140"/>
      <c r="FG21" s="83"/>
      <c r="FH21" s="83"/>
      <c r="FI21" s="83"/>
      <c r="FJ21" s="83"/>
      <c r="FK21" s="83"/>
      <c r="FL21" s="83">
        <v>6300000</v>
      </c>
      <c r="FM21" s="83">
        <v>31700000</v>
      </c>
      <c r="FN21" s="83">
        <v>16801000</v>
      </c>
      <c r="FO21" s="83">
        <v>10080600</v>
      </c>
      <c r="FP21" s="83"/>
      <c r="FQ21" s="83"/>
      <c r="FR21" s="83"/>
      <c r="FS21" s="83"/>
      <c r="FT21" s="83"/>
      <c r="FU21" s="83"/>
      <c r="FV21" s="83"/>
      <c r="FW21" s="83"/>
      <c r="FX21" s="83"/>
      <c r="FY21" s="83"/>
      <c r="FZ21" s="83"/>
      <c r="GA21" s="83">
        <f>48500000-6300000</f>
        <v>42200000</v>
      </c>
      <c r="GB21" s="83"/>
      <c r="GC21" s="83"/>
      <c r="GD21" s="83"/>
      <c r="GE21" s="83"/>
      <c r="GF21" s="83"/>
      <c r="GG21" s="83"/>
      <c r="GH21" s="83"/>
      <c r="GI21" s="83"/>
      <c r="GJ21" s="83"/>
      <c r="GK21" s="83"/>
      <c r="GL21" s="83"/>
      <c r="GM21" s="83"/>
      <c r="GN21" s="83"/>
      <c r="GO21" s="83"/>
      <c r="GP21" s="83"/>
      <c r="GQ21" s="83"/>
      <c r="GR21" s="83"/>
      <c r="GS21" s="83"/>
      <c r="GT21" s="83"/>
      <c r="GU21" s="81">
        <f t="shared" si="34"/>
        <v>48500000</v>
      </c>
      <c r="GV21" s="81">
        <f t="shared" si="35"/>
        <v>31700000</v>
      </c>
      <c r="GW21" s="81">
        <f t="shared" si="35"/>
        <v>16801000</v>
      </c>
      <c r="GX21" s="81">
        <f t="shared" si="35"/>
        <v>10080600</v>
      </c>
      <c r="GY21" s="673">
        <f t="shared" si="35"/>
        <v>0</v>
      </c>
      <c r="GZ21" s="67">
        <f t="shared" si="36"/>
        <v>189700000</v>
      </c>
    </row>
    <row r="22" spans="1:208" ht="375" customHeight="1" x14ac:dyDescent="0.2">
      <c r="A22" s="245"/>
      <c r="B22" s="245"/>
      <c r="C22" s="279"/>
      <c r="D22" s="303"/>
      <c r="E22" s="302"/>
      <c r="F22" s="302"/>
      <c r="G22" s="260">
        <v>9</v>
      </c>
      <c r="H22" s="261" t="s">
        <v>85</v>
      </c>
      <c r="I22" s="258" t="s">
        <v>86</v>
      </c>
      <c r="J22" s="262" t="s">
        <v>87</v>
      </c>
      <c r="K22" s="262">
        <v>3</v>
      </c>
      <c r="L22" s="262" t="s">
        <v>73</v>
      </c>
      <c r="M22" s="265">
        <v>35</v>
      </c>
      <c r="N22" s="265">
        <v>20</v>
      </c>
      <c r="O22" s="265">
        <v>5</v>
      </c>
      <c r="P22" s="266">
        <v>4</v>
      </c>
      <c r="Q22" s="265">
        <v>5</v>
      </c>
      <c r="R22" s="807">
        <v>6</v>
      </c>
      <c r="S22" s="266">
        <v>6</v>
      </c>
      <c r="T22" s="265">
        <v>5</v>
      </c>
      <c r="U22" s="265"/>
      <c r="V22" s="266">
        <v>5</v>
      </c>
      <c r="W22" s="265">
        <v>5</v>
      </c>
      <c r="X22" s="265"/>
      <c r="Y22" s="657">
        <v>3</v>
      </c>
      <c r="Z22" s="272">
        <f t="shared" si="25"/>
        <v>0.23642782216607766</v>
      </c>
      <c r="AA22" s="273">
        <v>6</v>
      </c>
      <c r="AB22" s="274" t="s">
        <v>82</v>
      </c>
      <c r="AC22" s="53"/>
      <c r="AD22" s="54"/>
      <c r="AE22" s="54"/>
      <c r="AF22" s="54"/>
      <c r="AG22" s="53"/>
      <c r="AH22" s="54"/>
      <c r="AI22" s="54"/>
      <c r="AJ22" s="54"/>
      <c r="AK22" s="53">
        <v>200000</v>
      </c>
      <c r="AL22" s="54">
        <v>205647255</v>
      </c>
      <c r="AM22" s="54"/>
      <c r="AN22" s="54"/>
      <c r="AO22" s="53"/>
      <c r="AP22" s="54"/>
      <c r="AQ22" s="54"/>
      <c r="AR22" s="54"/>
      <c r="AS22" s="53"/>
      <c r="AT22" s="54"/>
      <c r="AU22" s="54"/>
      <c r="AV22" s="54"/>
      <c r="AW22" s="58">
        <v>545692246.48000002</v>
      </c>
      <c r="AX22" s="58">
        <v>549268811.48000002</v>
      </c>
      <c r="AY22" s="58">
        <v>438933783</v>
      </c>
      <c r="AZ22" s="58">
        <v>438933783</v>
      </c>
      <c r="BA22" s="53"/>
      <c r="BB22" s="54"/>
      <c r="BC22" s="54"/>
      <c r="BD22" s="54"/>
      <c r="BE22" s="53"/>
      <c r="BF22" s="54"/>
      <c r="BG22" s="54"/>
      <c r="BH22" s="54"/>
      <c r="BI22" s="53"/>
      <c r="BJ22" s="54"/>
      <c r="BK22" s="54"/>
      <c r="BL22" s="54"/>
      <c r="BM22" s="53">
        <f t="shared" si="26"/>
        <v>545892246.48000002</v>
      </c>
      <c r="BN22" s="54">
        <f t="shared" si="27"/>
        <v>754916066.48000002</v>
      </c>
      <c r="BO22" s="54">
        <f t="shared" si="27"/>
        <v>438933783</v>
      </c>
      <c r="BP22" s="54">
        <f t="shared" si="27"/>
        <v>438933783</v>
      </c>
      <c r="BQ22" s="83"/>
      <c r="BR22" s="83"/>
      <c r="BS22" s="83"/>
      <c r="BT22" s="83"/>
      <c r="BU22" s="83"/>
      <c r="BV22" s="83">
        <v>610000000</v>
      </c>
      <c r="BW22" s="83">
        <v>543127167.10000002</v>
      </c>
      <c r="BX22" s="83">
        <v>264415374.09999999</v>
      </c>
      <c r="BY22" s="83"/>
      <c r="BZ22" s="83"/>
      <c r="CA22" s="83">
        <v>200000000</v>
      </c>
      <c r="CB22" s="83">
        <v>30540329.079999998</v>
      </c>
      <c r="CC22" s="83">
        <v>30540329.079999998</v>
      </c>
      <c r="CD22" s="83"/>
      <c r="CE22" s="83"/>
      <c r="CF22" s="83"/>
      <c r="CG22" s="83"/>
      <c r="CH22" s="83"/>
      <c r="CI22" s="83"/>
      <c r="CJ22" s="83"/>
      <c r="CK22" s="83"/>
      <c r="CL22" s="83"/>
      <c r="CM22" s="82">
        <f>535600000-200000</f>
        <v>535400000</v>
      </c>
      <c r="CN22" s="82">
        <v>760982764</v>
      </c>
      <c r="CO22" s="82">
        <v>755246949</v>
      </c>
      <c r="CP22" s="82">
        <v>755246949</v>
      </c>
      <c r="CQ22" s="83"/>
      <c r="CR22" s="83"/>
      <c r="CS22" s="83"/>
      <c r="CT22" s="83"/>
      <c r="CU22" s="83"/>
      <c r="CV22" s="83"/>
      <c r="CW22" s="83"/>
      <c r="CX22" s="83"/>
      <c r="CY22" s="83"/>
      <c r="CZ22" s="83"/>
      <c r="DA22" s="83"/>
      <c r="DB22" s="83"/>
      <c r="DC22" s="83"/>
      <c r="DD22" s="83"/>
      <c r="DE22" s="81">
        <f t="shared" si="28"/>
        <v>535400000</v>
      </c>
      <c r="DF22" s="95">
        <f t="shared" si="29"/>
        <v>1570982764</v>
      </c>
      <c r="DG22" s="95">
        <f t="shared" si="30"/>
        <v>1328914445.1800001</v>
      </c>
      <c r="DH22" s="95">
        <f t="shared" si="31"/>
        <v>1050202652.1800001</v>
      </c>
      <c r="DI22" s="95"/>
      <c r="DJ22" s="82"/>
      <c r="DK22" s="82"/>
      <c r="DL22" s="82"/>
      <c r="DM22" s="82"/>
      <c r="DN22" s="82"/>
      <c r="DO22" s="82">
        <v>236332504</v>
      </c>
      <c r="DP22" s="82">
        <v>227307696.55000001</v>
      </c>
      <c r="DQ22" s="82">
        <v>204984212.55000001</v>
      </c>
      <c r="DR22" s="82"/>
      <c r="DS22" s="82"/>
      <c r="DT22" s="82">
        <v>1074750000</v>
      </c>
      <c r="DU22" s="82">
        <v>608387121</v>
      </c>
      <c r="DV22" s="82">
        <v>12498399</v>
      </c>
      <c r="DW22" s="82"/>
      <c r="DX22" s="82"/>
      <c r="DY22" s="82"/>
      <c r="DZ22" s="82"/>
      <c r="EA22" s="82"/>
      <c r="EB22" s="82"/>
      <c r="EC22" s="82"/>
      <c r="ED22" s="82"/>
      <c r="EE22" s="82"/>
      <c r="EF22" s="65">
        <v>540000000</v>
      </c>
      <c r="EG22" s="82">
        <v>783108749</v>
      </c>
      <c r="EH22" s="82">
        <v>772716632</v>
      </c>
      <c r="EI22" s="82">
        <v>772716632</v>
      </c>
      <c r="EJ22" s="82"/>
      <c r="EK22" s="82"/>
      <c r="EL22" s="82"/>
      <c r="EM22" s="82"/>
      <c r="EN22" s="82"/>
      <c r="EO22" s="82"/>
      <c r="EP22" s="82"/>
      <c r="EQ22" s="82"/>
      <c r="ER22" s="82"/>
      <c r="ES22" s="82"/>
      <c r="ET22" s="82"/>
      <c r="EU22" s="82"/>
      <c r="EV22" s="82"/>
      <c r="EW22" s="81">
        <f t="shared" si="32"/>
        <v>540000000</v>
      </c>
      <c r="EX22" s="86">
        <f t="shared" si="32"/>
        <v>2094191253</v>
      </c>
      <c r="EY22" s="86">
        <f t="shared" si="33"/>
        <v>1608411449.55</v>
      </c>
      <c r="EZ22" s="86">
        <f t="shared" si="33"/>
        <v>990199243.54999995</v>
      </c>
      <c r="FA22" s="176"/>
      <c r="FB22" s="83"/>
      <c r="FC22" s="84"/>
      <c r="FD22" s="84"/>
      <c r="FE22" s="84"/>
      <c r="FF22" s="140"/>
      <c r="FG22" s="83"/>
      <c r="FH22" s="83">
        <v>425000000</v>
      </c>
      <c r="FI22" s="83"/>
      <c r="FJ22" s="83"/>
      <c r="FK22" s="83"/>
      <c r="FL22" s="83"/>
      <c r="FM22" s="667">
        <v>2000000000</v>
      </c>
      <c r="FN22" s="83">
        <v>432485798</v>
      </c>
      <c r="FO22" s="83"/>
      <c r="FP22" s="83"/>
      <c r="FQ22" s="83"/>
      <c r="FR22" s="83"/>
      <c r="FS22" s="83"/>
      <c r="FT22" s="83"/>
      <c r="FU22" s="83"/>
      <c r="FV22" s="83"/>
      <c r="FW22" s="83"/>
      <c r="FX22" s="83"/>
      <c r="FY22" s="83"/>
      <c r="FZ22" s="83"/>
      <c r="GA22" s="82">
        <v>649900000</v>
      </c>
      <c r="GB22" s="82">
        <v>1121226425</v>
      </c>
      <c r="GC22" s="82">
        <v>1091680073</v>
      </c>
      <c r="GD22" s="82"/>
      <c r="GE22" s="82"/>
      <c r="GF22" s="83"/>
      <c r="GG22" s="83"/>
      <c r="GH22" s="83"/>
      <c r="GI22" s="83"/>
      <c r="GJ22" s="83"/>
      <c r="GK22" s="83"/>
      <c r="GL22" s="83"/>
      <c r="GM22" s="83"/>
      <c r="GN22" s="83"/>
      <c r="GO22" s="83"/>
      <c r="GP22" s="83"/>
      <c r="GQ22" s="83"/>
      <c r="GR22" s="83"/>
      <c r="GS22" s="83"/>
      <c r="GT22" s="83"/>
      <c r="GU22" s="81">
        <f t="shared" si="34"/>
        <v>649900000</v>
      </c>
      <c r="GV22" s="81">
        <f t="shared" ref="GV22:GY26" si="37">FC22+FH22+FM22+FR22+FW22+GB22+GG22+GL22+GQ22</f>
        <v>3546226425</v>
      </c>
      <c r="GW22" s="81">
        <f t="shared" si="37"/>
        <v>1524165871</v>
      </c>
      <c r="GX22" s="81">
        <f t="shared" si="37"/>
        <v>0</v>
      </c>
      <c r="GY22" s="673">
        <f t="shared" si="37"/>
        <v>0</v>
      </c>
      <c r="GZ22" s="67">
        <f t="shared" si="36"/>
        <v>2271192246.48</v>
      </c>
    </row>
    <row r="23" spans="1:208" ht="124.5" customHeight="1" x14ac:dyDescent="0.2">
      <c r="A23" s="245"/>
      <c r="B23" s="245"/>
      <c r="C23" s="304">
        <v>2</v>
      </c>
      <c r="D23" s="723" t="s">
        <v>88</v>
      </c>
      <c r="E23" s="305" t="s">
        <v>76</v>
      </c>
      <c r="F23" s="306" t="s">
        <v>76</v>
      </c>
      <c r="G23" s="265">
        <v>10</v>
      </c>
      <c r="H23" s="261" t="s">
        <v>89</v>
      </c>
      <c r="I23" s="307" t="s">
        <v>90</v>
      </c>
      <c r="J23" s="262" t="s">
        <v>87</v>
      </c>
      <c r="K23" s="262">
        <v>3</v>
      </c>
      <c r="L23" s="308" t="s">
        <v>73</v>
      </c>
      <c r="M23" s="309">
        <v>1</v>
      </c>
      <c r="N23" s="310">
        <v>20</v>
      </c>
      <c r="O23" s="309">
        <v>5</v>
      </c>
      <c r="P23" s="311">
        <v>5</v>
      </c>
      <c r="Q23" s="309">
        <v>5</v>
      </c>
      <c r="R23" s="268"/>
      <c r="S23" s="311">
        <v>5</v>
      </c>
      <c r="T23" s="309">
        <v>5</v>
      </c>
      <c r="U23" s="309"/>
      <c r="V23" s="311">
        <v>5</v>
      </c>
      <c r="W23" s="309">
        <v>5</v>
      </c>
      <c r="X23" s="309"/>
      <c r="Y23" s="658">
        <v>2</v>
      </c>
      <c r="Z23" s="267" t="e">
        <f>#REF!/O23</f>
        <v>#REF!</v>
      </c>
      <c r="AA23" s="273">
        <v>6</v>
      </c>
      <c r="AB23" s="274" t="s">
        <v>82</v>
      </c>
      <c r="AC23" s="53"/>
      <c r="AD23" s="54"/>
      <c r="AE23" s="54"/>
      <c r="AF23" s="54"/>
      <c r="AG23" s="53"/>
      <c r="AH23" s="54"/>
      <c r="AI23" s="54"/>
      <c r="AJ23" s="54"/>
      <c r="AK23" s="53"/>
      <c r="AL23" s="54"/>
      <c r="AM23" s="54"/>
      <c r="AN23" s="54"/>
      <c r="AO23" s="53"/>
      <c r="AP23" s="54"/>
      <c r="AQ23" s="54"/>
      <c r="AR23" s="54"/>
      <c r="AS23" s="53"/>
      <c r="AT23" s="54"/>
      <c r="AU23" s="54"/>
      <c r="AV23" s="54"/>
      <c r="AW23" s="60">
        <v>50286511.960000001</v>
      </c>
      <c r="AX23" s="54">
        <v>50286511.960000001</v>
      </c>
      <c r="AY23" s="54">
        <v>50286512</v>
      </c>
      <c r="AZ23" s="59">
        <v>50286512</v>
      </c>
      <c r="BA23" s="53"/>
      <c r="BB23" s="54"/>
      <c r="BC23" s="54"/>
      <c r="BD23" s="54"/>
      <c r="BE23" s="53"/>
      <c r="BF23" s="54"/>
      <c r="BG23" s="54"/>
      <c r="BH23" s="54"/>
      <c r="BI23" s="53"/>
      <c r="BJ23" s="54"/>
      <c r="BK23" s="54"/>
      <c r="BL23" s="54"/>
      <c r="BM23" s="53">
        <f t="shared" si="26"/>
        <v>50286511.960000001</v>
      </c>
      <c r="BN23" s="54">
        <f t="shared" si="27"/>
        <v>50286511.960000001</v>
      </c>
      <c r="BO23" s="54">
        <f t="shared" si="27"/>
        <v>50286512</v>
      </c>
      <c r="BP23" s="54">
        <f t="shared" si="27"/>
        <v>50286512</v>
      </c>
      <c r="BQ23" s="81"/>
      <c r="BR23" s="81"/>
      <c r="BS23" s="81"/>
      <c r="BT23" s="81"/>
      <c r="BU23" s="81"/>
      <c r="BV23" s="81"/>
      <c r="BW23" s="81"/>
      <c r="BX23" s="81"/>
      <c r="BY23" s="81"/>
      <c r="BZ23" s="81"/>
      <c r="CA23" s="81"/>
      <c r="CB23" s="81"/>
      <c r="CC23" s="81"/>
      <c r="CD23" s="81"/>
      <c r="CE23" s="81"/>
      <c r="CF23" s="81"/>
      <c r="CG23" s="81"/>
      <c r="CH23" s="81"/>
      <c r="CI23" s="81"/>
      <c r="CJ23" s="81"/>
      <c r="CK23" s="81"/>
      <c r="CL23" s="81"/>
      <c r="CM23" s="82">
        <f>49300000+417417.74</f>
        <v>49717417.740000002</v>
      </c>
      <c r="CN23" s="82">
        <v>49717418</v>
      </c>
      <c r="CO23" s="82">
        <v>49717418</v>
      </c>
      <c r="CP23" s="82">
        <v>49717418</v>
      </c>
      <c r="CQ23" s="81"/>
      <c r="CR23" s="81"/>
      <c r="CS23" s="81"/>
      <c r="CT23" s="81"/>
      <c r="CU23" s="81"/>
      <c r="CV23" s="81"/>
      <c r="CW23" s="81"/>
      <c r="CX23" s="81"/>
      <c r="CY23" s="81"/>
      <c r="CZ23" s="81"/>
      <c r="DA23" s="81"/>
      <c r="DB23" s="81"/>
      <c r="DC23" s="81"/>
      <c r="DD23" s="81"/>
      <c r="DE23" s="81">
        <f t="shared" si="28"/>
        <v>49717417.740000002</v>
      </c>
      <c r="DF23" s="95">
        <f t="shared" si="29"/>
        <v>49717418</v>
      </c>
      <c r="DG23" s="95">
        <f t="shared" si="30"/>
        <v>49717418</v>
      </c>
      <c r="DH23" s="95">
        <f t="shared" si="31"/>
        <v>49717418</v>
      </c>
      <c r="DI23" s="95"/>
      <c r="DJ23" s="82"/>
      <c r="DK23" s="82"/>
      <c r="DL23" s="82"/>
      <c r="DM23" s="82"/>
      <c r="DN23" s="82"/>
      <c r="DO23" s="82"/>
      <c r="DP23" s="82"/>
      <c r="DQ23" s="82"/>
      <c r="DR23" s="82"/>
      <c r="DS23" s="82"/>
      <c r="DT23" s="82"/>
      <c r="DU23" s="82"/>
      <c r="DV23" s="82"/>
      <c r="DW23" s="82"/>
      <c r="DX23" s="82"/>
      <c r="DY23" s="82"/>
      <c r="DZ23" s="82"/>
      <c r="EA23" s="82"/>
      <c r="EB23" s="82"/>
      <c r="EC23" s="82"/>
      <c r="ED23" s="82"/>
      <c r="EE23" s="82"/>
      <c r="EF23" s="65">
        <v>50000000</v>
      </c>
      <c r="EG23" s="82">
        <v>80000000</v>
      </c>
      <c r="EH23" s="82">
        <v>80000000</v>
      </c>
      <c r="EI23" s="82">
        <v>80000000</v>
      </c>
      <c r="EJ23" s="82"/>
      <c r="EK23" s="82"/>
      <c r="EL23" s="82"/>
      <c r="EM23" s="82"/>
      <c r="EN23" s="82"/>
      <c r="EO23" s="82"/>
      <c r="EP23" s="82"/>
      <c r="EQ23" s="82"/>
      <c r="ER23" s="82"/>
      <c r="ES23" s="82"/>
      <c r="ET23" s="82"/>
      <c r="EU23" s="82"/>
      <c r="EV23" s="82"/>
      <c r="EW23" s="81">
        <f t="shared" si="32"/>
        <v>50000000</v>
      </c>
      <c r="EX23" s="86">
        <f t="shared" si="32"/>
        <v>80000000</v>
      </c>
      <c r="EY23" s="86">
        <f t="shared" si="33"/>
        <v>80000000</v>
      </c>
      <c r="EZ23" s="86">
        <f t="shared" si="33"/>
        <v>80000000</v>
      </c>
      <c r="FA23" s="176"/>
      <c r="FB23" s="83"/>
      <c r="FC23" s="84"/>
      <c r="FD23" s="84"/>
      <c r="FE23" s="84"/>
      <c r="FF23" s="140"/>
      <c r="FG23" s="83"/>
      <c r="FH23" s="83"/>
      <c r="FI23" s="83"/>
      <c r="FJ23" s="83"/>
      <c r="FK23" s="83"/>
      <c r="FL23" s="83"/>
      <c r="FM23" s="667"/>
      <c r="FN23" s="83"/>
      <c r="FO23" s="83"/>
      <c r="FP23" s="83"/>
      <c r="FQ23" s="83"/>
      <c r="FR23" s="83"/>
      <c r="FS23" s="83"/>
      <c r="FT23" s="83"/>
      <c r="FU23" s="83"/>
      <c r="FV23" s="83"/>
      <c r="FW23" s="83"/>
      <c r="FX23" s="83"/>
      <c r="FY23" s="83"/>
      <c r="FZ23" s="83"/>
      <c r="GA23" s="82">
        <v>51400000</v>
      </c>
      <c r="GB23" s="82">
        <v>80000000</v>
      </c>
      <c r="GC23" s="82">
        <v>80000000</v>
      </c>
      <c r="GD23" s="82"/>
      <c r="GE23" s="82"/>
      <c r="GF23" s="83"/>
      <c r="GG23" s="83"/>
      <c r="GH23" s="83"/>
      <c r="GI23" s="83"/>
      <c r="GJ23" s="83"/>
      <c r="GK23" s="83"/>
      <c r="GL23" s="83"/>
      <c r="GM23" s="83"/>
      <c r="GN23" s="83"/>
      <c r="GO23" s="83"/>
      <c r="GP23" s="83"/>
      <c r="GQ23" s="83"/>
      <c r="GR23" s="83"/>
      <c r="GS23" s="83"/>
      <c r="GT23" s="83"/>
      <c r="GU23" s="81">
        <f t="shared" si="34"/>
        <v>51400000</v>
      </c>
      <c r="GV23" s="81">
        <f t="shared" si="37"/>
        <v>80000000</v>
      </c>
      <c r="GW23" s="81">
        <f t="shared" si="37"/>
        <v>80000000</v>
      </c>
      <c r="GX23" s="81">
        <f t="shared" si="37"/>
        <v>0</v>
      </c>
      <c r="GY23" s="673">
        <f t="shared" si="37"/>
        <v>0</v>
      </c>
      <c r="GZ23" s="67">
        <f t="shared" si="36"/>
        <v>201403929.69999999</v>
      </c>
    </row>
    <row r="24" spans="1:208" ht="87" customHeight="1" x14ac:dyDescent="0.2">
      <c r="A24" s="245"/>
      <c r="B24" s="245"/>
      <c r="C24" s="288">
        <v>3</v>
      </c>
      <c r="D24" s="258" t="s">
        <v>91</v>
      </c>
      <c r="E24" s="306" t="s">
        <v>92</v>
      </c>
      <c r="F24" s="306" t="s">
        <v>93</v>
      </c>
      <c r="G24" s="260">
        <v>11</v>
      </c>
      <c r="H24" s="261" t="s">
        <v>94</v>
      </c>
      <c r="I24" s="258" t="s">
        <v>95</v>
      </c>
      <c r="J24" s="262" t="s">
        <v>87</v>
      </c>
      <c r="K24" s="262">
        <v>3</v>
      </c>
      <c r="L24" s="263" t="s">
        <v>58</v>
      </c>
      <c r="M24" s="264">
        <v>1</v>
      </c>
      <c r="N24" s="264">
        <v>1</v>
      </c>
      <c r="O24" s="265">
        <v>1</v>
      </c>
      <c r="P24" s="312">
        <v>0</v>
      </c>
      <c r="Q24" s="264">
        <v>1</v>
      </c>
      <c r="R24" s="268"/>
      <c r="S24" s="266">
        <v>0.5</v>
      </c>
      <c r="T24" s="264">
        <v>1</v>
      </c>
      <c r="U24" s="264"/>
      <c r="V24" s="270">
        <v>1</v>
      </c>
      <c r="W24" s="264">
        <v>1</v>
      </c>
      <c r="X24" s="264"/>
      <c r="Y24" s="656">
        <v>0</v>
      </c>
      <c r="Z24" s="272">
        <f t="shared" si="25"/>
        <v>0.14333258057641646</v>
      </c>
      <c r="AA24" s="273">
        <v>6</v>
      </c>
      <c r="AB24" s="274" t="s">
        <v>82</v>
      </c>
      <c r="AC24" s="53"/>
      <c r="AD24" s="54"/>
      <c r="AE24" s="54"/>
      <c r="AF24" s="54"/>
      <c r="AG24" s="53"/>
      <c r="AH24" s="54"/>
      <c r="AI24" s="54"/>
      <c r="AJ24" s="54"/>
      <c r="AK24" s="53"/>
      <c r="AL24" s="54"/>
      <c r="AM24" s="54"/>
      <c r="AN24" s="54"/>
      <c r="AO24" s="53"/>
      <c r="AP24" s="54"/>
      <c r="AQ24" s="54"/>
      <c r="AR24" s="54"/>
      <c r="AS24" s="53"/>
      <c r="AT24" s="54"/>
      <c r="AU24" s="54"/>
      <c r="AV24" s="54"/>
      <c r="AW24" s="60">
        <v>330943049.29000002</v>
      </c>
      <c r="AX24" s="54">
        <v>330943049.29000002</v>
      </c>
      <c r="AY24" s="54">
        <v>330943049.29000002</v>
      </c>
      <c r="AZ24" s="59">
        <v>330943049.29000002</v>
      </c>
      <c r="BA24" s="53"/>
      <c r="BB24" s="54"/>
      <c r="BC24" s="54"/>
      <c r="BD24" s="54"/>
      <c r="BE24" s="53"/>
      <c r="BF24" s="54"/>
      <c r="BG24" s="54"/>
      <c r="BH24" s="54"/>
      <c r="BI24" s="53"/>
      <c r="BJ24" s="54"/>
      <c r="BK24" s="54"/>
      <c r="BL24" s="54"/>
      <c r="BM24" s="53">
        <f t="shared" si="26"/>
        <v>330943049.29000002</v>
      </c>
      <c r="BN24" s="54">
        <f t="shared" si="27"/>
        <v>330943049.29000002</v>
      </c>
      <c r="BO24" s="54">
        <f t="shared" si="27"/>
        <v>330943049.29000002</v>
      </c>
      <c r="BP24" s="54">
        <f t="shared" si="27"/>
        <v>330943049.29000002</v>
      </c>
      <c r="BQ24" s="81"/>
      <c r="BR24" s="81"/>
      <c r="BS24" s="81"/>
      <c r="BT24" s="81"/>
      <c r="BU24" s="81"/>
      <c r="BV24" s="81"/>
      <c r="BW24" s="81"/>
      <c r="BX24" s="81"/>
      <c r="BY24" s="81"/>
      <c r="BZ24" s="81"/>
      <c r="CA24" s="81"/>
      <c r="CB24" s="81"/>
      <c r="CC24" s="81"/>
      <c r="CD24" s="81"/>
      <c r="CE24" s="81"/>
      <c r="CF24" s="81"/>
      <c r="CG24" s="81"/>
      <c r="CH24" s="81"/>
      <c r="CI24" s="81"/>
      <c r="CJ24" s="81"/>
      <c r="CK24" s="81"/>
      <c r="CL24" s="81"/>
      <c r="CM24" s="82">
        <v>324800000</v>
      </c>
      <c r="CN24" s="82">
        <v>324800000</v>
      </c>
      <c r="CO24" s="82">
        <v>324800000</v>
      </c>
      <c r="CP24" s="82">
        <v>324800000</v>
      </c>
      <c r="CQ24" s="81"/>
      <c r="CR24" s="81"/>
      <c r="CS24" s="81"/>
      <c r="CT24" s="81"/>
      <c r="CU24" s="81"/>
      <c r="CV24" s="81"/>
      <c r="CW24" s="81"/>
      <c r="CX24" s="81"/>
      <c r="CY24" s="81"/>
      <c r="CZ24" s="81"/>
      <c r="DA24" s="81"/>
      <c r="DB24" s="81"/>
      <c r="DC24" s="81"/>
      <c r="DD24" s="81"/>
      <c r="DE24" s="81">
        <f t="shared" si="28"/>
        <v>324800000</v>
      </c>
      <c r="DF24" s="95">
        <f t="shared" si="29"/>
        <v>324800000</v>
      </c>
      <c r="DG24" s="95">
        <f t="shared" si="30"/>
        <v>324800000</v>
      </c>
      <c r="DH24" s="95">
        <f t="shared" si="31"/>
        <v>324800000</v>
      </c>
      <c r="DI24" s="95"/>
      <c r="DJ24" s="82"/>
      <c r="DK24" s="82"/>
      <c r="DL24" s="82"/>
      <c r="DM24" s="82"/>
      <c r="DN24" s="82"/>
      <c r="DO24" s="82"/>
      <c r="DP24" s="82"/>
      <c r="DQ24" s="82"/>
      <c r="DR24" s="82"/>
      <c r="DS24" s="82"/>
      <c r="DT24" s="82"/>
      <c r="DU24" s="82"/>
      <c r="DV24" s="82"/>
      <c r="DW24" s="82"/>
      <c r="DX24" s="82"/>
      <c r="DY24" s="82"/>
      <c r="DZ24" s="82"/>
      <c r="EA24" s="82"/>
      <c r="EB24" s="82"/>
      <c r="EC24" s="82"/>
      <c r="ED24" s="82"/>
      <c r="EE24" s="82"/>
      <c r="EF24" s="65">
        <v>328000000</v>
      </c>
      <c r="EG24" s="82">
        <v>312000000</v>
      </c>
      <c r="EH24" s="82">
        <v>312000000</v>
      </c>
      <c r="EI24" s="82">
        <v>312000000</v>
      </c>
      <c r="EJ24" s="82"/>
      <c r="EK24" s="82"/>
      <c r="EL24" s="82"/>
      <c r="EM24" s="82"/>
      <c r="EN24" s="82"/>
      <c r="EO24" s="82"/>
      <c r="EP24" s="82"/>
      <c r="EQ24" s="82"/>
      <c r="ER24" s="82"/>
      <c r="ES24" s="82"/>
      <c r="ET24" s="82"/>
      <c r="EU24" s="82"/>
      <c r="EV24" s="82"/>
      <c r="EW24" s="81">
        <f t="shared" si="32"/>
        <v>328000000</v>
      </c>
      <c r="EX24" s="86">
        <f t="shared" si="32"/>
        <v>312000000</v>
      </c>
      <c r="EY24" s="86">
        <f t="shared" si="33"/>
        <v>312000000</v>
      </c>
      <c r="EZ24" s="86">
        <f t="shared" si="33"/>
        <v>312000000</v>
      </c>
      <c r="FA24" s="176"/>
      <c r="FB24" s="83"/>
      <c r="FC24" s="84"/>
      <c r="FD24" s="84"/>
      <c r="FE24" s="84"/>
      <c r="FF24" s="140"/>
      <c r="FG24" s="83"/>
      <c r="FH24" s="83"/>
      <c r="FI24" s="83"/>
      <c r="FJ24" s="83"/>
      <c r="FK24" s="83"/>
      <c r="FL24" s="83"/>
      <c r="FM24" s="667"/>
      <c r="FN24" s="83"/>
      <c r="FO24" s="83"/>
      <c r="FP24" s="83"/>
      <c r="FQ24" s="83"/>
      <c r="FR24" s="83"/>
      <c r="FS24" s="83"/>
      <c r="FT24" s="83"/>
      <c r="FU24" s="83"/>
      <c r="FV24" s="83"/>
      <c r="FW24" s="83"/>
      <c r="FX24" s="83"/>
      <c r="FY24" s="83"/>
      <c r="FZ24" s="83"/>
      <c r="GA24" s="82">
        <v>430300000</v>
      </c>
      <c r="GB24" s="82">
        <v>230000000</v>
      </c>
      <c r="GC24" s="82">
        <v>230000000</v>
      </c>
      <c r="GD24" s="82"/>
      <c r="GE24" s="82"/>
      <c r="GF24" s="83"/>
      <c r="GG24" s="83"/>
      <c r="GH24" s="83"/>
      <c r="GI24" s="83"/>
      <c r="GJ24" s="83"/>
      <c r="GK24" s="83"/>
      <c r="GL24" s="83"/>
      <c r="GM24" s="83"/>
      <c r="GN24" s="83"/>
      <c r="GO24" s="83"/>
      <c r="GP24" s="83"/>
      <c r="GQ24" s="83"/>
      <c r="GR24" s="83"/>
      <c r="GS24" s="83"/>
      <c r="GT24" s="83"/>
      <c r="GU24" s="81">
        <f t="shared" si="34"/>
        <v>430300000</v>
      </c>
      <c r="GV24" s="81">
        <f t="shared" si="37"/>
        <v>230000000</v>
      </c>
      <c r="GW24" s="81">
        <f t="shared" si="37"/>
        <v>230000000</v>
      </c>
      <c r="GX24" s="81">
        <f t="shared" si="37"/>
        <v>0</v>
      </c>
      <c r="GY24" s="673">
        <f t="shared" si="37"/>
        <v>0</v>
      </c>
      <c r="GZ24" s="67">
        <f t="shared" si="36"/>
        <v>1414043049.29</v>
      </c>
    </row>
    <row r="25" spans="1:208" ht="151.5" customHeight="1" x14ac:dyDescent="0.2">
      <c r="A25" s="245"/>
      <c r="B25" s="245"/>
      <c r="C25" s="279"/>
      <c r="D25" s="722"/>
      <c r="E25" s="306"/>
      <c r="F25" s="306"/>
      <c r="G25" s="260">
        <v>12</v>
      </c>
      <c r="H25" s="261" t="s">
        <v>96</v>
      </c>
      <c r="I25" s="258" t="s">
        <v>97</v>
      </c>
      <c r="J25" s="262" t="s">
        <v>87</v>
      </c>
      <c r="K25" s="262">
        <v>3</v>
      </c>
      <c r="L25" s="263" t="s">
        <v>58</v>
      </c>
      <c r="M25" s="264">
        <v>1</v>
      </c>
      <c r="N25" s="264">
        <v>3</v>
      </c>
      <c r="O25" s="265">
        <v>3</v>
      </c>
      <c r="P25" s="266">
        <v>1</v>
      </c>
      <c r="Q25" s="264">
        <v>3</v>
      </c>
      <c r="R25" s="268"/>
      <c r="S25" s="266">
        <v>2</v>
      </c>
      <c r="T25" s="264">
        <v>3</v>
      </c>
      <c r="U25" s="264"/>
      <c r="V25" s="270">
        <v>2</v>
      </c>
      <c r="W25" s="264">
        <v>3</v>
      </c>
      <c r="X25" s="264"/>
      <c r="Y25" s="656">
        <v>0</v>
      </c>
      <c r="Z25" s="272">
        <f t="shared" si="25"/>
        <v>0.45547890815349884</v>
      </c>
      <c r="AA25" s="273">
        <v>6</v>
      </c>
      <c r="AB25" s="274" t="s">
        <v>82</v>
      </c>
      <c r="AC25" s="53"/>
      <c r="AD25" s="54"/>
      <c r="AE25" s="54"/>
      <c r="AF25" s="54"/>
      <c r="AG25" s="53"/>
      <c r="AH25" s="54"/>
      <c r="AI25" s="54"/>
      <c r="AJ25" s="54"/>
      <c r="AK25" s="53"/>
      <c r="AL25" s="54"/>
      <c r="AM25" s="54"/>
      <c r="AN25" s="54"/>
      <c r="AO25" s="53"/>
      <c r="AP25" s="54"/>
      <c r="AQ25" s="54"/>
      <c r="AR25" s="54"/>
      <c r="AS25" s="53"/>
      <c r="AT25" s="54"/>
      <c r="AU25" s="54"/>
      <c r="AV25" s="54"/>
      <c r="AW25" s="57">
        <v>1051663049.29</v>
      </c>
      <c r="AX25" s="54">
        <v>1051663049.29</v>
      </c>
      <c r="AY25" s="54">
        <v>1051663049.29</v>
      </c>
      <c r="AZ25" s="58">
        <v>1051663049.29</v>
      </c>
      <c r="BA25" s="53"/>
      <c r="BB25" s="54"/>
      <c r="BC25" s="54"/>
      <c r="BD25" s="54"/>
      <c r="BE25" s="53"/>
      <c r="BF25" s="54"/>
      <c r="BG25" s="54"/>
      <c r="BH25" s="54"/>
      <c r="BI25" s="53"/>
      <c r="BJ25" s="54"/>
      <c r="BK25" s="54"/>
      <c r="BL25" s="54"/>
      <c r="BM25" s="53">
        <f t="shared" si="26"/>
        <v>1051663049.29</v>
      </c>
      <c r="BN25" s="54">
        <f t="shared" si="27"/>
        <v>1051663049.29</v>
      </c>
      <c r="BO25" s="54">
        <f t="shared" si="27"/>
        <v>1051663049.29</v>
      </c>
      <c r="BP25" s="54">
        <f t="shared" si="27"/>
        <v>1051663049.29</v>
      </c>
      <c r="BQ25" s="83"/>
      <c r="BR25" s="83"/>
      <c r="BS25" s="83"/>
      <c r="BT25" s="83"/>
      <c r="BU25" s="83"/>
      <c r="BV25" s="83"/>
      <c r="BW25" s="83"/>
      <c r="BX25" s="83"/>
      <c r="BY25" s="83"/>
      <c r="BZ25" s="83"/>
      <c r="CA25" s="83"/>
      <c r="CB25" s="83"/>
      <c r="CC25" s="83"/>
      <c r="CD25" s="83"/>
      <c r="CE25" s="83"/>
      <c r="CF25" s="83"/>
      <c r="CG25" s="83"/>
      <c r="CH25" s="83"/>
      <c r="CI25" s="83"/>
      <c r="CJ25" s="83"/>
      <c r="CK25" s="83"/>
      <c r="CL25" s="83"/>
      <c r="CM25" s="82">
        <v>1032300000</v>
      </c>
      <c r="CN25" s="82">
        <v>1032300000</v>
      </c>
      <c r="CO25" s="82">
        <v>1032300000</v>
      </c>
      <c r="CP25" s="82">
        <v>1032300000</v>
      </c>
      <c r="CQ25" s="83"/>
      <c r="CR25" s="83"/>
      <c r="CS25" s="83"/>
      <c r="CT25" s="83"/>
      <c r="CU25" s="83"/>
      <c r="CV25" s="83"/>
      <c r="CW25" s="83"/>
      <c r="CX25" s="83"/>
      <c r="CY25" s="83"/>
      <c r="CZ25" s="83"/>
      <c r="DA25" s="83"/>
      <c r="DB25" s="83"/>
      <c r="DC25" s="83"/>
      <c r="DD25" s="83"/>
      <c r="DE25" s="81">
        <f t="shared" si="28"/>
        <v>1032300000</v>
      </c>
      <c r="DF25" s="95">
        <f t="shared" si="29"/>
        <v>1032300000</v>
      </c>
      <c r="DG25" s="95">
        <f t="shared" si="30"/>
        <v>1032300000</v>
      </c>
      <c r="DH25" s="95">
        <f t="shared" si="31"/>
        <v>1032300000</v>
      </c>
      <c r="DI25" s="95"/>
      <c r="DJ25" s="82"/>
      <c r="DK25" s="82"/>
      <c r="DL25" s="82"/>
      <c r="DM25" s="82"/>
      <c r="DN25" s="82"/>
      <c r="DO25" s="82"/>
      <c r="DP25" s="82"/>
      <c r="DQ25" s="82"/>
      <c r="DR25" s="82"/>
      <c r="DS25" s="82"/>
      <c r="DT25" s="82"/>
      <c r="DU25" s="82"/>
      <c r="DV25" s="82"/>
      <c r="DW25" s="82"/>
      <c r="DX25" s="82"/>
      <c r="DY25" s="82"/>
      <c r="DZ25" s="82"/>
      <c r="EA25" s="82"/>
      <c r="EB25" s="82"/>
      <c r="EC25" s="82"/>
      <c r="ED25" s="82"/>
      <c r="EE25" s="82"/>
      <c r="EF25" s="65">
        <v>1044000000</v>
      </c>
      <c r="EG25" s="82">
        <v>1050000000</v>
      </c>
      <c r="EH25" s="82">
        <v>1050000000</v>
      </c>
      <c r="EI25" s="82">
        <v>1050000000</v>
      </c>
      <c r="EJ25" s="82"/>
      <c r="EK25" s="82"/>
      <c r="EL25" s="82"/>
      <c r="EM25" s="82"/>
      <c r="EN25" s="82"/>
      <c r="EO25" s="82"/>
      <c r="EP25" s="82"/>
      <c r="EQ25" s="82"/>
      <c r="ER25" s="82"/>
      <c r="ES25" s="82"/>
      <c r="ET25" s="82"/>
      <c r="EU25" s="82"/>
      <c r="EV25" s="82"/>
      <c r="EW25" s="81">
        <f t="shared" si="32"/>
        <v>1044000000</v>
      </c>
      <c r="EX25" s="86">
        <f t="shared" si="32"/>
        <v>1050000000</v>
      </c>
      <c r="EY25" s="86">
        <f t="shared" si="33"/>
        <v>1050000000</v>
      </c>
      <c r="EZ25" s="86">
        <f t="shared" si="33"/>
        <v>1050000000</v>
      </c>
      <c r="FA25" s="176"/>
      <c r="FB25" s="83"/>
      <c r="FC25" s="84"/>
      <c r="FD25" s="84"/>
      <c r="FE25" s="84"/>
      <c r="FF25" s="140"/>
      <c r="FG25" s="83"/>
      <c r="FH25" s="83"/>
      <c r="FI25" s="83"/>
      <c r="FJ25" s="83"/>
      <c r="FK25" s="83"/>
      <c r="FL25" s="83"/>
      <c r="FM25" s="667"/>
      <c r="FN25" s="83"/>
      <c r="FO25" s="83"/>
      <c r="FP25" s="83"/>
      <c r="FQ25" s="83"/>
      <c r="FR25" s="83"/>
      <c r="FS25" s="83"/>
      <c r="FT25" s="83"/>
      <c r="FU25" s="83"/>
      <c r="FV25" s="83"/>
      <c r="FW25" s="83"/>
      <c r="FX25" s="83"/>
      <c r="FY25" s="83"/>
      <c r="FZ25" s="83"/>
      <c r="GA25" s="82">
        <v>1167776058.48</v>
      </c>
      <c r="GB25" s="82">
        <v>1190000000</v>
      </c>
      <c r="GC25" s="82">
        <v>1190000000</v>
      </c>
      <c r="GD25" s="82"/>
      <c r="GE25" s="82"/>
      <c r="GF25" s="83"/>
      <c r="GG25" s="83"/>
      <c r="GH25" s="83"/>
      <c r="GI25" s="83"/>
      <c r="GJ25" s="83"/>
      <c r="GK25" s="83"/>
      <c r="GL25" s="83"/>
      <c r="GM25" s="83"/>
      <c r="GN25" s="83"/>
      <c r="GO25" s="83"/>
      <c r="GP25" s="83"/>
      <c r="GQ25" s="83"/>
      <c r="GR25" s="83"/>
      <c r="GS25" s="83"/>
      <c r="GT25" s="83"/>
      <c r="GU25" s="81">
        <f t="shared" si="34"/>
        <v>1167776058.48</v>
      </c>
      <c r="GV25" s="81">
        <f t="shared" si="37"/>
        <v>1190000000</v>
      </c>
      <c r="GW25" s="81">
        <f t="shared" si="37"/>
        <v>1190000000</v>
      </c>
      <c r="GX25" s="81">
        <f t="shared" si="37"/>
        <v>0</v>
      </c>
      <c r="GY25" s="673">
        <f t="shared" si="37"/>
        <v>0</v>
      </c>
      <c r="GZ25" s="67">
        <f t="shared" si="36"/>
        <v>4295739107.7700005</v>
      </c>
    </row>
    <row r="26" spans="1:208" ht="79.5" customHeight="1" x14ac:dyDescent="0.2">
      <c r="A26" s="245"/>
      <c r="B26" s="245"/>
      <c r="C26" s="277"/>
      <c r="D26" s="303"/>
      <c r="E26" s="718"/>
      <c r="F26" s="718"/>
      <c r="G26" s="273">
        <v>13</v>
      </c>
      <c r="H26" s="261" t="s">
        <v>98</v>
      </c>
      <c r="I26" s="258" t="s">
        <v>99</v>
      </c>
      <c r="J26" s="262" t="s">
        <v>87</v>
      </c>
      <c r="K26" s="262">
        <v>3</v>
      </c>
      <c r="L26" s="262" t="s">
        <v>58</v>
      </c>
      <c r="M26" s="265">
        <v>0</v>
      </c>
      <c r="N26" s="265">
        <v>2</v>
      </c>
      <c r="O26" s="265">
        <v>2</v>
      </c>
      <c r="P26" s="312">
        <v>0</v>
      </c>
      <c r="Q26" s="265">
        <v>2</v>
      </c>
      <c r="R26" s="268"/>
      <c r="S26" s="266">
        <v>0</v>
      </c>
      <c r="T26" s="265">
        <v>2</v>
      </c>
      <c r="U26" s="265"/>
      <c r="V26" s="266">
        <v>1</v>
      </c>
      <c r="W26" s="265">
        <v>0</v>
      </c>
      <c r="X26" s="265"/>
      <c r="Y26" s="657"/>
      <c r="Z26" s="272">
        <f t="shared" si="25"/>
        <v>0.11699521889421687</v>
      </c>
      <c r="AA26" s="273">
        <v>6</v>
      </c>
      <c r="AB26" s="274" t="s">
        <v>82</v>
      </c>
      <c r="AC26" s="53"/>
      <c r="AD26" s="54"/>
      <c r="AE26" s="54"/>
      <c r="AF26" s="54"/>
      <c r="AG26" s="53"/>
      <c r="AH26" s="54"/>
      <c r="AI26" s="54"/>
      <c r="AJ26" s="54"/>
      <c r="AK26" s="53"/>
      <c r="AL26" s="54"/>
      <c r="AM26" s="54"/>
      <c r="AN26" s="54"/>
      <c r="AO26" s="53"/>
      <c r="AP26" s="54"/>
      <c r="AQ26" s="54"/>
      <c r="AR26" s="54"/>
      <c r="AS26" s="53"/>
      <c r="AT26" s="54"/>
      <c r="AU26" s="54"/>
      <c r="AV26" s="54"/>
      <c r="AW26" s="57">
        <v>270132263.98000002</v>
      </c>
      <c r="AX26" s="54">
        <v>270132263.98000002</v>
      </c>
      <c r="AY26" s="54">
        <v>270132263.98000002</v>
      </c>
      <c r="AZ26" s="58">
        <v>270132263.98000002</v>
      </c>
      <c r="BA26" s="53"/>
      <c r="BB26" s="54"/>
      <c r="BC26" s="54"/>
      <c r="BD26" s="54"/>
      <c r="BE26" s="53"/>
      <c r="BF26" s="54"/>
      <c r="BG26" s="54"/>
      <c r="BH26" s="54"/>
      <c r="BI26" s="53"/>
      <c r="BJ26" s="54"/>
      <c r="BK26" s="54"/>
      <c r="BL26" s="54"/>
      <c r="BM26" s="53">
        <f t="shared" si="26"/>
        <v>270132263.98000002</v>
      </c>
      <c r="BN26" s="54">
        <f t="shared" si="27"/>
        <v>270132263.98000002</v>
      </c>
      <c r="BO26" s="54">
        <f t="shared" si="27"/>
        <v>270132263.98000002</v>
      </c>
      <c r="BP26" s="54">
        <f t="shared" si="27"/>
        <v>270132263.98000002</v>
      </c>
      <c r="BQ26" s="83"/>
      <c r="BR26" s="83"/>
      <c r="BS26" s="83"/>
      <c r="BT26" s="83"/>
      <c r="BU26" s="83"/>
      <c r="BV26" s="83"/>
      <c r="BW26" s="83"/>
      <c r="BX26" s="83"/>
      <c r="BY26" s="83"/>
      <c r="BZ26" s="83"/>
      <c r="CA26" s="83"/>
      <c r="CB26" s="83"/>
      <c r="CC26" s="83"/>
      <c r="CD26" s="83"/>
      <c r="CE26" s="83"/>
      <c r="CF26" s="83"/>
      <c r="CG26" s="83"/>
      <c r="CH26" s="83"/>
      <c r="CI26" s="83"/>
      <c r="CJ26" s="83"/>
      <c r="CK26" s="83"/>
      <c r="CL26" s="83"/>
      <c r="CM26" s="82">
        <v>265000000</v>
      </c>
      <c r="CN26" s="82">
        <v>265000000</v>
      </c>
      <c r="CO26" s="82">
        <v>265000000</v>
      </c>
      <c r="CP26" s="82">
        <v>265000000</v>
      </c>
      <c r="CQ26" s="83"/>
      <c r="CR26" s="83"/>
      <c r="CS26" s="83"/>
      <c r="CT26" s="83"/>
      <c r="CU26" s="83"/>
      <c r="CV26" s="83"/>
      <c r="CW26" s="83"/>
      <c r="CX26" s="83"/>
      <c r="CY26" s="83"/>
      <c r="CZ26" s="83"/>
      <c r="DA26" s="83"/>
      <c r="DB26" s="83"/>
      <c r="DC26" s="83"/>
      <c r="DD26" s="83"/>
      <c r="DE26" s="81">
        <f t="shared" si="28"/>
        <v>265000000</v>
      </c>
      <c r="DF26" s="95">
        <f t="shared" si="29"/>
        <v>265000000</v>
      </c>
      <c r="DG26" s="95">
        <f t="shared" si="30"/>
        <v>265000000</v>
      </c>
      <c r="DH26" s="95">
        <f t="shared" si="31"/>
        <v>265000000</v>
      </c>
      <c r="DI26" s="95"/>
      <c r="DJ26" s="82"/>
      <c r="DK26" s="82"/>
      <c r="DL26" s="82"/>
      <c r="DM26" s="82"/>
      <c r="DN26" s="82"/>
      <c r="DO26" s="82"/>
      <c r="DP26" s="82"/>
      <c r="DQ26" s="82"/>
      <c r="DR26" s="82"/>
      <c r="DS26" s="82"/>
      <c r="DT26" s="82"/>
      <c r="DU26" s="82"/>
      <c r="DV26" s="82"/>
      <c r="DW26" s="82"/>
      <c r="DX26" s="82"/>
      <c r="DY26" s="82"/>
      <c r="DZ26" s="82"/>
      <c r="EA26" s="82"/>
      <c r="EB26" s="82"/>
      <c r="EC26" s="82"/>
      <c r="ED26" s="82"/>
      <c r="EE26" s="82"/>
      <c r="EF26" s="65">
        <v>270903940.27219999</v>
      </c>
      <c r="EG26" s="82">
        <v>300000000</v>
      </c>
      <c r="EH26" s="82">
        <v>300000000</v>
      </c>
      <c r="EI26" s="82">
        <v>300000000</v>
      </c>
      <c r="EJ26" s="82"/>
      <c r="EK26" s="82"/>
      <c r="EL26" s="82"/>
      <c r="EM26" s="82"/>
      <c r="EN26" s="82"/>
      <c r="EO26" s="82"/>
      <c r="EP26" s="82"/>
      <c r="EQ26" s="82"/>
      <c r="ER26" s="82"/>
      <c r="ES26" s="82"/>
      <c r="ET26" s="82"/>
      <c r="EU26" s="82"/>
      <c r="EV26" s="82"/>
      <c r="EW26" s="81">
        <f t="shared" si="32"/>
        <v>270903940.27219999</v>
      </c>
      <c r="EX26" s="86">
        <f t="shared" si="32"/>
        <v>300000000</v>
      </c>
      <c r="EY26" s="86">
        <f t="shared" si="33"/>
        <v>300000000</v>
      </c>
      <c r="EZ26" s="86">
        <f t="shared" si="33"/>
        <v>300000000</v>
      </c>
      <c r="FA26" s="176"/>
      <c r="FB26" s="83"/>
      <c r="FC26" s="84"/>
      <c r="FD26" s="84"/>
      <c r="FE26" s="84"/>
      <c r="FF26" s="140"/>
      <c r="FG26" s="83"/>
      <c r="FH26" s="83"/>
      <c r="FI26" s="83"/>
      <c r="FJ26" s="83"/>
      <c r="FK26" s="83"/>
      <c r="FL26" s="83"/>
      <c r="FM26" s="667"/>
      <c r="FN26" s="83"/>
      <c r="FO26" s="83"/>
      <c r="FP26" s="83"/>
      <c r="FQ26" s="83"/>
      <c r="FR26" s="83"/>
      <c r="FS26" s="83"/>
      <c r="FT26" s="83"/>
      <c r="FU26" s="83"/>
      <c r="FV26" s="83"/>
      <c r="FW26" s="83"/>
      <c r="FX26" s="83"/>
      <c r="FY26" s="83"/>
      <c r="FZ26" s="83"/>
      <c r="GA26" s="82">
        <v>0</v>
      </c>
      <c r="GB26" s="82"/>
      <c r="GC26" s="82"/>
      <c r="GD26" s="82"/>
      <c r="GE26" s="82"/>
      <c r="GF26" s="83"/>
      <c r="GG26" s="83"/>
      <c r="GH26" s="83"/>
      <c r="GI26" s="83"/>
      <c r="GJ26" s="83"/>
      <c r="GK26" s="83"/>
      <c r="GL26" s="83"/>
      <c r="GM26" s="83"/>
      <c r="GN26" s="83"/>
      <c r="GO26" s="83"/>
      <c r="GP26" s="83"/>
      <c r="GQ26" s="83"/>
      <c r="GR26" s="83"/>
      <c r="GS26" s="83"/>
      <c r="GT26" s="83"/>
      <c r="GU26" s="81">
        <f t="shared" si="34"/>
        <v>0</v>
      </c>
      <c r="GV26" s="81">
        <f t="shared" si="37"/>
        <v>0</v>
      </c>
      <c r="GW26" s="81">
        <f t="shared" si="37"/>
        <v>0</v>
      </c>
      <c r="GX26" s="81">
        <f t="shared" si="37"/>
        <v>0</v>
      </c>
      <c r="GY26" s="673">
        <f t="shared" si="37"/>
        <v>0</v>
      </c>
      <c r="GZ26" s="67">
        <f t="shared" si="36"/>
        <v>806036204.25220001</v>
      </c>
    </row>
    <row r="27" spans="1:208" ht="24.75" customHeight="1" x14ac:dyDescent="0.2">
      <c r="A27" s="245"/>
      <c r="B27" s="245"/>
      <c r="C27" s="246">
        <v>3</v>
      </c>
      <c r="D27" s="247" t="s">
        <v>100</v>
      </c>
      <c r="E27" s="313"/>
      <c r="F27" s="295"/>
      <c r="G27" s="249"/>
      <c r="H27" s="295"/>
      <c r="I27" s="295"/>
      <c r="J27" s="249"/>
      <c r="K27" s="249"/>
      <c r="L27" s="296"/>
      <c r="M27" s="295"/>
      <c r="N27" s="295"/>
      <c r="O27" s="297"/>
      <c r="P27" s="297"/>
      <c r="Q27" s="295"/>
      <c r="R27" s="298"/>
      <c r="S27" s="297"/>
      <c r="T27" s="295"/>
      <c r="U27" s="295"/>
      <c r="V27" s="297"/>
      <c r="W27" s="249"/>
      <c r="X27" s="663"/>
      <c r="Y27" s="296"/>
      <c r="Z27" s="299"/>
      <c r="AA27" s="249"/>
      <c r="AB27" s="249"/>
      <c r="AC27" s="186">
        <f t="shared" ref="AC27:BL27" si="38">SUM(AC28:AC34)</f>
        <v>0</v>
      </c>
      <c r="AD27" s="186">
        <f t="shared" si="38"/>
        <v>0</v>
      </c>
      <c r="AE27" s="186">
        <f t="shared" si="38"/>
        <v>0</v>
      </c>
      <c r="AF27" s="186">
        <f t="shared" si="38"/>
        <v>0</v>
      </c>
      <c r="AG27" s="186">
        <f t="shared" si="38"/>
        <v>0</v>
      </c>
      <c r="AH27" s="186">
        <f t="shared" si="38"/>
        <v>0</v>
      </c>
      <c r="AI27" s="186">
        <f t="shared" si="38"/>
        <v>0</v>
      </c>
      <c r="AJ27" s="186">
        <f t="shared" si="38"/>
        <v>0</v>
      </c>
      <c r="AK27" s="186">
        <f t="shared" si="38"/>
        <v>709366350</v>
      </c>
      <c r="AL27" s="186">
        <f t="shared" si="38"/>
        <v>709366350</v>
      </c>
      <c r="AM27" s="186">
        <f t="shared" si="38"/>
        <v>307269997</v>
      </c>
      <c r="AN27" s="186">
        <f t="shared" si="38"/>
        <v>307269997</v>
      </c>
      <c r="AO27" s="186">
        <f t="shared" si="38"/>
        <v>0</v>
      </c>
      <c r="AP27" s="186">
        <f t="shared" si="38"/>
        <v>0</v>
      </c>
      <c r="AQ27" s="186">
        <f t="shared" si="38"/>
        <v>0</v>
      </c>
      <c r="AR27" s="186">
        <f t="shared" si="38"/>
        <v>0</v>
      </c>
      <c r="AS27" s="186">
        <f t="shared" si="38"/>
        <v>0</v>
      </c>
      <c r="AT27" s="186">
        <f t="shared" si="38"/>
        <v>0</v>
      </c>
      <c r="AU27" s="186">
        <f t="shared" si="38"/>
        <v>0</v>
      </c>
      <c r="AV27" s="186">
        <f t="shared" si="38"/>
        <v>0</v>
      </c>
      <c r="AW27" s="186">
        <f t="shared" si="38"/>
        <v>0</v>
      </c>
      <c r="AX27" s="186">
        <f t="shared" si="38"/>
        <v>0</v>
      </c>
      <c r="AY27" s="186">
        <f t="shared" si="38"/>
        <v>0</v>
      </c>
      <c r="AZ27" s="186">
        <f t="shared" si="38"/>
        <v>0</v>
      </c>
      <c r="BA27" s="186">
        <f t="shared" si="38"/>
        <v>0</v>
      </c>
      <c r="BB27" s="186">
        <f t="shared" si="38"/>
        <v>0</v>
      </c>
      <c r="BC27" s="186">
        <f t="shared" si="38"/>
        <v>0</v>
      </c>
      <c r="BD27" s="186">
        <f t="shared" si="38"/>
        <v>0</v>
      </c>
      <c r="BE27" s="186">
        <f t="shared" si="38"/>
        <v>0</v>
      </c>
      <c r="BF27" s="186">
        <f t="shared" si="38"/>
        <v>0</v>
      </c>
      <c r="BG27" s="186">
        <f t="shared" si="38"/>
        <v>0</v>
      </c>
      <c r="BH27" s="186">
        <f t="shared" si="38"/>
        <v>0</v>
      </c>
      <c r="BI27" s="186">
        <f t="shared" si="38"/>
        <v>0</v>
      </c>
      <c r="BJ27" s="186">
        <f t="shared" si="38"/>
        <v>0</v>
      </c>
      <c r="BK27" s="186">
        <f t="shared" si="38"/>
        <v>0</v>
      </c>
      <c r="BL27" s="186">
        <f t="shared" si="38"/>
        <v>0</v>
      </c>
      <c r="BM27" s="186">
        <f t="shared" ref="BM27:DX27" si="39">SUM(BM28:BM34)</f>
        <v>709366350</v>
      </c>
      <c r="BN27" s="186">
        <f t="shared" si="39"/>
        <v>709366350</v>
      </c>
      <c r="BO27" s="186">
        <f t="shared" si="39"/>
        <v>307269997</v>
      </c>
      <c r="BP27" s="186">
        <f t="shared" si="39"/>
        <v>307269997</v>
      </c>
      <c r="BQ27" s="186">
        <f t="shared" si="39"/>
        <v>0</v>
      </c>
      <c r="BR27" s="186">
        <f t="shared" si="39"/>
        <v>0</v>
      </c>
      <c r="BS27" s="186">
        <f t="shared" si="39"/>
        <v>0</v>
      </c>
      <c r="BT27" s="186">
        <f t="shared" si="39"/>
        <v>0</v>
      </c>
      <c r="BU27" s="186">
        <f t="shared" si="39"/>
        <v>0</v>
      </c>
      <c r="BV27" s="186">
        <f t="shared" si="39"/>
        <v>368000000</v>
      </c>
      <c r="BW27" s="186">
        <f t="shared" si="39"/>
        <v>122298310</v>
      </c>
      <c r="BX27" s="186">
        <f t="shared" si="39"/>
        <v>122298310</v>
      </c>
      <c r="BY27" s="186">
        <f t="shared" si="39"/>
        <v>0</v>
      </c>
      <c r="BZ27" s="186">
        <f t="shared" si="39"/>
        <v>579591884.66919994</v>
      </c>
      <c r="CA27" s="186">
        <f t="shared" si="39"/>
        <v>672044406</v>
      </c>
      <c r="CB27" s="186">
        <f t="shared" si="39"/>
        <v>364675668</v>
      </c>
      <c r="CC27" s="186">
        <f t="shared" si="39"/>
        <v>364675668</v>
      </c>
      <c r="CD27" s="186">
        <f t="shared" si="39"/>
        <v>0</v>
      </c>
      <c r="CE27" s="186">
        <f t="shared" si="39"/>
        <v>0</v>
      </c>
      <c r="CF27" s="186">
        <f t="shared" si="39"/>
        <v>0</v>
      </c>
      <c r="CG27" s="186">
        <f t="shared" si="39"/>
        <v>0</v>
      </c>
      <c r="CH27" s="186">
        <f t="shared" si="39"/>
        <v>0</v>
      </c>
      <c r="CI27" s="186">
        <f t="shared" si="39"/>
        <v>0</v>
      </c>
      <c r="CJ27" s="186">
        <f t="shared" si="39"/>
        <v>0</v>
      </c>
      <c r="CK27" s="186">
        <f t="shared" si="39"/>
        <v>0</v>
      </c>
      <c r="CL27" s="186">
        <f t="shared" si="39"/>
        <v>0</v>
      </c>
      <c r="CM27" s="186">
        <f t="shared" si="39"/>
        <v>0</v>
      </c>
      <c r="CN27" s="186">
        <f t="shared" si="39"/>
        <v>0</v>
      </c>
      <c r="CO27" s="186">
        <f t="shared" si="39"/>
        <v>0</v>
      </c>
      <c r="CP27" s="186">
        <f t="shared" si="39"/>
        <v>0</v>
      </c>
      <c r="CQ27" s="186">
        <f t="shared" si="39"/>
        <v>0</v>
      </c>
      <c r="CR27" s="186">
        <f t="shared" si="39"/>
        <v>0</v>
      </c>
      <c r="CS27" s="186">
        <f t="shared" si="39"/>
        <v>0</v>
      </c>
      <c r="CT27" s="186">
        <f t="shared" si="39"/>
        <v>0</v>
      </c>
      <c r="CU27" s="186">
        <f t="shared" si="39"/>
        <v>0</v>
      </c>
      <c r="CV27" s="186">
        <f t="shared" si="39"/>
        <v>0</v>
      </c>
      <c r="CW27" s="186">
        <f t="shared" si="39"/>
        <v>0</v>
      </c>
      <c r="CX27" s="186">
        <f t="shared" si="39"/>
        <v>0</v>
      </c>
      <c r="CY27" s="186">
        <f t="shared" si="39"/>
        <v>0</v>
      </c>
      <c r="CZ27" s="186">
        <f t="shared" si="39"/>
        <v>0</v>
      </c>
      <c r="DA27" s="186">
        <f t="shared" si="39"/>
        <v>0</v>
      </c>
      <c r="DB27" s="186">
        <f t="shared" si="39"/>
        <v>0</v>
      </c>
      <c r="DC27" s="186">
        <f t="shared" si="39"/>
        <v>0</v>
      </c>
      <c r="DD27" s="186">
        <f t="shared" si="39"/>
        <v>0</v>
      </c>
      <c r="DE27" s="186">
        <f t="shared" si="39"/>
        <v>579591884.66919994</v>
      </c>
      <c r="DF27" s="186">
        <f t="shared" si="39"/>
        <v>1040044406</v>
      </c>
      <c r="DG27" s="186">
        <f t="shared" si="39"/>
        <v>486973978</v>
      </c>
      <c r="DH27" s="186">
        <f t="shared" si="39"/>
        <v>486973978</v>
      </c>
      <c r="DI27" s="186">
        <f t="shared" si="39"/>
        <v>0</v>
      </c>
      <c r="DJ27" s="186">
        <f t="shared" si="39"/>
        <v>0</v>
      </c>
      <c r="DK27" s="186">
        <f t="shared" si="39"/>
        <v>0</v>
      </c>
      <c r="DL27" s="186">
        <f t="shared" si="39"/>
        <v>0</v>
      </c>
      <c r="DM27" s="186">
        <f t="shared" si="39"/>
        <v>0</v>
      </c>
      <c r="DN27" s="186">
        <f t="shared" si="39"/>
        <v>0</v>
      </c>
      <c r="DO27" s="186">
        <f t="shared" si="39"/>
        <v>592289786</v>
      </c>
      <c r="DP27" s="186">
        <f t="shared" si="39"/>
        <v>36450000</v>
      </c>
      <c r="DQ27" s="186">
        <f t="shared" si="39"/>
        <v>36450000</v>
      </c>
      <c r="DR27" s="186">
        <f t="shared" si="39"/>
        <v>0</v>
      </c>
      <c r="DS27" s="186">
        <f t="shared" si="39"/>
        <v>596979641.20930004</v>
      </c>
      <c r="DT27" s="186">
        <f t="shared" si="39"/>
        <v>758472658</v>
      </c>
      <c r="DU27" s="186">
        <f t="shared" si="39"/>
        <v>340272150</v>
      </c>
      <c r="DV27" s="186">
        <f t="shared" si="39"/>
        <v>340272150</v>
      </c>
      <c r="DW27" s="186">
        <f t="shared" si="39"/>
        <v>0</v>
      </c>
      <c r="DX27" s="186">
        <f t="shared" si="39"/>
        <v>0</v>
      </c>
      <c r="DY27" s="186">
        <f t="shared" ref="DY27:EW27" si="40">SUM(DY28:DY34)</f>
        <v>0</v>
      </c>
      <c r="DZ27" s="186">
        <f t="shared" si="40"/>
        <v>0</v>
      </c>
      <c r="EA27" s="186">
        <f t="shared" si="40"/>
        <v>0</v>
      </c>
      <c r="EB27" s="186">
        <f t="shared" si="40"/>
        <v>0</v>
      </c>
      <c r="EC27" s="186">
        <f t="shared" si="40"/>
        <v>0</v>
      </c>
      <c r="ED27" s="186">
        <f t="shared" si="40"/>
        <v>0</v>
      </c>
      <c r="EE27" s="186">
        <f t="shared" si="40"/>
        <v>0</v>
      </c>
      <c r="EF27" s="186">
        <f t="shared" si="40"/>
        <v>0</v>
      </c>
      <c r="EG27" s="186">
        <f t="shared" si="40"/>
        <v>0</v>
      </c>
      <c r="EH27" s="186">
        <f t="shared" si="40"/>
        <v>0</v>
      </c>
      <c r="EI27" s="186">
        <f t="shared" si="40"/>
        <v>0</v>
      </c>
      <c r="EJ27" s="186">
        <f t="shared" si="40"/>
        <v>0</v>
      </c>
      <c r="EK27" s="186">
        <f t="shared" si="40"/>
        <v>0</v>
      </c>
      <c r="EL27" s="186">
        <f t="shared" si="40"/>
        <v>0</v>
      </c>
      <c r="EM27" s="186">
        <f t="shared" si="40"/>
        <v>0</v>
      </c>
      <c r="EN27" s="186">
        <f t="shared" si="40"/>
        <v>0</v>
      </c>
      <c r="EO27" s="186">
        <f t="shared" si="40"/>
        <v>0</v>
      </c>
      <c r="EP27" s="186">
        <f t="shared" si="40"/>
        <v>0</v>
      </c>
      <c r="EQ27" s="186">
        <f t="shared" si="40"/>
        <v>0</v>
      </c>
      <c r="ER27" s="186">
        <f t="shared" si="40"/>
        <v>0</v>
      </c>
      <c r="ES27" s="186">
        <f t="shared" si="40"/>
        <v>0</v>
      </c>
      <c r="ET27" s="186">
        <f t="shared" si="40"/>
        <v>0</v>
      </c>
      <c r="EU27" s="186">
        <f t="shared" si="40"/>
        <v>0</v>
      </c>
      <c r="EV27" s="186">
        <f t="shared" si="40"/>
        <v>0</v>
      </c>
      <c r="EW27" s="186">
        <f t="shared" si="40"/>
        <v>596979641.20930004</v>
      </c>
      <c r="EX27" s="186">
        <f t="shared" ref="EX27:EY27" si="41">SUM(EX28:EX34)</f>
        <v>1350762444</v>
      </c>
      <c r="EY27" s="186">
        <f t="shared" si="41"/>
        <v>376722150</v>
      </c>
      <c r="EZ27" s="186">
        <f>SUM(EZ28:EZ34)</f>
        <v>376722150</v>
      </c>
      <c r="FA27" s="186">
        <f>SUM(FA28:FA34)</f>
        <v>0</v>
      </c>
      <c r="FB27" s="601">
        <f t="shared" ref="FB27:GZ27" si="42">SUM(FB28:FB34)</f>
        <v>0</v>
      </c>
      <c r="FC27" s="186">
        <f t="shared" si="42"/>
        <v>0</v>
      </c>
      <c r="FD27" s="186">
        <f t="shared" si="42"/>
        <v>0</v>
      </c>
      <c r="FE27" s="186">
        <f t="shared" si="42"/>
        <v>0</v>
      </c>
      <c r="FF27" s="186">
        <f t="shared" si="42"/>
        <v>0</v>
      </c>
      <c r="FG27" s="186">
        <f t="shared" si="42"/>
        <v>0</v>
      </c>
      <c r="FH27" s="186">
        <f t="shared" si="42"/>
        <v>826000000</v>
      </c>
      <c r="FI27" s="186">
        <f t="shared" si="42"/>
        <v>0</v>
      </c>
      <c r="FJ27" s="186">
        <f t="shared" si="42"/>
        <v>0</v>
      </c>
      <c r="FK27" s="186">
        <f t="shared" si="42"/>
        <v>0</v>
      </c>
      <c r="FL27" s="186">
        <f t="shared" si="42"/>
        <v>614889030</v>
      </c>
      <c r="FM27" s="186">
        <f t="shared" si="42"/>
        <v>880575596</v>
      </c>
      <c r="FN27" s="186">
        <f t="shared" si="42"/>
        <v>201196480</v>
      </c>
      <c r="FO27" s="186">
        <f t="shared" si="42"/>
        <v>135934400</v>
      </c>
      <c r="FP27" s="186">
        <f t="shared" si="42"/>
        <v>0</v>
      </c>
      <c r="FQ27" s="186">
        <f t="shared" si="42"/>
        <v>0</v>
      </c>
      <c r="FR27" s="186">
        <f t="shared" si="42"/>
        <v>0</v>
      </c>
      <c r="FS27" s="186">
        <f t="shared" si="42"/>
        <v>0</v>
      </c>
      <c r="FT27" s="186">
        <f t="shared" si="42"/>
        <v>0</v>
      </c>
      <c r="FU27" s="186">
        <f t="shared" si="42"/>
        <v>0</v>
      </c>
      <c r="FV27" s="186">
        <f t="shared" si="42"/>
        <v>0</v>
      </c>
      <c r="FW27" s="186">
        <f t="shared" si="42"/>
        <v>0</v>
      </c>
      <c r="FX27" s="186">
        <f t="shared" si="42"/>
        <v>0</v>
      </c>
      <c r="FY27" s="186">
        <f t="shared" si="42"/>
        <v>0</v>
      </c>
      <c r="FZ27" s="186">
        <f t="shared" si="42"/>
        <v>0</v>
      </c>
      <c r="GA27" s="186">
        <f t="shared" si="42"/>
        <v>0</v>
      </c>
      <c r="GB27" s="186">
        <f t="shared" si="42"/>
        <v>0</v>
      </c>
      <c r="GC27" s="186">
        <f t="shared" si="42"/>
        <v>0</v>
      </c>
      <c r="GD27" s="186">
        <f t="shared" si="42"/>
        <v>0</v>
      </c>
      <c r="GE27" s="186">
        <f t="shared" si="42"/>
        <v>0</v>
      </c>
      <c r="GF27" s="186">
        <f t="shared" si="42"/>
        <v>0</v>
      </c>
      <c r="GG27" s="186">
        <f t="shared" si="42"/>
        <v>0</v>
      </c>
      <c r="GH27" s="186">
        <f t="shared" si="42"/>
        <v>0</v>
      </c>
      <c r="GI27" s="186">
        <f t="shared" si="42"/>
        <v>0</v>
      </c>
      <c r="GJ27" s="186">
        <f t="shared" si="42"/>
        <v>0</v>
      </c>
      <c r="GK27" s="186">
        <f t="shared" si="42"/>
        <v>0</v>
      </c>
      <c r="GL27" s="186">
        <f t="shared" si="42"/>
        <v>0</v>
      </c>
      <c r="GM27" s="186">
        <f t="shared" si="42"/>
        <v>0</v>
      </c>
      <c r="GN27" s="186">
        <f t="shared" si="42"/>
        <v>0</v>
      </c>
      <c r="GO27" s="186">
        <f t="shared" si="42"/>
        <v>0</v>
      </c>
      <c r="GP27" s="186">
        <f t="shared" si="42"/>
        <v>0</v>
      </c>
      <c r="GQ27" s="186">
        <f t="shared" si="42"/>
        <v>0</v>
      </c>
      <c r="GR27" s="186">
        <f t="shared" si="42"/>
        <v>0</v>
      </c>
      <c r="GS27" s="186">
        <f t="shared" si="42"/>
        <v>0</v>
      </c>
      <c r="GT27" s="186">
        <f t="shared" si="42"/>
        <v>0</v>
      </c>
      <c r="GU27" s="186">
        <f t="shared" si="42"/>
        <v>614889030</v>
      </c>
      <c r="GV27" s="186">
        <f t="shared" si="42"/>
        <v>1706575596</v>
      </c>
      <c r="GW27" s="186">
        <f t="shared" si="42"/>
        <v>201196480</v>
      </c>
      <c r="GX27" s="186">
        <f t="shared" si="42"/>
        <v>135934400</v>
      </c>
      <c r="GY27" s="186">
        <f t="shared" si="42"/>
        <v>0</v>
      </c>
      <c r="GZ27" s="186">
        <f t="shared" si="42"/>
        <v>2500826905.8785</v>
      </c>
    </row>
    <row r="28" spans="1:208" s="276" customFormat="1" ht="145.5" customHeight="1" x14ac:dyDescent="0.25">
      <c r="A28" s="245"/>
      <c r="B28" s="245"/>
      <c r="C28" s="456">
        <v>4</v>
      </c>
      <c r="D28" s="721" t="s">
        <v>101</v>
      </c>
      <c r="E28" s="417" t="s">
        <v>61</v>
      </c>
      <c r="F28" s="417" t="s">
        <v>62</v>
      </c>
      <c r="G28" s="260">
        <v>14</v>
      </c>
      <c r="H28" s="261" t="s">
        <v>102</v>
      </c>
      <c r="I28" s="258" t="s">
        <v>103</v>
      </c>
      <c r="J28" s="262" t="s">
        <v>57</v>
      </c>
      <c r="K28" s="262">
        <v>10</v>
      </c>
      <c r="L28" s="262" t="s">
        <v>58</v>
      </c>
      <c r="M28" s="265">
        <v>2</v>
      </c>
      <c r="N28" s="265">
        <v>6</v>
      </c>
      <c r="O28" s="265">
        <v>6</v>
      </c>
      <c r="P28" s="266">
        <v>6</v>
      </c>
      <c r="Q28" s="265">
        <v>6</v>
      </c>
      <c r="R28" s="268"/>
      <c r="S28" s="314">
        <v>6</v>
      </c>
      <c r="T28" s="265">
        <v>6</v>
      </c>
      <c r="U28" s="265"/>
      <c r="V28" s="266">
        <v>6</v>
      </c>
      <c r="W28" s="265">
        <v>6</v>
      </c>
      <c r="X28" s="265"/>
      <c r="Y28" s="654">
        <v>0.6</v>
      </c>
      <c r="Z28" s="315">
        <f t="shared" ref="Z28:Z34" si="43">BM28/$BM$27</f>
        <v>0.68157948287228454</v>
      </c>
      <c r="AA28" s="264">
        <v>15</v>
      </c>
      <c r="AB28" s="274" t="s">
        <v>59</v>
      </c>
      <c r="AC28" s="53"/>
      <c r="AD28" s="54"/>
      <c r="AE28" s="54"/>
      <c r="AF28" s="54"/>
      <c r="AG28" s="53"/>
      <c r="AH28" s="54"/>
      <c r="AI28" s="54"/>
      <c r="AJ28" s="54"/>
      <c r="AK28" s="57">
        <v>483489550</v>
      </c>
      <c r="AL28" s="59">
        <v>483489550</v>
      </c>
      <c r="AM28" s="55">
        <v>263896665</v>
      </c>
      <c r="AN28" s="55">
        <v>263896665</v>
      </c>
      <c r="AO28" s="57"/>
      <c r="AP28" s="58"/>
      <c r="AQ28" s="58"/>
      <c r="AR28" s="58"/>
      <c r="AS28" s="57"/>
      <c r="AT28" s="58"/>
      <c r="AU28" s="59"/>
      <c r="AV28" s="54"/>
      <c r="AW28" s="53"/>
      <c r="AX28" s="54"/>
      <c r="AY28" s="54"/>
      <c r="AZ28" s="54"/>
      <c r="BA28" s="53"/>
      <c r="BB28" s="54"/>
      <c r="BC28" s="54"/>
      <c r="BD28" s="54"/>
      <c r="BE28" s="53"/>
      <c r="BF28" s="54"/>
      <c r="BG28" s="54"/>
      <c r="BH28" s="54"/>
      <c r="BI28" s="53"/>
      <c r="BJ28" s="54"/>
      <c r="BK28" s="54"/>
      <c r="BL28" s="54"/>
      <c r="BM28" s="53">
        <f t="shared" ref="BM28:BM34" si="44">+AC28+AG28+AK28+AO28+AS28+AW28+BA28+BE28+BI28</f>
        <v>483489550</v>
      </c>
      <c r="BN28" s="54">
        <f t="shared" ref="BN28:BP34" si="45">AD28+AH28+AL28+AP28+AT28+AX28+BB28+BF28+BJ28</f>
        <v>483489550</v>
      </c>
      <c r="BO28" s="54">
        <f t="shared" si="45"/>
        <v>263896665</v>
      </c>
      <c r="BP28" s="54">
        <f t="shared" si="45"/>
        <v>263896665</v>
      </c>
      <c r="BQ28" s="83"/>
      <c r="BR28" s="83"/>
      <c r="BS28" s="83"/>
      <c r="BT28" s="83"/>
      <c r="BU28" s="83"/>
      <c r="BV28" s="83">
        <v>219592885</v>
      </c>
      <c r="BW28" s="83">
        <v>0</v>
      </c>
      <c r="BX28" s="83">
        <v>0</v>
      </c>
      <c r="BY28" s="83"/>
      <c r="BZ28" s="83">
        <v>380191884.6692</v>
      </c>
      <c r="CA28" s="83">
        <v>471707173</v>
      </c>
      <c r="CB28" s="83">
        <v>358924668</v>
      </c>
      <c r="CC28" s="83">
        <v>358924668</v>
      </c>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1">
        <f t="shared" si="28"/>
        <v>380191884.6692</v>
      </c>
      <c r="DF28" s="95">
        <f t="shared" ref="DF28:DF34" si="46">BR28+BV28+CA28+CF28+CJ28+CN28+CR28+CW28+DB28</f>
        <v>691300058</v>
      </c>
      <c r="DG28" s="95">
        <f t="shared" ref="DG28:DG34" si="47">BS28+BW28+CB28+CG28+CK28+CO28+CS28+CX28+DC28</f>
        <v>358924668</v>
      </c>
      <c r="DH28" s="95">
        <f t="shared" ref="DH28:DH34" si="48">BT28+BX28+CC28+CH28+CL28+CP28+CT28+CY28+DD28</f>
        <v>358924668</v>
      </c>
      <c r="DI28" s="95"/>
      <c r="DJ28" s="83"/>
      <c r="DK28" s="82"/>
      <c r="DL28" s="83"/>
      <c r="DM28" s="83"/>
      <c r="DN28" s="83"/>
      <c r="DO28" s="83">
        <v>592289786</v>
      </c>
      <c r="DP28" s="83">
        <v>36450000</v>
      </c>
      <c r="DQ28" s="83">
        <v>36450000</v>
      </c>
      <c r="DR28" s="83"/>
      <c r="DS28" s="83">
        <v>398979641.20929998</v>
      </c>
      <c r="DT28" s="82">
        <v>529872658</v>
      </c>
      <c r="DU28" s="82">
        <v>295594804</v>
      </c>
      <c r="DV28" s="82">
        <v>295594804</v>
      </c>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1">
        <f t="shared" ref="EW28:EX34" si="49">DJ28+DN28+DS28+DX28+EB28+EF28+EJ28+EN28+ES28</f>
        <v>398979641.20929998</v>
      </c>
      <c r="EX28" s="86">
        <f t="shared" si="49"/>
        <v>1122162444</v>
      </c>
      <c r="EY28" s="86">
        <f t="shared" ref="EY28:EZ34" si="50">DL28+DP28+DU28+DZ28+ED28+EH28+EL28+EP28+EU28</f>
        <v>332044804</v>
      </c>
      <c r="EZ28" s="86">
        <f t="shared" si="50"/>
        <v>332044804</v>
      </c>
      <c r="FA28" s="176"/>
      <c r="FB28" s="83"/>
      <c r="FC28" s="84"/>
      <c r="FD28" s="84"/>
      <c r="FE28" s="84"/>
      <c r="FF28" s="140"/>
      <c r="FG28" s="83"/>
      <c r="FH28" s="83"/>
      <c r="FI28" s="83"/>
      <c r="FJ28" s="83"/>
      <c r="FK28" s="83"/>
      <c r="FL28" s="83">
        <v>0</v>
      </c>
      <c r="FM28" s="83">
        <v>267400000</v>
      </c>
      <c r="FN28" s="83">
        <v>173405400</v>
      </c>
      <c r="FO28" s="83">
        <v>118126400</v>
      </c>
      <c r="FP28" s="83"/>
      <c r="FQ28" s="83">
        <v>0</v>
      </c>
      <c r="FR28" s="83"/>
      <c r="FS28" s="83"/>
      <c r="FT28" s="83"/>
      <c r="FU28" s="83"/>
      <c r="FV28" s="83">
        <v>0</v>
      </c>
      <c r="FW28" s="83"/>
      <c r="FX28" s="83"/>
      <c r="FY28" s="83"/>
      <c r="FZ28" s="83"/>
      <c r="GA28" s="83">
        <v>0</v>
      </c>
      <c r="GB28" s="83"/>
      <c r="GC28" s="83"/>
      <c r="GD28" s="83"/>
      <c r="GE28" s="83"/>
      <c r="GF28" s="83">
        <v>0</v>
      </c>
      <c r="GG28" s="83"/>
      <c r="GH28" s="83"/>
      <c r="GI28" s="83"/>
      <c r="GJ28" s="83"/>
      <c r="GK28" s="83">
        <v>0</v>
      </c>
      <c r="GL28" s="83"/>
      <c r="GM28" s="83"/>
      <c r="GN28" s="83"/>
      <c r="GO28" s="83"/>
      <c r="GP28" s="83">
        <v>0</v>
      </c>
      <c r="GQ28" s="83"/>
      <c r="GR28" s="83"/>
      <c r="GS28" s="83"/>
      <c r="GT28" s="83"/>
      <c r="GU28" s="81">
        <f t="shared" ref="GU28:GU34" si="51">FB28+FG28+FL28+FQ28+FV28+GA28+GF28+GK28+GP28</f>
        <v>0</v>
      </c>
      <c r="GV28" s="81">
        <f t="shared" ref="GV28:GY34" si="52">GQ28+GL28+GG28+GB28+FW28+FR28+FM28+FH28</f>
        <v>267400000</v>
      </c>
      <c r="GW28" s="81">
        <f t="shared" si="52"/>
        <v>173405400</v>
      </c>
      <c r="GX28" s="81">
        <f t="shared" si="52"/>
        <v>118126400</v>
      </c>
      <c r="GY28" s="673">
        <f t="shared" si="52"/>
        <v>0</v>
      </c>
      <c r="GZ28" s="67">
        <f t="shared" ref="GZ28:GZ34" si="53">BM28+DE28+EW28+GU28</f>
        <v>1262661075.8785</v>
      </c>
    </row>
    <row r="29" spans="1:208" ht="168.75" customHeight="1" x14ac:dyDescent="0.2">
      <c r="A29" s="245"/>
      <c r="B29" s="245"/>
      <c r="C29" s="279"/>
      <c r="D29" s="722"/>
      <c r="E29" s="306"/>
      <c r="F29" s="306"/>
      <c r="G29" s="265">
        <v>15</v>
      </c>
      <c r="H29" s="261" t="s">
        <v>104</v>
      </c>
      <c r="I29" s="258" t="s">
        <v>105</v>
      </c>
      <c r="J29" s="262" t="s">
        <v>57</v>
      </c>
      <c r="K29" s="262">
        <v>10</v>
      </c>
      <c r="L29" s="263" t="s">
        <v>58</v>
      </c>
      <c r="M29" s="264">
        <v>0</v>
      </c>
      <c r="N29" s="264">
        <v>2</v>
      </c>
      <c r="O29" s="265">
        <v>2</v>
      </c>
      <c r="P29" s="266">
        <v>2</v>
      </c>
      <c r="Q29" s="264">
        <v>2</v>
      </c>
      <c r="R29" s="268"/>
      <c r="S29" s="286">
        <v>2</v>
      </c>
      <c r="T29" s="264">
        <v>2</v>
      </c>
      <c r="U29" s="264"/>
      <c r="V29" s="270">
        <v>2</v>
      </c>
      <c r="W29" s="264">
        <v>2</v>
      </c>
      <c r="X29" s="264"/>
      <c r="Y29" s="653">
        <v>0</v>
      </c>
      <c r="Z29" s="315">
        <f t="shared" si="43"/>
        <v>0.29237360920771049</v>
      </c>
      <c r="AA29" s="264">
        <v>15</v>
      </c>
      <c r="AB29" s="274" t="s">
        <v>59</v>
      </c>
      <c r="AC29" s="53"/>
      <c r="AD29" s="54"/>
      <c r="AE29" s="54"/>
      <c r="AF29" s="54"/>
      <c r="AG29" s="53"/>
      <c r="AH29" s="54"/>
      <c r="AI29" s="54"/>
      <c r="AJ29" s="54"/>
      <c r="AK29" s="57">
        <f>197400000+5000000+5000000</f>
        <v>207400000</v>
      </c>
      <c r="AL29" s="58">
        <v>207400000</v>
      </c>
      <c r="AM29" s="55">
        <v>29929999</v>
      </c>
      <c r="AN29" s="55">
        <v>29929999</v>
      </c>
      <c r="AO29" s="57"/>
      <c r="AP29" s="58"/>
      <c r="AQ29" s="58"/>
      <c r="AR29" s="58"/>
      <c r="AS29" s="57"/>
      <c r="AT29" s="58"/>
      <c r="AU29" s="59"/>
      <c r="AV29" s="54"/>
      <c r="AW29" s="53"/>
      <c r="AX29" s="54"/>
      <c r="AY29" s="54"/>
      <c r="AZ29" s="54"/>
      <c r="BA29" s="53"/>
      <c r="BB29" s="54"/>
      <c r="BC29" s="54"/>
      <c r="BD29" s="54"/>
      <c r="BE29" s="53"/>
      <c r="BF29" s="54"/>
      <c r="BG29" s="54"/>
      <c r="BH29" s="54"/>
      <c r="BI29" s="53"/>
      <c r="BJ29" s="54"/>
      <c r="BK29" s="54"/>
      <c r="BL29" s="54"/>
      <c r="BM29" s="53">
        <f t="shared" si="44"/>
        <v>207400000</v>
      </c>
      <c r="BN29" s="54">
        <f t="shared" si="45"/>
        <v>207400000</v>
      </c>
      <c r="BO29" s="54">
        <f t="shared" si="45"/>
        <v>29929999</v>
      </c>
      <c r="BP29" s="54">
        <f t="shared" si="45"/>
        <v>29929999</v>
      </c>
      <c r="BQ29" s="83"/>
      <c r="BR29" s="83"/>
      <c r="BS29" s="83"/>
      <c r="BT29" s="83"/>
      <c r="BU29" s="83"/>
      <c r="BV29" s="83">
        <v>131469882</v>
      </c>
      <c r="BW29" s="83">
        <v>115000000</v>
      </c>
      <c r="BX29" s="83">
        <v>115000000</v>
      </c>
      <c r="BY29" s="83"/>
      <c r="BZ29" s="83">
        <v>169400000</v>
      </c>
      <c r="CA29" s="83">
        <v>186337233</v>
      </c>
      <c r="CB29" s="83">
        <v>0</v>
      </c>
      <c r="CC29" s="83">
        <v>0</v>
      </c>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1">
        <f t="shared" si="28"/>
        <v>169400000</v>
      </c>
      <c r="DF29" s="95">
        <f t="shared" si="46"/>
        <v>317807115</v>
      </c>
      <c r="DG29" s="95">
        <f t="shared" si="47"/>
        <v>115000000</v>
      </c>
      <c r="DH29" s="95">
        <f t="shared" si="48"/>
        <v>115000000</v>
      </c>
      <c r="DI29" s="95"/>
      <c r="DJ29" s="83"/>
      <c r="DK29" s="82"/>
      <c r="DL29" s="83"/>
      <c r="DM29" s="83"/>
      <c r="DN29" s="83"/>
      <c r="DO29" s="83"/>
      <c r="DP29" s="83"/>
      <c r="DQ29" s="83"/>
      <c r="DR29" s="83"/>
      <c r="DS29" s="83">
        <v>170000000</v>
      </c>
      <c r="DT29" s="83">
        <v>180000000</v>
      </c>
      <c r="DU29" s="83">
        <v>4779000</v>
      </c>
      <c r="DV29" s="83">
        <v>4779000</v>
      </c>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1">
        <f t="shared" si="49"/>
        <v>170000000</v>
      </c>
      <c r="EX29" s="86">
        <f t="shared" si="49"/>
        <v>180000000</v>
      </c>
      <c r="EY29" s="86">
        <f t="shared" si="50"/>
        <v>4779000</v>
      </c>
      <c r="EZ29" s="86">
        <f t="shared" si="50"/>
        <v>4779000</v>
      </c>
      <c r="FA29" s="176"/>
      <c r="FB29" s="83"/>
      <c r="FC29" s="84"/>
      <c r="FD29" s="84"/>
      <c r="FE29" s="84"/>
      <c r="FF29" s="140"/>
      <c r="FG29" s="83"/>
      <c r="FH29" s="83"/>
      <c r="FI29" s="83"/>
      <c r="FJ29" s="83"/>
      <c r="FK29" s="83"/>
      <c r="FL29" s="83">
        <v>175100000</v>
      </c>
      <c r="FM29" s="83">
        <v>17941235</v>
      </c>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1">
        <f t="shared" si="51"/>
        <v>175100000</v>
      </c>
      <c r="GV29" s="81">
        <f t="shared" si="52"/>
        <v>17941235</v>
      </c>
      <c r="GW29" s="81">
        <f t="shared" si="52"/>
        <v>0</v>
      </c>
      <c r="GX29" s="81">
        <f t="shared" si="52"/>
        <v>0</v>
      </c>
      <c r="GY29" s="673">
        <f t="shared" si="52"/>
        <v>0</v>
      </c>
      <c r="GZ29" s="67">
        <f t="shared" si="53"/>
        <v>721900000</v>
      </c>
    </row>
    <row r="30" spans="1:208" ht="75" customHeight="1" x14ac:dyDescent="0.2">
      <c r="A30" s="245"/>
      <c r="B30" s="245"/>
      <c r="C30" s="279"/>
      <c r="D30" s="722"/>
      <c r="E30" s="306"/>
      <c r="F30" s="306"/>
      <c r="G30" s="265">
        <v>16</v>
      </c>
      <c r="H30" s="258" t="s">
        <v>106</v>
      </c>
      <c r="I30" s="258" t="s">
        <v>107</v>
      </c>
      <c r="J30" s="262" t="s">
        <v>57</v>
      </c>
      <c r="K30" s="262">
        <v>10</v>
      </c>
      <c r="L30" s="263" t="s">
        <v>73</v>
      </c>
      <c r="M30" s="264">
        <v>7</v>
      </c>
      <c r="N30" s="264">
        <v>12</v>
      </c>
      <c r="O30" s="265">
        <v>0</v>
      </c>
      <c r="P30" s="266"/>
      <c r="Q30" s="264">
        <v>3</v>
      </c>
      <c r="R30" s="268"/>
      <c r="S30" s="286">
        <v>3</v>
      </c>
      <c r="T30" s="264">
        <v>4</v>
      </c>
      <c r="U30" s="264"/>
      <c r="V30" s="270">
        <v>12</v>
      </c>
      <c r="W30" s="264">
        <v>5</v>
      </c>
      <c r="X30" s="264"/>
      <c r="Y30" s="653">
        <v>2</v>
      </c>
      <c r="Z30" s="315">
        <f t="shared" si="43"/>
        <v>0</v>
      </c>
      <c r="AA30" s="265">
        <v>15</v>
      </c>
      <c r="AB30" s="274" t="s">
        <v>59</v>
      </c>
      <c r="AC30" s="53"/>
      <c r="AD30" s="54"/>
      <c r="AE30" s="54"/>
      <c r="AF30" s="54"/>
      <c r="AG30" s="53"/>
      <c r="AH30" s="54"/>
      <c r="AI30" s="54"/>
      <c r="AJ30" s="54"/>
      <c r="AK30" s="57"/>
      <c r="AL30" s="58"/>
      <c r="AM30" s="58"/>
      <c r="AN30" s="58"/>
      <c r="AO30" s="57"/>
      <c r="AP30" s="58"/>
      <c r="AQ30" s="58"/>
      <c r="AR30" s="58"/>
      <c r="AS30" s="57"/>
      <c r="AT30" s="58"/>
      <c r="AU30" s="59"/>
      <c r="AV30" s="54"/>
      <c r="AW30" s="53"/>
      <c r="AX30" s="54"/>
      <c r="AY30" s="54"/>
      <c r="AZ30" s="54"/>
      <c r="BA30" s="53"/>
      <c r="BB30" s="54"/>
      <c r="BC30" s="54"/>
      <c r="BD30" s="54"/>
      <c r="BE30" s="53"/>
      <c r="BF30" s="54"/>
      <c r="BG30" s="54"/>
      <c r="BH30" s="54"/>
      <c r="BI30" s="53"/>
      <c r="BJ30" s="54"/>
      <c r="BK30" s="54"/>
      <c r="BL30" s="54"/>
      <c r="BM30" s="53">
        <f t="shared" si="44"/>
        <v>0</v>
      </c>
      <c r="BN30" s="54">
        <f t="shared" si="45"/>
        <v>0</v>
      </c>
      <c r="BO30" s="54">
        <f t="shared" si="45"/>
        <v>0</v>
      </c>
      <c r="BP30" s="54">
        <f t="shared" si="45"/>
        <v>0</v>
      </c>
      <c r="BQ30" s="83"/>
      <c r="BR30" s="83"/>
      <c r="BS30" s="83"/>
      <c r="BT30" s="83"/>
      <c r="BU30" s="83"/>
      <c r="BV30" s="83">
        <v>6000000</v>
      </c>
      <c r="BW30" s="83">
        <v>3698310</v>
      </c>
      <c r="BX30" s="83">
        <v>3698310</v>
      </c>
      <c r="BY30" s="83"/>
      <c r="BZ30" s="83">
        <v>6000000</v>
      </c>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1">
        <f t="shared" si="28"/>
        <v>6000000</v>
      </c>
      <c r="DF30" s="95">
        <f t="shared" si="46"/>
        <v>6000000</v>
      </c>
      <c r="DG30" s="95">
        <f t="shared" si="47"/>
        <v>3698310</v>
      </c>
      <c r="DH30" s="95">
        <f t="shared" si="48"/>
        <v>3698310</v>
      </c>
      <c r="DI30" s="95"/>
      <c r="DJ30" s="83"/>
      <c r="DK30" s="82"/>
      <c r="DL30" s="83"/>
      <c r="DM30" s="83"/>
      <c r="DN30" s="83"/>
      <c r="DO30" s="83"/>
      <c r="DP30" s="83"/>
      <c r="DQ30" s="83"/>
      <c r="DR30" s="83"/>
      <c r="DS30" s="83">
        <v>7000000</v>
      </c>
      <c r="DT30" s="83">
        <v>6000000</v>
      </c>
      <c r="DU30" s="83">
        <v>3800000</v>
      </c>
      <c r="DV30" s="83">
        <v>3800000</v>
      </c>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1">
        <f t="shared" si="49"/>
        <v>7000000</v>
      </c>
      <c r="EX30" s="86">
        <f t="shared" si="49"/>
        <v>6000000</v>
      </c>
      <c r="EY30" s="86">
        <f t="shared" si="50"/>
        <v>3800000</v>
      </c>
      <c r="EZ30" s="86">
        <f t="shared" si="50"/>
        <v>3800000</v>
      </c>
      <c r="FA30" s="176"/>
      <c r="FB30" s="83"/>
      <c r="FC30" s="84"/>
      <c r="FD30" s="84"/>
      <c r="FE30" s="84"/>
      <c r="FF30" s="140"/>
      <c r="FG30" s="83"/>
      <c r="FH30" s="83"/>
      <c r="FI30" s="83"/>
      <c r="FJ30" s="83"/>
      <c r="FK30" s="83"/>
      <c r="FL30" s="83">
        <v>7210000</v>
      </c>
      <c r="FM30" s="83">
        <v>9500000</v>
      </c>
      <c r="FN30" s="83">
        <v>5801000</v>
      </c>
      <c r="FO30" s="83">
        <v>5040300</v>
      </c>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1">
        <f t="shared" si="51"/>
        <v>7210000</v>
      </c>
      <c r="GV30" s="81">
        <f t="shared" si="52"/>
        <v>9500000</v>
      </c>
      <c r="GW30" s="81">
        <f t="shared" si="52"/>
        <v>5801000</v>
      </c>
      <c r="GX30" s="81">
        <f t="shared" si="52"/>
        <v>5040300</v>
      </c>
      <c r="GY30" s="673">
        <f t="shared" si="52"/>
        <v>0</v>
      </c>
      <c r="GZ30" s="67">
        <f t="shared" si="53"/>
        <v>20210000</v>
      </c>
    </row>
    <row r="31" spans="1:208" ht="127.5" customHeight="1" x14ac:dyDescent="0.2">
      <c r="A31" s="245"/>
      <c r="B31" s="245"/>
      <c r="C31" s="279"/>
      <c r="D31" s="722"/>
      <c r="E31" s="306"/>
      <c r="F31" s="306"/>
      <c r="G31" s="265">
        <v>17</v>
      </c>
      <c r="H31" s="261" t="s">
        <v>108</v>
      </c>
      <c r="I31" s="258" t="s">
        <v>109</v>
      </c>
      <c r="J31" s="262" t="s">
        <v>57</v>
      </c>
      <c r="K31" s="262">
        <v>10</v>
      </c>
      <c r="L31" s="263" t="s">
        <v>73</v>
      </c>
      <c r="M31" s="264">
        <v>0</v>
      </c>
      <c r="N31" s="265">
        <v>270</v>
      </c>
      <c r="O31" s="265">
        <v>0</v>
      </c>
      <c r="P31" s="266"/>
      <c r="Q31" s="316">
        <v>0</v>
      </c>
      <c r="R31" s="317"/>
      <c r="S31" s="282" t="s">
        <v>65</v>
      </c>
      <c r="T31" s="264">
        <v>0</v>
      </c>
      <c r="U31" s="264"/>
      <c r="V31" s="270"/>
      <c r="W31" s="265">
        <v>270</v>
      </c>
      <c r="X31" s="265"/>
      <c r="Y31" s="654">
        <v>0</v>
      </c>
      <c r="Z31" s="315">
        <f t="shared" si="43"/>
        <v>0</v>
      </c>
      <c r="AA31" s="265">
        <v>15</v>
      </c>
      <c r="AB31" s="274" t="s">
        <v>59</v>
      </c>
      <c r="AC31" s="53"/>
      <c r="AD31" s="54"/>
      <c r="AE31" s="54"/>
      <c r="AF31" s="54"/>
      <c r="AG31" s="53"/>
      <c r="AH31" s="54"/>
      <c r="AI31" s="54"/>
      <c r="AJ31" s="54"/>
      <c r="AK31" s="57"/>
      <c r="AL31" s="58"/>
      <c r="AM31" s="58"/>
      <c r="AN31" s="58"/>
      <c r="AO31" s="57"/>
      <c r="AP31" s="58"/>
      <c r="AQ31" s="58"/>
      <c r="AR31" s="58"/>
      <c r="AS31" s="57"/>
      <c r="AT31" s="58"/>
      <c r="AU31" s="59"/>
      <c r="AV31" s="54"/>
      <c r="AW31" s="53"/>
      <c r="AX31" s="54"/>
      <c r="AY31" s="54"/>
      <c r="AZ31" s="54"/>
      <c r="BA31" s="53"/>
      <c r="BB31" s="54"/>
      <c r="BC31" s="54"/>
      <c r="BD31" s="54"/>
      <c r="BE31" s="53"/>
      <c r="BF31" s="54"/>
      <c r="BG31" s="54"/>
      <c r="BH31" s="54"/>
      <c r="BI31" s="53"/>
      <c r="BJ31" s="54"/>
      <c r="BK31" s="54"/>
      <c r="BL31" s="54"/>
      <c r="BM31" s="53">
        <f t="shared" si="44"/>
        <v>0</v>
      </c>
      <c r="BN31" s="54">
        <f t="shared" si="45"/>
        <v>0</v>
      </c>
      <c r="BO31" s="54">
        <f t="shared" si="45"/>
        <v>0</v>
      </c>
      <c r="BP31" s="54">
        <f t="shared" si="45"/>
        <v>0</v>
      </c>
      <c r="BQ31" s="83"/>
      <c r="BR31" s="83"/>
      <c r="BS31" s="83"/>
      <c r="BT31" s="83"/>
      <c r="BU31" s="83"/>
      <c r="BV31" s="83"/>
      <c r="BW31" s="83"/>
      <c r="BX31" s="83"/>
      <c r="BY31" s="83"/>
      <c r="BZ31" s="83">
        <v>0</v>
      </c>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1">
        <f t="shared" si="28"/>
        <v>0</v>
      </c>
      <c r="DF31" s="95">
        <f t="shared" si="46"/>
        <v>0</v>
      </c>
      <c r="DG31" s="95">
        <f t="shared" si="47"/>
        <v>0</v>
      </c>
      <c r="DH31" s="95">
        <f t="shared" si="48"/>
        <v>0</v>
      </c>
      <c r="DI31" s="95"/>
      <c r="DJ31" s="83"/>
      <c r="DK31" s="83"/>
      <c r="DL31" s="83"/>
      <c r="DM31" s="83"/>
      <c r="DN31" s="83"/>
      <c r="DO31" s="83"/>
      <c r="DP31" s="83"/>
      <c r="DQ31" s="83"/>
      <c r="DR31" s="83"/>
      <c r="DS31" s="83">
        <v>0</v>
      </c>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1">
        <f t="shared" si="49"/>
        <v>0</v>
      </c>
      <c r="EX31" s="86">
        <f t="shared" si="49"/>
        <v>0</v>
      </c>
      <c r="EY31" s="86">
        <f t="shared" si="50"/>
        <v>0</v>
      </c>
      <c r="EZ31" s="86">
        <f t="shared" si="50"/>
        <v>0</v>
      </c>
      <c r="FA31" s="176"/>
      <c r="FB31" s="83"/>
      <c r="FC31" s="84"/>
      <c r="FD31" s="84"/>
      <c r="FE31" s="84"/>
      <c r="FF31" s="140"/>
      <c r="FG31" s="83"/>
      <c r="FH31" s="83"/>
      <c r="FI31" s="83"/>
      <c r="FJ31" s="83"/>
      <c r="FK31" s="83"/>
      <c r="FL31" s="83">
        <v>410949030</v>
      </c>
      <c r="FM31" s="83">
        <v>550114361</v>
      </c>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1">
        <f t="shared" si="51"/>
        <v>410949030</v>
      </c>
      <c r="GV31" s="81">
        <f t="shared" si="52"/>
        <v>550114361</v>
      </c>
      <c r="GW31" s="81">
        <f t="shared" si="52"/>
        <v>0</v>
      </c>
      <c r="GX31" s="81">
        <f t="shared" si="52"/>
        <v>0</v>
      </c>
      <c r="GY31" s="673">
        <f t="shared" si="52"/>
        <v>0</v>
      </c>
      <c r="GZ31" s="67">
        <f t="shared" si="53"/>
        <v>410949030</v>
      </c>
    </row>
    <row r="32" spans="1:208" ht="75" customHeight="1" x14ac:dyDescent="0.2">
      <c r="A32" s="245"/>
      <c r="B32" s="245"/>
      <c r="C32" s="279"/>
      <c r="D32" s="722"/>
      <c r="E32" s="306"/>
      <c r="F32" s="306"/>
      <c r="G32" s="265">
        <v>18</v>
      </c>
      <c r="H32" s="261" t="s">
        <v>110</v>
      </c>
      <c r="I32" s="258" t="s">
        <v>111</v>
      </c>
      <c r="J32" s="262" t="s">
        <v>57</v>
      </c>
      <c r="K32" s="262">
        <v>10</v>
      </c>
      <c r="L32" s="263" t="s">
        <v>73</v>
      </c>
      <c r="M32" s="264">
        <v>0</v>
      </c>
      <c r="N32" s="264">
        <v>20</v>
      </c>
      <c r="O32" s="265">
        <v>0</v>
      </c>
      <c r="P32" s="266"/>
      <c r="Q32" s="264">
        <v>7</v>
      </c>
      <c r="R32" s="268"/>
      <c r="S32" s="286">
        <v>3</v>
      </c>
      <c r="T32" s="264">
        <v>7</v>
      </c>
      <c r="U32" s="264"/>
      <c r="V32" s="270">
        <v>7</v>
      </c>
      <c r="W32" s="264">
        <v>6</v>
      </c>
      <c r="X32" s="682">
        <v>10</v>
      </c>
      <c r="Y32" s="808">
        <v>0</v>
      </c>
      <c r="Z32" s="809">
        <f t="shared" si="43"/>
        <v>0</v>
      </c>
      <c r="AA32" s="265">
        <v>15</v>
      </c>
      <c r="AB32" s="274" t="s">
        <v>59</v>
      </c>
      <c r="AC32" s="53"/>
      <c r="AD32" s="54"/>
      <c r="AE32" s="54"/>
      <c r="AF32" s="54"/>
      <c r="AG32" s="53"/>
      <c r="AH32" s="54"/>
      <c r="AI32" s="54"/>
      <c r="AJ32" s="54"/>
      <c r="AK32" s="57"/>
      <c r="AL32" s="58"/>
      <c r="AM32" s="58"/>
      <c r="AN32" s="58"/>
      <c r="AO32" s="57"/>
      <c r="AP32" s="58"/>
      <c r="AQ32" s="58"/>
      <c r="AR32" s="58"/>
      <c r="AS32" s="57"/>
      <c r="AT32" s="58"/>
      <c r="AU32" s="59"/>
      <c r="AV32" s="54"/>
      <c r="AW32" s="53"/>
      <c r="AX32" s="54"/>
      <c r="AY32" s="54"/>
      <c r="AZ32" s="54"/>
      <c r="BA32" s="53"/>
      <c r="BB32" s="54"/>
      <c r="BC32" s="54"/>
      <c r="BD32" s="54"/>
      <c r="BE32" s="53"/>
      <c r="BF32" s="54"/>
      <c r="BG32" s="54"/>
      <c r="BH32" s="54"/>
      <c r="BI32" s="53"/>
      <c r="BJ32" s="54"/>
      <c r="BK32" s="54"/>
      <c r="BL32" s="54"/>
      <c r="BM32" s="53">
        <f t="shared" si="44"/>
        <v>0</v>
      </c>
      <c r="BN32" s="54">
        <f t="shared" si="45"/>
        <v>0</v>
      </c>
      <c r="BO32" s="54">
        <f t="shared" si="45"/>
        <v>0</v>
      </c>
      <c r="BP32" s="54">
        <f t="shared" si="45"/>
        <v>0</v>
      </c>
      <c r="BQ32" s="83"/>
      <c r="BR32" s="83"/>
      <c r="BS32" s="83"/>
      <c r="BT32" s="83"/>
      <c r="BU32" s="83"/>
      <c r="BV32" s="83">
        <v>10937233</v>
      </c>
      <c r="BW32" s="83">
        <v>3600000</v>
      </c>
      <c r="BX32" s="83">
        <v>3600000</v>
      </c>
      <c r="BY32" s="83"/>
      <c r="BZ32" s="83">
        <v>10000000</v>
      </c>
      <c r="CA32" s="83"/>
      <c r="CB32" s="83">
        <v>0</v>
      </c>
      <c r="CC32" s="83">
        <v>0</v>
      </c>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1">
        <f t="shared" si="28"/>
        <v>10000000</v>
      </c>
      <c r="DF32" s="95">
        <f t="shared" si="46"/>
        <v>10937233</v>
      </c>
      <c r="DG32" s="95">
        <f t="shared" si="47"/>
        <v>3600000</v>
      </c>
      <c r="DH32" s="95">
        <f t="shared" si="48"/>
        <v>3600000</v>
      </c>
      <c r="DI32" s="95"/>
      <c r="DJ32" s="83"/>
      <c r="DK32" s="82"/>
      <c r="DL32" s="83"/>
      <c r="DM32" s="83"/>
      <c r="DN32" s="83"/>
      <c r="DO32" s="83"/>
      <c r="DP32" s="83"/>
      <c r="DQ32" s="83"/>
      <c r="DR32" s="83"/>
      <c r="DS32" s="83">
        <v>7000000</v>
      </c>
      <c r="DT32" s="83">
        <v>28600000</v>
      </c>
      <c r="DU32" s="83">
        <v>22133346</v>
      </c>
      <c r="DV32" s="83">
        <v>22133346</v>
      </c>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1">
        <f t="shared" si="49"/>
        <v>7000000</v>
      </c>
      <c r="EX32" s="86">
        <f t="shared" si="49"/>
        <v>28600000</v>
      </c>
      <c r="EY32" s="86">
        <f t="shared" si="50"/>
        <v>22133346</v>
      </c>
      <c r="EZ32" s="86">
        <f t="shared" si="50"/>
        <v>22133346</v>
      </c>
      <c r="FA32" s="176"/>
      <c r="FB32" s="83"/>
      <c r="FC32" s="84"/>
      <c r="FD32" s="84"/>
      <c r="FE32" s="84"/>
      <c r="FF32" s="140"/>
      <c r="FG32" s="83"/>
      <c r="FH32" s="83">
        <v>826000000</v>
      </c>
      <c r="FI32" s="83"/>
      <c r="FJ32" s="83"/>
      <c r="FK32" s="83"/>
      <c r="FL32" s="83">
        <v>7210000</v>
      </c>
      <c r="FM32" s="83">
        <v>13620000</v>
      </c>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1">
        <f t="shared" si="51"/>
        <v>7210000</v>
      </c>
      <c r="GV32" s="81">
        <f t="shared" si="52"/>
        <v>839620000</v>
      </c>
      <c r="GW32" s="81">
        <f t="shared" si="52"/>
        <v>0</v>
      </c>
      <c r="GX32" s="81">
        <f t="shared" si="52"/>
        <v>0</v>
      </c>
      <c r="GY32" s="673">
        <f t="shared" si="52"/>
        <v>0</v>
      </c>
      <c r="GZ32" s="67">
        <f t="shared" si="53"/>
        <v>24210000</v>
      </c>
    </row>
    <row r="33" spans="1:208" ht="213" customHeight="1" x14ac:dyDescent="0.2">
      <c r="A33" s="245"/>
      <c r="B33" s="245"/>
      <c r="C33" s="279"/>
      <c r="D33" s="722"/>
      <c r="E33" s="306"/>
      <c r="F33" s="306"/>
      <c r="G33" s="265">
        <v>19</v>
      </c>
      <c r="H33" s="261" t="s">
        <v>112</v>
      </c>
      <c r="I33" s="258" t="s">
        <v>113</v>
      </c>
      <c r="J33" s="262" t="s">
        <v>57</v>
      </c>
      <c r="K33" s="262">
        <v>10</v>
      </c>
      <c r="L33" s="263" t="s">
        <v>73</v>
      </c>
      <c r="M33" s="264">
        <v>20</v>
      </c>
      <c r="N33" s="264">
        <v>31</v>
      </c>
      <c r="O33" s="265">
        <v>5</v>
      </c>
      <c r="P33" s="266">
        <v>5</v>
      </c>
      <c r="Q33" s="264">
        <v>9</v>
      </c>
      <c r="R33" s="268"/>
      <c r="S33" s="300">
        <v>9</v>
      </c>
      <c r="T33" s="264">
        <v>9</v>
      </c>
      <c r="U33" s="264"/>
      <c r="V33" s="270">
        <v>9</v>
      </c>
      <c r="W33" s="264">
        <v>8</v>
      </c>
      <c r="X33" s="264"/>
      <c r="Y33" s="653">
        <v>8</v>
      </c>
      <c r="Z33" s="315">
        <f t="shared" si="43"/>
        <v>1.2969321141325636E-2</v>
      </c>
      <c r="AA33" s="265">
        <v>4</v>
      </c>
      <c r="AB33" s="262" t="s">
        <v>114</v>
      </c>
      <c r="AC33" s="53"/>
      <c r="AD33" s="54"/>
      <c r="AE33" s="54"/>
      <c r="AF33" s="54"/>
      <c r="AG33" s="53"/>
      <c r="AH33" s="54"/>
      <c r="AI33" s="54"/>
      <c r="AJ33" s="54"/>
      <c r="AK33" s="57">
        <f>9200000</f>
        <v>9200000</v>
      </c>
      <c r="AL33" s="55">
        <v>9200000</v>
      </c>
      <c r="AM33" s="58">
        <v>8549166</v>
      </c>
      <c r="AN33" s="58">
        <v>8549166</v>
      </c>
      <c r="AO33" s="57"/>
      <c r="AP33" s="58"/>
      <c r="AQ33" s="58"/>
      <c r="AR33" s="58"/>
      <c r="AS33" s="57"/>
      <c r="AT33" s="58"/>
      <c r="AU33" s="59"/>
      <c r="AV33" s="54"/>
      <c r="AW33" s="53"/>
      <c r="AX33" s="54"/>
      <c r="AY33" s="54"/>
      <c r="AZ33" s="54"/>
      <c r="BA33" s="53"/>
      <c r="BB33" s="54"/>
      <c r="BC33" s="54"/>
      <c r="BD33" s="54"/>
      <c r="BE33" s="53"/>
      <c r="BF33" s="54"/>
      <c r="BG33" s="54"/>
      <c r="BH33" s="54"/>
      <c r="BI33" s="53"/>
      <c r="BJ33" s="54"/>
      <c r="BK33" s="54"/>
      <c r="BL33" s="54"/>
      <c r="BM33" s="53">
        <f t="shared" si="44"/>
        <v>9200000</v>
      </c>
      <c r="BN33" s="54">
        <f t="shared" si="45"/>
        <v>9200000</v>
      </c>
      <c r="BO33" s="54">
        <f t="shared" si="45"/>
        <v>8549166</v>
      </c>
      <c r="BP33" s="54">
        <f t="shared" si="45"/>
        <v>8549166</v>
      </c>
      <c r="BQ33" s="83"/>
      <c r="BR33" s="83"/>
      <c r="BS33" s="83"/>
      <c r="BT33" s="83"/>
      <c r="BU33" s="83"/>
      <c r="BV33" s="83"/>
      <c r="BW33" s="83"/>
      <c r="BX33" s="83"/>
      <c r="BY33" s="83"/>
      <c r="BZ33" s="83">
        <v>7000000</v>
      </c>
      <c r="CA33" s="83">
        <v>7000000</v>
      </c>
      <c r="CB33" s="83">
        <v>5751000</v>
      </c>
      <c r="CC33" s="83">
        <v>5751000</v>
      </c>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1">
        <f t="shared" si="28"/>
        <v>7000000</v>
      </c>
      <c r="DF33" s="95">
        <f t="shared" si="46"/>
        <v>7000000</v>
      </c>
      <c r="DG33" s="95">
        <f t="shared" si="47"/>
        <v>5751000</v>
      </c>
      <c r="DH33" s="95">
        <f t="shared" si="48"/>
        <v>5751000</v>
      </c>
      <c r="DI33" s="95"/>
      <c r="DJ33" s="83"/>
      <c r="DK33" s="82"/>
      <c r="DL33" s="83"/>
      <c r="DM33" s="83"/>
      <c r="DN33" s="83"/>
      <c r="DO33" s="83"/>
      <c r="DP33" s="83"/>
      <c r="DQ33" s="83"/>
      <c r="DR33" s="83"/>
      <c r="DS33" s="83">
        <v>7000000</v>
      </c>
      <c r="DT33" s="83">
        <v>7000000</v>
      </c>
      <c r="DU33" s="83">
        <v>7000000</v>
      </c>
      <c r="DV33" s="83">
        <v>7000000</v>
      </c>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1">
        <f t="shared" si="49"/>
        <v>7000000</v>
      </c>
      <c r="EX33" s="86">
        <f t="shared" si="49"/>
        <v>7000000</v>
      </c>
      <c r="EY33" s="86">
        <f t="shared" si="50"/>
        <v>7000000</v>
      </c>
      <c r="EZ33" s="86">
        <f t="shared" si="50"/>
        <v>7000000</v>
      </c>
      <c r="FA33" s="176"/>
      <c r="FB33" s="83"/>
      <c r="FC33" s="84"/>
      <c r="FD33" s="84"/>
      <c r="FE33" s="84"/>
      <c r="FF33" s="140"/>
      <c r="FG33" s="83"/>
      <c r="FH33" s="83"/>
      <c r="FI33" s="83"/>
      <c r="FJ33" s="83"/>
      <c r="FK33" s="83"/>
      <c r="FL33" s="83">
        <v>7210000</v>
      </c>
      <c r="FM33" s="83">
        <v>11000000</v>
      </c>
      <c r="FN33" s="83">
        <v>10990080</v>
      </c>
      <c r="FO33" s="83">
        <v>7727400</v>
      </c>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1">
        <f t="shared" si="51"/>
        <v>7210000</v>
      </c>
      <c r="GV33" s="81">
        <f t="shared" si="52"/>
        <v>11000000</v>
      </c>
      <c r="GW33" s="81">
        <f t="shared" si="52"/>
        <v>10990080</v>
      </c>
      <c r="GX33" s="81">
        <f t="shared" si="52"/>
        <v>7727400</v>
      </c>
      <c r="GY33" s="673">
        <f t="shared" si="52"/>
        <v>0</v>
      </c>
      <c r="GZ33" s="67">
        <f t="shared" si="53"/>
        <v>30410000</v>
      </c>
    </row>
    <row r="34" spans="1:208" ht="75" customHeight="1" x14ac:dyDescent="0.2">
      <c r="A34" s="318"/>
      <c r="B34" s="318"/>
      <c r="C34" s="277"/>
      <c r="D34" s="723"/>
      <c r="E34" s="284"/>
      <c r="F34" s="284"/>
      <c r="G34" s="265">
        <v>20</v>
      </c>
      <c r="H34" s="261" t="s">
        <v>115</v>
      </c>
      <c r="I34" s="258" t="s">
        <v>116</v>
      </c>
      <c r="J34" s="262" t="s">
        <v>57</v>
      </c>
      <c r="K34" s="262">
        <v>10</v>
      </c>
      <c r="L34" s="263" t="s">
        <v>73</v>
      </c>
      <c r="M34" s="264" t="s">
        <v>53</v>
      </c>
      <c r="N34" s="264">
        <v>250</v>
      </c>
      <c r="O34" s="265">
        <v>50</v>
      </c>
      <c r="P34" s="266">
        <v>100</v>
      </c>
      <c r="Q34" s="319">
        <v>70</v>
      </c>
      <c r="R34" s="268"/>
      <c r="S34" s="314">
        <v>150</v>
      </c>
      <c r="T34" s="265">
        <v>70</v>
      </c>
      <c r="U34" s="265"/>
      <c r="V34" s="266">
        <v>90</v>
      </c>
      <c r="W34" s="265">
        <v>60</v>
      </c>
      <c r="X34" s="265"/>
      <c r="Y34" s="654">
        <v>60</v>
      </c>
      <c r="Z34" s="315">
        <f t="shared" si="43"/>
        <v>1.3077586778679311E-2</v>
      </c>
      <c r="AA34" s="265">
        <v>4</v>
      </c>
      <c r="AB34" s="262" t="s">
        <v>114</v>
      </c>
      <c r="AC34" s="53"/>
      <c r="AD34" s="54"/>
      <c r="AE34" s="54"/>
      <c r="AF34" s="54"/>
      <c r="AG34" s="53"/>
      <c r="AH34" s="54"/>
      <c r="AI34" s="54"/>
      <c r="AJ34" s="54"/>
      <c r="AK34" s="57">
        <v>9276800</v>
      </c>
      <c r="AL34" s="59">
        <v>9276800</v>
      </c>
      <c r="AM34" s="58">
        <v>4894167</v>
      </c>
      <c r="AN34" s="58">
        <v>4894167</v>
      </c>
      <c r="AO34" s="57"/>
      <c r="AP34" s="58"/>
      <c r="AQ34" s="58"/>
      <c r="AR34" s="58"/>
      <c r="AS34" s="57"/>
      <c r="AT34" s="58"/>
      <c r="AU34" s="59"/>
      <c r="AV34" s="54"/>
      <c r="AW34" s="53"/>
      <c r="AX34" s="54"/>
      <c r="AY34" s="54"/>
      <c r="AZ34" s="54"/>
      <c r="BA34" s="53"/>
      <c r="BB34" s="54"/>
      <c r="BC34" s="54"/>
      <c r="BD34" s="54"/>
      <c r="BE34" s="53"/>
      <c r="BF34" s="54"/>
      <c r="BG34" s="54"/>
      <c r="BH34" s="54"/>
      <c r="BI34" s="53"/>
      <c r="BJ34" s="54"/>
      <c r="BK34" s="54"/>
      <c r="BL34" s="54"/>
      <c r="BM34" s="53">
        <f t="shared" si="44"/>
        <v>9276800</v>
      </c>
      <c r="BN34" s="54">
        <f t="shared" si="45"/>
        <v>9276800</v>
      </c>
      <c r="BO34" s="54">
        <f t="shared" si="45"/>
        <v>4894167</v>
      </c>
      <c r="BP34" s="54">
        <f t="shared" si="45"/>
        <v>4894167</v>
      </c>
      <c r="BQ34" s="83"/>
      <c r="BR34" s="83"/>
      <c r="BS34" s="83"/>
      <c r="BT34" s="83"/>
      <c r="BU34" s="83"/>
      <c r="BV34" s="83"/>
      <c r="BW34" s="83"/>
      <c r="BX34" s="83"/>
      <c r="BY34" s="83"/>
      <c r="BZ34" s="83">
        <v>7000000</v>
      </c>
      <c r="CA34" s="83">
        <v>7000000</v>
      </c>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1">
        <f t="shared" si="28"/>
        <v>7000000</v>
      </c>
      <c r="DF34" s="95">
        <f t="shared" si="46"/>
        <v>7000000</v>
      </c>
      <c r="DG34" s="95">
        <f t="shared" si="47"/>
        <v>0</v>
      </c>
      <c r="DH34" s="95">
        <f t="shared" si="48"/>
        <v>0</v>
      </c>
      <c r="DI34" s="95"/>
      <c r="DJ34" s="83"/>
      <c r="DK34" s="82"/>
      <c r="DL34" s="83"/>
      <c r="DM34" s="83"/>
      <c r="DN34" s="83"/>
      <c r="DO34" s="83"/>
      <c r="DP34" s="83"/>
      <c r="DQ34" s="83"/>
      <c r="DR34" s="83"/>
      <c r="DS34" s="83">
        <v>7000000</v>
      </c>
      <c r="DT34" s="83">
        <v>7000000</v>
      </c>
      <c r="DU34" s="83">
        <v>6965000</v>
      </c>
      <c r="DV34" s="83">
        <v>6965000</v>
      </c>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1">
        <f t="shared" si="49"/>
        <v>7000000</v>
      </c>
      <c r="EX34" s="86">
        <f t="shared" si="49"/>
        <v>7000000</v>
      </c>
      <c r="EY34" s="86">
        <f t="shared" si="50"/>
        <v>6965000</v>
      </c>
      <c r="EZ34" s="86">
        <f t="shared" si="50"/>
        <v>6965000</v>
      </c>
      <c r="FA34" s="176"/>
      <c r="FB34" s="83"/>
      <c r="FC34" s="84"/>
      <c r="FD34" s="84"/>
      <c r="FE34" s="84"/>
      <c r="FF34" s="140"/>
      <c r="FG34" s="83"/>
      <c r="FH34" s="83"/>
      <c r="FI34" s="83"/>
      <c r="FJ34" s="83"/>
      <c r="FK34" s="83"/>
      <c r="FL34" s="83">
        <v>7210000</v>
      </c>
      <c r="FM34" s="83">
        <v>11000000</v>
      </c>
      <c r="FN34" s="83">
        <v>11000000</v>
      </c>
      <c r="FO34" s="83">
        <v>5040300</v>
      </c>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1">
        <f t="shared" si="51"/>
        <v>7210000</v>
      </c>
      <c r="GV34" s="81">
        <f t="shared" si="52"/>
        <v>11000000</v>
      </c>
      <c r="GW34" s="81">
        <f t="shared" si="52"/>
        <v>11000000</v>
      </c>
      <c r="GX34" s="81">
        <f t="shared" si="52"/>
        <v>5040300</v>
      </c>
      <c r="GY34" s="673">
        <f t="shared" si="52"/>
        <v>0</v>
      </c>
      <c r="GZ34" s="67">
        <f t="shared" si="53"/>
        <v>30486800</v>
      </c>
    </row>
    <row r="35" spans="1:208" ht="24.75" customHeight="1" x14ac:dyDescent="0.2">
      <c r="A35" s="320">
        <v>2</v>
      </c>
      <c r="B35" s="321" t="s">
        <v>117</v>
      </c>
      <c r="C35" s="322"/>
      <c r="D35" s="323"/>
      <c r="E35" s="323"/>
      <c r="F35" s="323"/>
      <c r="G35" s="322"/>
      <c r="H35" s="322"/>
      <c r="I35" s="322"/>
      <c r="J35" s="322"/>
      <c r="K35" s="322"/>
      <c r="L35" s="322"/>
      <c r="M35" s="322"/>
      <c r="N35" s="322"/>
      <c r="O35" s="322"/>
      <c r="P35" s="322"/>
      <c r="Q35" s="322"/>
      <c r="R35" s="322"/>
      <c r="S35" s="322"/>
      <c r="T35" s="322"/>
      <c r="U35" s="322"/>
      <c r="V35" s="322"/>
      <c r="W35" s="322"/>
      <c r="X35" s="664"/>
      <c r="Y35" s="622"/>
      <c r="Z35" s="49"/>
      <c r="AA35" s="49">
        <f t="shared" ref="AA35:CK35" si="54">AA36+AA73+AA81</f>
        <v>40</v>
      </c>
      <c r="AB35" s="49">
        <f t="shared" si="54"/>
        <v>0</v>
      </c>
      <c r="AC35" s="49">
        <f t="shared" si="54"/>
        <v>0</v>
      </c>
      <c r="AD35" s="49">
        <f t="shared" si="54"/>
        <v>0</v>
      </c>
      <c r="AE35" s="49">
        <f t="shared" si="54"/>
        <v>0</v>
      </c>
      <c r="AF35" s="49">
        <f t="shared" si="54"/>
        <v>0</v>
      </c>
      <c r="AG35" s="49">
        <f t="shared" si="54"/>
        <v>7917656341</v>
      </c>
      <c r="AH35" s="49">
        <f t="shared" si="54"/>
        <v>8617409300</v>
      </c>
      <c r="AI35" s="49">
        <f t="shared" si="54"/>
        <v>6631340752.6400003</v>
      </c>
      <c r="AJ35" s="49">
        <f t="shared" si="54"/>
        <v>4773564756</v>
      </c>
      <c r="AK35" s="49">
        <f t="shared" si="54"/>
        <v>1496293889</v>
      </c>
      <c r="AL35" s="49">
        <f t="shared" si="54"/>
        <v>2127032055</v>
      </c>
      <c r="AM35" s="49">
        <f t="shared" si="54"/>
        <v>1444326605</v>
      </c>
      <c r="AN35" s="49">
        <f t="shared" si="54"/>
        <v>1348546672</v>
      </c>
      <c r="AO35" s="49">
        <f t="shared" si="54"/>
        <v>20519904</v>
      </c>
      <c r="AP35" s="49">
        <f t="shared" si="54"/>
        <v>148519904</v>
      </c>
      <c r="AQ35" s="49">
        <f t="shared" si="54"/>
        <v>20519904</v>
      </c>
      <c r="AR35" s="49">
        <f t="shared" si="54"/>
        <v>0</v>
      </c>
      <c r="AS35" s="49">
        <f t="shared" si="54"/>
        <v>0</v>
      </c>
      <c r="AT35" s="49">
        <f t="shared" si="54"/>
        <v>0</v>
      </c>
      <c r="AU35" s="49">
        <f t="shared" si="54"/>
        <v>0</v>
      </c>
      <c r="AV35" s="49">
        <f t="shared" si="54"/>
        <v>0</v>
      </c>
      <c r="AW35" s="49">
        <f t="shared" si="54"/>
        <v>0</v>
      </c>
      <c r="AX35" s="49">
        <f t="shared" si="54"/>
        <v>0</v>
      </c>
      <c r="AY35" s="49">
        <f t="shared" si="54"/>
        <v>0</v>
      </c>
      <c r="AZ35" s="49">
        <f t="shared" si="54"/>
        <v>0</v>
      </c>
      <c r="BA35" s="49">
        <f t="shared" si="54"/>
        <v>0</v>
      </c>
      <c r="BB35" s="49">
        <f t="shared" si="54"/>
        <v>0</v>
      </c>
      <c r="BC35" s="49">
        <f t="shared" si="54"/>
        <v>0</v>
      </c>
      <c r="BD35" s="49">
        <f t="shared" si="54"/>
        <v>0</v>
      </c>
      <c r="BE35" s="49">
        <f t="shared" si="54"/>
        <v>0</v>
      </c>
      <c r="BF35" s="49">
        <f t="shared" si="54"/>
        <v>0</v>
      </c>
      <c r="BG35" s="49">
        <f t="shared" si="54"/>
        <v>0</v>
      </c>
      <c r="BH35" s="49">
        <f t="shared" si="54"/>
        <v>0</v>
      </c>
      <c r="BI35" s="49">
        <f t="shared" si="54"/>
        <v>15650000000</v>
      </c>
      <c r="BJ35" s="49">
        <f t="shared" si="54"/>
        <v>0</v>
      </c>
      <c r="BK35" s="49">
        <f t="shared" si="54"/>
        <v>0</v>
      </c>
      <c r="BL35" s="49">
        <f t="shared" si="54"/>
        <v>0</v>
      </c>
      <c r="BM35" s="49">
        <f t="shared" si="54"/>
        <v>25084470134</v>
      </c>
      <c r="BN35" s="49">
        <f t="shared" si="54"/>
        <v>10892961259</v>
      </c>
      <c r="BO35" s="49">
        <f t="shared" si="54"/>
        <v>8096187261.6400003</v>
      </c>
      <c r="BP35" s="49">
        <f t="shared" si="54"/>
        <v>6122111428</v>
      </c>
      <c r="BQ35" s="49">
        <f t="shared" si="54"/>
        <v>6000000000</v>
      </c>
      <c r="BR35" s="49">
        <f t="shared" si="54"/>
        <v>0</v>
      </c>
      <c r="BS35" s="49">
        <f t="shared" si="54"/>
        <v>0</v>
      </c>
      <c r="BT35" s="49">
        <f t="shared" si="54"/>
        <v>0</v>
      </c>
      <c r="BU35" s="49">
        <f t="shared" si="54"/>
        <v>8345340727</v>
      </c>
      <c r="BV35" s="49">
        <f t="shared" si="54"/>
        <v>7387643861</v>
      </c>
      <c r="BW35" s="49">
        <f t="shared" si="54"/>
        <v>5718417606.6599998</v>
      </c>
      <c r="BX35" s="49">
        <f t="shared" si="54"/>
        <v>5048823144.8600006</v>
      </c>
      <c r="BY35" s="49">
        <f t="shared" si="54"/>
        <v>0</v>
      </c>
      <c r="BZ35" s="49">
        <f t="shared" si="54"/>
        <v>750000000</v>
      </c>
      <c r="CA35" s="49">
        <f t="shared" si="54"/>
        <v>11028318478.279999</v>
      </c>
      <c r="CB35" s="49">
        <f t="shared" si="54"/>
        <v>8060640633.9800005</v>
      </c>
      <c r="CC35" s="49">
        <f t="shared" si="54"/>
        <v>7789381249.9800005</v>
      </c>
      <c r="CD35" s="49">
        <f t="shared" si="54"/>
        <v>16474147</v>
      </c>
      <c r="CE35" s="49">
        <f t="shared" si="54"/>
        <v>0</v>
      </c>
      <c r="CF35" s="49">
        <f t="shared" si="54"/>
        <v>611890318</v>
      </c>
      <c r="CG35" s="49">
        <f t="shared" si="54"/>
        <v>0</v>
      </c>
      <c r="CH35" s="49">
        <f t="shared" si="54"/>
        <v>0</v>
      </c>
      <c r="CI35" s="49">
        <f t="shared" si="54"/>
        <v>0</v>
      </c>
      <c r="CJ35" s="49">
        <f t="shared" si="54"/>
        <v>0</v>
      </c>
      <c r="CK35" s="49">
        <f t="shared" si="54"/>
        <v>0</v>
      </c>
      <c r="CL35" s="49">
        <f t="shared" ref="CL35:EW35" si="55">CL36+CL73+CL81</f>
        <v>0</v>
      </c>
      <c r="CM35" s="49">
        <f t="shared" si="55"/>
        <v>0</v>
      </c>
      <c r="CN35" s="49">
        <f t="shared" si="55"/>
        <v>0</v>
      </c>
      <c r="CO35" s="49">
        <f t="shared" si="55"/>
        <v>0</v>
      </c>
      <c r="CP35" s="49">
        <f t="shared" si="55"/>
        <v>0</v>
      </c>
      <c r="CQ35" s="49">
        <f t="shared" si="55"/>
        <v>0</v>
      </c>
      <c r="CR35" s="49">
        <f t="shared" si="55"/>
        <v>0</v>
      </c>
      <c r="CS35" s="49">
        <f t="shared" si="55"/>
        <v>0</v>
      </c>
      <c r="CT35" s="49">
        <f t="shared" si="55"/>
        <v>0</v>
      </c>
      <c r="CU35" s="49">
        <f t="shared" si="55"/>
        <v>0</v>
      </c>
      <c r="CV35" s="49">
        <f t="shared" si="55"/>
        <v>0</v>
      </c>
      <c r="CW35" s="49">
        <f t="shared" si="55"/>
        <v>0</v>
      </c>
      <c r="CX35" s="49">
        <f t="shared" si="55"/>
        <v>0</v>
      </c>
      <c r="CY35" s="49">
        <f t="shared" si="55"/>
        <v>0</v>
      </c>
      <c r="CZ35" s="49">
        <f t="shared" si="55"/>
        <v>0</v>
      </c>
      <c r="DA35" s="49">
        <f t="shared" si="55"/>
        <v>16000000000</v>
      </c>
      <c r="DB35" s="49">
        <f t="shared" si="55"/>
        <v>0</v>
      </c>
      <c r="DC35" s="49">
        <f t="shared" si="55"/>
        <v>0</v>
      </c>
      <c r="DD35" s="49">
        <f t="shared" si="55"/>
        <v>0</v>
      </c>
      <c r="DE35" s="49">
        <f t="shared" si="55"/>
        <v>31095340727</v>
      </c>
      <c r="DF35" s="49">
        <f t="shared" si="55"/>
        <v>19027852657.279999</v>
      </c>
      <c r="DG35" s="49">
        <f t="shared" si="55"/>
        <v>13779058240.639999</v>
      </c>
      <c r="DH35" s="49">
        <f t="shared" si="55"/>
        <v>12838204394.84</v>
      </c>
      <c r="DI35" s="49">
        <f t="shared" si="55"/>
        <v>16474147</v>
      </c>
      <c r="DJ35" s="49">
        <f t="shared" si="55"/>
        <v>13000000000</v>
      </c>
      <c r="DK35" s="49">
        <f t="shared" si="55"/>
        <v>8642341966.5</v>
      </c>
      <c r="DL35" s="49">
        <f t="shared" si="55"/>
        <v>7076958184.5</v>
      </c>
      <c r="DM35" s="49">
        <f t="shared" si="55"/>
        <v>3907053634.8099999</v>
      </c>
      <c r="DN35" s="49">
        <f t="shared" si="55"/>
        <v>8364317496</v>
      </c>
      <c r="DO35" s="49">
        <f t="shared" si="55"/>
        <v>9256191107.8999996</v>
      </c>
      <c r="DP35" s="49">
        <f t="shared" si="55"/>
        <v>8527244630.7600002</v>
      </c>
      <c r="DQ35" s="49">
        <f t="shared" si="55"/>
        <v>5030066026.9800005</v>
      </c>
      <c r="DR35" s="49">
        <f t="shared" si="55"/>
        <v>31150699</v>
      </c>
      <c r="DS35" s="49">
        <f t="shared" si="55"/>
        <v>638219424</v>
      </c>
      <c r="DT35" s="49">
        <f t="shared" si="55"/>
        <v>10187191150</v>
      </c>
      <c r="DU35" s="49">
        <f t="shared" si="55"/>
        <v>7264912886.3600006</v>
      </c>
      <c r="DV35" s="49">
        <f t="shared" si="55"/>
        <v>6364403208.1100006</v>
      </c>
      <c r="DW35" s="49">
        <f t="shared" si="55"/>
        <v>19996934</v>
      </c>
      <c r="DX35" s="49">
        <f t="shared" si="55"/>
        <v>0</v>
      </c>
      <c r="DY35" s="49">
        <f t="shared" si="55"/>
        <v>0</v>
      </c>
      <c r="DZ35" s="49">
        <f t="shared" si="55"/>
        <v>0</v>
      </c>
      <c r="EA35" s="49">
        <f t="shared" si="55"/>
        <v>0</v>
      </c>
      <c r="EB35" s="49">
        <f t="shared" si="55"/>
        <v>0</v>
      </c>
      <c r="EC35" s="49">
        <f t="shared" si="55"/>
        <v>0</v>
      </c>
      <c r="ED35" s="49">
        <f t="shared" si="55"/>
        <v>0</v>
      </c>
      <c r="EE35" s="49">
        <f t="shared" si="55"/>
        <v>0</v>
      </c>
      <c r="EF35" s="49">
        <f t="shared" si="55"/>
        <v>0</v>
      </c>
      <c r="EG35" s="49">
        <f t="shared" si="55"/>
        <v>0</v>
      </c>
      <c r="EH35" s="49">
        <f t="shared" si="55"/>
        <v>0</v>
      </c>
      <c r="EI35" s="49">
        <f t="shared" si="55"/>
        <v>0</v>
      </c>
      <c r="EJ35" s="49">
        <f t="shared" si="55"/>
        <v>0</v>
      </c>
      <c r="EK35" s="49">
        <f t="shared" si="55"/>
        <v>0</v>
      </c>
      <c r="EL35" s="49">
        <f t="shared" si="55"/>
        <v>0</v>
      </c>
      <c r="EM35" s="49">
        <f t="shared" si="55"/>
        <v>0</v>
      </c>
      <c r="EN35" s="49">
        <f t="shared" si="55"/>
        <v>0</v>
      </c>
      <c r="EO35" s="49">
        <f t="shared" si="55"/>
        <v>0</v>
      </c>
      <c r="EP35" s="49">
        <f t="shared" si="55"/>
        <v>0</v>
      </c>
      <c r="EQ35" s="49">
        <f t="shared" si="55"/>
        <v>0</v>
      </c>
      <c r="ER35" s="49">
        <f t="shared" si="55"/>
        <v>0</v>
      </c>
      <c r="ES35" s="49">
        <f t="shared" si="55"/>
        <v>10000000000</v>
      </c>
      <c r="ET35" s="49">
        <f t="shared" si="55"/>
        <v>0</v>
      </c>
      <c r="EU35" s="49">
        <f t="shared" si="55"/>
        <v>0</v>
      </c>
      <c r="EV35" s="49">
        <f t="shared" si="55"/>
        <v>0</v>
      </c>
      <c r="EW35" s="49">
        <f t="shared" si="55"/>
        <v>32002536920</v>
      </c>
      <c r="EX35" s="49">
        <f t="shared" ref="EX35:GZ35" si="56">EX36+EX73+EX81</f>
        <v>28085724224.400002</v>
      </c>
      <c r="EY35" s="49">
        <f t="shared" si="56"/>
        <v>22869115701.620003</v>
      </c>
      <c r="EZ35" s="49">
        <f t="shared" si="56"/>
        <v>15301522869.9</v>
      </c>
      <c r="FA35" s="49">
        <f t="shared" si="56"/>
        <v>51147633</v>
      </c>
      <c r="FB35" s="49">
        <f t="shared" si="56"/>
        <v>10000000000</v>
      </c>
      <c r="FC35" s="49">
        <f t="shared" si="56"/>
        <v>18936150863</v>
      </c>
      <c r="FD35" s="49">
        <f t="shared" si="56"/>
        <v>948343996</v>
      </c>
      <c r="FE35" s="49">
        <f t="shared" si="56"/>
        <v>63780402</v>
      </c>
      <c r="FF35" s="49">
        <f t="shared" si="56"/>
        <v>1727583726.8099999</v>
      </c>
      <c r="FG35" s="49">
        <f t="shared" si="56"/>
        <v>8778801135</v>
      </c>
      <c r="FH35" s="49">
        <f t="shared" si="56"/>
        <v>5940116348</v>
      </c>
      <c r="FI35" s="49">
        <f t="shared" si="56"/>
        <v>2190439508.5050001</v>
      </c>
      <c r="FJ35" s="49">
        <f t="shared" si="56"/>
        <v>1562328831.9000001</v>
      </c>
      <c r="FK35" s="49">
        <f t="shared" si="56"/>
        <v>286050905.69</v>
      </c>
      <c r="FL35" s="49">
        <f t="shared" si="56"/>
        <v>535166007</v>
      </c>
      <c r="FM35" s="49">
        <f t="shared" si="56"/>
        <v>9892140231</v>
      </c>
      <c r="FN35" s="49">
        <f t="shared" si="56"/>
        <v>3378022061</v>
      </c>
      <c r="FO35" s="49">
        <f t="shared" si="56"/>
        <v>2003101324.6599998</v>
      </c>
      <c r="FP35" s="49">
        <f t="shared" si="56"/>
        <v>191919465.25</v>
      </c>
      <c r="FQ35" s="49">
        <f t="shared" si="56"/>
        <v>0</v>
      </c>
      <c r="FR35" s="49">
        <f t="shared" si="56"/>
        <v>815853756</v>
      </c>
      <c r="FS35" s="49">
        <f t="shared" si="56"/>
        <v>803071603</v>
      </c>
      <c r="FT35" s="49">
        <f t="shared" si="56"/>
        <v>0</v>
      </c>
      <c r="FU35" s="49">
        <f t="shared" si="56"/>
        <v>0</v>
      </c>
      <c r="FV35" s="49">
        <f t="shared" si="56"/>
        <v>0</v>
      </c>
      <c r="FW35" s="49">
        <f t="shared" si="56"/>
        <v>0</v>
      </c>
      <c r="FX35" s="49">
        <f t="shared" si="56"/>
        <v>0</v>
      </c>
      <c r="FY35" s="49">
        <f t="shared" si="56"/>
        <v>0</v>
      </c>
      <c r="FZ35" s="49">
        <f t="shared" si="56"/>
        <v>0</v>
      </c>
      <c r="GA35" s="49">
        <f t="shared" si="56"/>
        <v>0</v>
      </c>
      <c r="GB35" s="49">
        <f t="shared" si="56"/>
        <v>0</v>
      </c>
      <c r="GC35" s="49">
        <f t="shared" si="56"/>
        <v>0</v>
      </c>
      <c r="GD35" s="49">
        <f t="shared" si="56"/>
        <v>0</v>
      </c>
      <c r="GE35" s="49">
        <f t="shared" si="56"/>
        <v>0</v>
      </c>
      <c r="GF35" s="49">
        <f t="shared" si="56"/>
        <v>0</v>
      </c>
      <c r="GG35" s="49">
        <f t="shared" si="56"/>
        <v>0</v>
      </c>
      <c r="GH35" s="49">
        <f t="shared" si="56"/>
        <v>0</v>
      </c>
      <c r="GI35" s="49">
        <f t="shared" si="56"/>
        <v>0</v>
      </c>
      <c r="GJ35" s="49">
        <f t="shared" si="56"/>
        <v>0</v>
      </c>
      <c r="GK35" s="49">
        <f t="shared" si="56"/>
        <v>0</v>
      </c>
      <c r="GL35" s="49">
        <f t="shared" si="56"/>
        <v>0</v>
      </c>
      <c r="GM35" s="49">
        <f t="shared" si="56"/>
        <v>0</v>
      </c>
      <c r="GN35" s="49">
        <f t="shared" si="56"/>
        <v>0</v>
      </c>
      <c r="GO35" s="49">
        <f t="shared" si="56"/>
        <v>0</v>
      </c>
      <c r="GP35" s="49">
        <f t="shared" si="56"/>
        <v>14054879885</v>
      </c>
      <c r="GQ35" s="49">
        <f t="shared" si="56"/>
        <v>0</v>
      </c>
      <c r="GR35" s="49">
        <f t="shared" si="56"/>
        <v>0</v>
      </c>
      <c r="GS35" s="49">
        <f t="shared" si="56"/>
        <v>0</v>
      </c>
      <c r="GT35" s="49">
        <f t="shared" si="56"/>
        <v>0</v>
      </c>
      <c r="GU35" s="49">
        <f t="shared" si="56"/>
        <v>33368847027</v>
      </c>
      <c r="GV35" s="49">
        <f t="shared" si="56"/>
        <v>35584261198</v>
      </c>
      <c r="GW35" s="49">
        <f t="shared" si="56"/>
        <v>7319877168.5050001</v>
      </c>
      <c r="GX35" s="49">
        <f t="shared" si="56"/>
        <v>3629210558.5599999</v>
      </c>
      <c r="GY35" s="49">
        <f t="shared" si="56"/>
        <v>2205554097.75</v>
      </c>
      <c r="GZ35" s="49">
        <f t="shared" si="56"/>
        <v>121551194808</v>
      </c>
    </row>
    <row r="36" spans="1:208" ht="24.75" customHeight="1" x14ac:dyDescent="0.2">
      <c r="A36" s="993"/>
      <c r="B36" s="234">
        <v>2</v>
      </c>
      <c r="C36" s="324" t="s">
        <v>118</v>
      </c>
      <c r="D36" s="236"/>
      <c r="E36" s="237"/>
      <c r="F36" s="237"/>
      <c r="G36" s="238"/>
      <c r="H36" s="238"/>
      <c r="I36" s="238"/>
      <c r="J36" s="238"/>
      <c r="K36" s="238"/>
      <c r="L36" s="238"/>
      <c r="M36" s="238"/>
      <c r="N36" s="238"/>
      <c r="O36" s="238"/>
      <c r="P36" s="238"/>
      <c r="Q36" s="238"/>
      <c r="R36" s="238"/>
      <c r="S36" s="238"/>
      <c r="T36" s="238"/>
      <c r="U36" s="238"/>
      <c r="V36" s="238"/>
      <c r="W36" s="238"/>
      <c r="X36" s="512"/>
      <c r="Y36" s="241"/>
      <c r="Z36" s="50"/>
      <c r="AA36" s="50">
        <f t="shared" ref="AA36:CL36" si="57">AA37+AA42+AA49+AA54+AA58+AA64+AA69</f>
        <v>40</v>
      </c>
      <c r="AB36" s="50">
        <f t="shared" si="57"/>
        <v>0</v>
      </c>
      <c r="AC36" s="50">
        <f t="shared" si="57"/>
        <v>0</v>
      </c>
      <c r="AD36" s="50">
        <f t="shared" si="57"/>
        <v>0</v>
      </c>
      <c r="AE36" s="50">
        <f t="shared" si="57"/>
        <v>0</v>
      </c>
      <c r="AF36" s="50">
        <f t="shared" si="57"/>
        <v>0</v>
      </c>
      <c r="AG36" s="50">
        <f t="shared" si="57"/>
        <v>0</v>
      </c>
      <c r="AH36" s="50">
        <f t="shared" si="57"/>
        <v>0</v>
      </c>
      <c r="AI36" s="50">
        <f t="shared" si="57"/>
        <v>0</v>
      </c>
      <c r="AJ36" s="50">
        <f t="shared" si="57"/>
        <v>0</v>
      </c>
      <c r="AK36" s="50">
        <f t="shared" si="57"/>
        <v>730000000</v>
      </c>
      <c r="AL36" s="50">
        <f t="shared" si="57"/>
        <v>1037000000</v>
      </c>
      <c r="AM36" s="50">
        <f t="shared" si="57"/>
        <v>877125160</v>
      </c>
      <c r="AN36" s="50">
        <f t="shared" si="57"/>
        <v>803625160</v>
      </c>
      <c r="AO36" s="50">
        <f t="shared" si="57"/>
        <v>0</v>
      </c>
      <c r="AP36" s="50">
        <f t="shared" si="57"/>
        <v>0</v>
      </c>
      <c r="AQ36" s="50">
        <f t="shared" si="57"/>
        <v>0</v>
      </c>
      <c r="AR36" s="50">
        <f t="shared" si="57"/>
        <v>0</v>
      </c>
      <c r="AS36" s="50">
        <f t="shared" si="57"/>
        <v>0</v>
      </c>
      <c r="AT36" s="50">
        <f t="shared" si="57"/>
        <v>0</v>
      </c>
      <c r="AU36" s="50">
        <f t="shared" si="57"/>
        <v>0</v>
      </c>
      <c r="AV36" s="50">
        <f t="shared" si="57"/>
        <v>0</v>
      </c>
      <c r="AW36" s="50">
        <f t="shared" si="57"/>
        <v>0</v>
      </c>
      <c r="AX36" s="50">
        <f t="shared" si="57"/>
        <v>0</v>
      </c>
      <c r="AY36" s="50">
        <f t="shared" si="57"/>
        <v>0</v>
      </c>
      <c r="AZ36" s="50">
        <f t="shared" si="57"/>
        <v>0</v>
      </c>
      <c r="BA36" s="50">
        <f t="shared" si="57"/>
        <v>0</v>
      </c>
      <c r="BB36" s="50">
        <f t="shared" si="57"/>
        <v>0</v>
      </c>
      <c r="BC36" s="50">
        <f t="shared" si="57"/>
        <v>0</v>
      </c>
      <c r="BD36" s="50">
        <f t="shared" si="57"/>
        <v>0</v>
      </c>
      <c r="BE36" s="50">
        <f t="shared" si="57"/>
        <v>0</v>
      </c>
      <c r="BF36" s="50">
        <f t="shared" si="57"/>
        <v>0</v>
      </c>
      <c r="BG36" s="50">
        <f t="shared" si="57"/>
        <v>0</v>
      </c>
      <c r="BH36" s="50">
        <f t="shared" si="57"/>
        <v>0</v>
      </c>
      <c r="BI36" s="50">
        <f t="shared" si="57"/>
        <v>10250000000</v>
      </c>
      <c r="BJ36" s="50">
        <f t="shared" si="57"/>
        <v>0</v>
      </c>
      <c r="BK36" s="50">
        <f t="shared" si="57"/>
        <v>0</v>
      </c>
      <c r="BL36" s="50">
        <f t="shared" si="57"/>
        <v>0</v>
      </c>
      <c r="BM36" s="50">
        <f t="shared" si="57"/>
        <v>10980000000</v>
      </c>
      <c r="BN36" s="50">
        <f t="shared" si="57"/>
        <v>1037000000</v>
      </c>
      <c r="BO36" s="50">
        <f t="shared" si="57"/>
        <v>877125160</v>
      </c>
      <c r="BP36" s="50">
        <f t="shared" si="57"/>
        <v>803625160</v>
      </c>
      <c r="BQ36" s="50">
        <f t="shared" si="57"/>
        <v>3000000000</v>
      </c>
      <c r="BR36" s="50">
        <f t="shared" si="57"/>
        <v>0</v>
      </c>
      <c r="BS36" s="50">
        <f t="shared" si="57"/>
        <v>0</v>
      </c>
      <c r="BT36" s="50">
        <f t="shared" si="57"/>
        <v>0</v>
      </c>
      <c r="BU36" s="50">
        <f t="shared" si="57"/>
        <v>0</v>
      </c>
      <c r="BV36" s="50">
        <f t="shared" si="57"/>
        <v>546580000</v>
      </c>
      <c r="BW36" s="50">
        <f t="shared" si="57"/>
        <v>453043613</v>
      </c>
      <c r="BX36" s="50">
        <f t="shared" si="57"/>
        <v>453043613</v>
      </c>
      <c r="BY36" s="50">
        <f t="shared" si="57"/>
        <v>0</v>
      </c>
      <c r="BZ36" s="50">
        <f t="shared" si="57"/>
        <v>510000000</v>
      </c>
      <c r="CA36" s="50">
        <f t="shared" si="57"/>
        <v>2003000000</v>
      </c>
      <c r="CB36" s="50">
        <f t="shared" si="57"/>
        <v>1671449949</v>
      </c>
      <c r="CC36" s="50">
        <f t="shared" si="57"/>
        <v>1646398115</v>
      </c>
      <c r="CD36" s="50">
        <f t="shared" si="57"/>
        <v>0</v>
      </c>
      <c r="CE36" s="50">
        <f t="shared" si="57"/>
        <v>0</v>
      </c>
      <c r="CF36" s="50">
        <f t="shared" si="57"/>
        <v>0</v>
      </c>
      <c r="CG36" s="50">
        <f t="shared" si="57"/>
        <v>0</v>
      </c>
      <c r="CH36" s="50">
        <f t="shared" si="57"/>
        <v>0</v>
      </c>
      <c r="CI36" s="50">
        <f t="shared" si="57"/>
        <v>0</v>
      </c>
      <c r="CJ36" s="50">
        <f t="shared" si="57"/>
        <v>0</v>
      </c>
      <c r="CK36" s="50">
        <f t="shared" si="57"/>
        <v>0</v>
      </c>
      <c r="CL36" s="50">
        <f t="shared" si="57"/>
        <v>0</v>
      </c>
      <c r="CM36" s="50">
        <f t="shared" ref="CM36:EV36" si="58">CM37+CM42+CM49+CM54+CM58+CM64+CM69</f>
        <v>0</v>
      </c>
      <c r="CN36" s="50">
        <f t="shared" si="58"/>
        <v>0</v>
      </c>
      <c r="CO36" s="50">
        <f t="shared" si="58"/>
        <v>0</v>
      </c>
      <c r="CP36" s="50">
        <f t="shared" si="58"/>
        <v>0</v>
      </c>
      <c r="CQ36" s="50">
        <f t="shared" si="58"/>
        <v>0</v>
      </c>
      <c r="CR36" s="50">
        <f t="shared" si="58"/>
        <v>0</v>
      </c>
      <c r="CS36" s="50">
        <f t="shared" si="58"/>
        <v>0</v>
      </c>
      <c r="CT36" s="50">
        <f t="shared" si="58"/>
        <v>0</v>
      </c>
      <c r="CU36" s="50">
        <f t="shared" si="58"/>
        <v>0</v>
      </c>
      <c r="CV36" s="50">
        <f t="shared" si="58"/>
        <v>0</v>
      </c>
      <c r="CW36" s="50">
        <f t="shared" si="58"/>
        <v>0</v>
      </c>
      <c r="CX36" s="50">
        <f t="shared" si="58"/>
        <v>0</v>
      </c>
      <c r="CY36" s="50">
        <f t="shared" si="58"/>
        <v>0</v>
      </c>
      <c r="CZ36" s="50">
        <f t="shared" si="58"/>
        <v>0</v>
      </c>
      <c r="DA36" s="50">
        <f t="shared" si="58"/>
        <v>4000000000</v>
      </c>
      <c r="DB36" s="50">
        <f t="shared" si="58"/>
        <v>0</v>
      </c>
      <c r="DC36" s="50">
        <f t="shared" si="58"/>
        <v>0</v>
      </c>
      <c r="DD36" s="50">
        <f t="shared" si="58"/>
        <v>0</v>
      </c>
      <c r="DE36" s="50">
        <f t="shared" si="58"/>
        <v>7510000000</v>
      </c>
      <c r="DF36" s="50">
        <f t="shared" si="58"/>
        <v>2549580000</v>
      </c>
      <c r="DG36" s="50">
        <f t="shared" si="58"/>
        <v>2124493562</v>
      </c>
      <c r="DH36" s="50">
        <f t="shared" si="58"/>
        <v>2099441728</v>
      </c>
      <c r="DI36" s="50">
        <f t="shared" si="58"/>
        <v>0</v>
      </c>
      <c r="DJ36" s="50">
        <f t="shared" si="58"/>
        <v>3000000000</v>
      </c>
      <c r="DK36" s="50">
        <f t="shared" si="58"/>
        <v>0</v>
      </c>
      <c r="DL36" s="50">
        <f t="shared" si="58"/>
        <v>0</v>
      </c>
      <c r="DM36" s="50">
        <f t="shared" si="58"/>
        <v>0</v>
      </c>
      <c r="DN36" s="50">
        <f t="shared" si="58"/>
        <v>0</v>
      </c>
      <c r="DO36" s="50">
        <f t="shared" si="58"/>
        <v>456360000</v>
      </c>
      <c r="DP36" s="50">
        <f t="shared" si="58"/>
        <v>346913763</v>
      </c>
      <c r="DQ36" s="50">
        <f t="shared" si="58"/>
        <v>315805763</v>
      </c>
      <c r="DR36" s="50">
        <f t="shared" si="58"/>
        <v>0</v>
      </c>
      <c r="DS36" s="50">
        <f t="shared" si="58"/>
        <v>150000000</v>
      </c>
      <c r="DT36" s="50">
        <f t="shared" si="58"/>
        <v>2072000000</v>
      </c>
      <c r="DU36" s="50">
        <f t="shared" si="58"/>
        <v>1528827695.6500001</v>
      </c>
      <c r="DV36" s="50">
        <f t="shared" si="58"/>
        <v>1484410168</v>
      </c>
      <c r="DW36" s="50">
        <f t="shared" si="58"/>
        <v>19996934</v>
      </c>
      <c r="DX36" s="50">
        <f t="shared" si="58"/>
        <v>0</v>
      </c>
      <c r="DY36" s="50">
        <f t="shared" si="58"/>
        <v>0</v>
      </c>
      <c r="DZ36" s="50">
        <f t="shared" si="58"/>
        <v>0</v>
      </c>
      <c r="EA36" s="50">
        <f t="shared" si="58"/>
        <v>0</v>
      </c>
      <c r="EB36" s="50">
        <f t="shared" si="58"/>
        <v>0</v>
      </c>
      <c r="EC36" s="50">
        <f t="shared" si="58"/>
        <v>0</v>
      </c>
      <c r="ED36" s="50">
        <f t="shared" si="58"/>
        <v>0</v>
      </c>
      <c r="EE36" s="50">
        <f t="shared" si="58"/>
        <v>0</v>
      </c>
      <c r="EF36" s="50">
        <f t="shared" si="58"/>
        <v>0</v>
      </c>
      <c r="EG36" s="50">
        <f t="shared" si="58"/>
        <v>0</v>
      </c>
      <c r="EH36" s="50">
        <f t="shared" si="58"/>
        <v>0</v>
      </c>
      <c r="EI36" s="50">
        <f t="shared" si="58"/>
        <v>0</v>
      </c>
      <c r="EJ36" s="50">
        <f t="shared" si="58"/>
        <v>0</v>
      </c>
      <c r="EK36" s="50">
        <f t="shared" si="58"/>
        <v>0</v>
      </c>
      <c r="EL36" s="50">
        <f t="shared" si="58"/>
        <v>0</v>
      </c>
      <c r="EM36" s="50">
        <f t="shared" si="58"/>
        <v>0</v>
      </c>
      <c r="EN36" s="50">
        <f t="shared" si="58"/>
        <v>0</v>
      </c>
      <c r="EO36" s="50">
        <f t="shared" si="58"/>
        <v>0</v>
      </c>
      <c r="EP36" s="50">
        <f t="shared" si="58"/>
        <v>0</v>
      </c>
      <c r="EQ36" s="50">
        <f t="shared" si="58"/>
        <v>0</v>
      </c>
      <c r="ER36" s="50">
        <f t="shared" si="58"/>
        <v>0</v>
      </c>
      <c r="ES36" s="50">
        <f t="shared" si="58"/>
        <v>7000000000</v>
      </c>
      <c r="ET36" s="50">
        <f t="shared" si="58"/>
        <v>0</v>
      </c>
      <c r="EU36" s="50">
        <f t="shared" si="58"/>
        <v>0</v>
      </c>
      <c r="EV36" s="50">
        <f t="shared" si="58"/>
        <v>0</v>
      </c>
      <c r="EW36" s="50">
        <f t="shared" ref="EW36" si="59">EW37+EW42+EW49+EW54+EW58+EW64+EW69</f>
        <v>10150000000</v>
      </c>
      <c r="EX36" s="50">
        <f>EX37+EX42+EX49+EX54+EX58+EX64+EX69</f>
        <v>2528360000</v>
      </c>
      <c r="EY36" s="50">
        <f>EY37+EY42+EY49+EY54+EY58+EY64+EY69</f>
        <v>1875741458.6500001</v>
      </c>
      <c r="EZ36" s="50">
        <f t="shared" ref="EZ36:FF36" si="60">EZ37+EZ42+EZ49+EZ54+EZ58+EZ64+EZ69</f>
        <v>1800215931</v>
      </c>
      <c r="FA36" s="50">
        <f t="shared" si="60"/>
        <v>19996934</v>
      </c>
      <c r="FB36" s="50">
        <f t="shared" si="60"/>
        <v>0</v>
      </c>
      <c r="FC36" s="50">
        <f t="shared" si="60"/>
        <v>1000000000</v>
      </c>
      <c r="FD36" s="50">
        <f t="shared" si="60"/>
        <v>0</v>
      </c>
      <c r="FE36" s="50">
        <f t="shared" si="60"/>
        <v>0</v>
      </c>
      <c r="FF36" s="50">
        <f t="shared" si="60"/>
        <v>0</v>
      </c>
      <c r="FG36" s="50">
        <f t="shared" ref="FG36:GZ36" si="61">FG37+FG42+FG49+FG54+FG58+FG64+FG69</f>
        <v>0</v>
      </c>
      <c r="FH36" s="50">
        <f t="shared" si="61"/>
        <v>705000000</v>
      </c>
      <c r="FI36" s="50">
        <f t="shared" si="61"/>
        <v>200600000</v>
      </c>
      <c r="FJ36" s="50">
        <f t="shared" si="61"/>
        <v>65675000</v>
      </c>
      <c r="FK36" s="50">
        <f t="shared" si="61"/>
        <v>0</v>
      </c>
      <c r="FL36" s="50">
        <f t="shared" si="61"/>
        <v>75000000</v>
      </c>
      <c r="FM36" s="50">
        <f t="shared" si="61"/>
        <v>2052554531</v>
      </c>
      <c r="FN36" s="50">
        <f t="shared" si="61"/>
        <v>1215648393</v>
      </c>
      <c r="FO36" s="50">
        <f t="shared" si="61"/>
        <v>749042180</v>
      </c>
      <c r="FP36" s="50">
        <f t="shared" si="61"/>
        <v>44417527.649999999</v>
      </c>
      <c r="FQ36" s="50">
        <f t="shared" si="61"/>
        <v>0</v>
      </c>
      <c r="FR36" s="50">
        <f t="shared" si="61"/>
        <v>0</v>
      </c>
      <c r="FS36" s="50">
        <f t="shared" si="61"/>
        <v>0</v>
      </c>
      <c r="FT36" s="50">
        <f t="shared" si="61"/>
        <v>0</v>
      </c>
      <c r="FU36" s="50">
        <f t="shared" si="61"/>
        <v>0</v>
      </c>
      <c r="FV36" s="50">
        <f t="shared" si="61"/>
        <v>0</v>
      </c>
      <c r="FW36" s="50">
        <f t="shared" si="61"/>
        <v>0</v>
      </c>
      <c r="FX36" s="50">
        <f t="shared" si="61"/>
        <v>0</v>
      </c>
      <c r="FY36" s="50">
        <f t="shared" si="61"/>
        <v>0</v>
      </c>
      <c r="FZ36" s="50">
        <f t="shared" si="61"/>
        <v>0</v>
      </c>
      <c r="GA36" s="50">
        <f t="shared" si="61"/>
        <v>0</v>
      </c>
      <c r="GB36" s="50">
        <f t="shared" si="61"/>
        <v>0</v>
      </c>
      <c r="GC36" s="50">
        <f t="shared" si="61"/>
        <v>0</v>
      </c>
      <c r="GD36" s="50">
        <f t="shared" si="61"/>
        <v>0</v>
      </c>
      <c r="GE36" s="50">
        <f t="shared" si="61"/>
        <v>0</v>
      </c>
      <c r="GF36" s="50">
        <f t="shared" si="61"/>
        <v>0</v>
      </c>
      <c r="GG36" s="50">
        <f t="shared" si="61"/>
        <v>0</v>
      </c>
      <c r="GH36" s="50">
        <f t="shared" si="61"/>
        <v>0</v>
      </c>
      <c r="GI36" s="50">
        <f t="shared" si="61"/>
        <v>0</v>
      </c>
      <c r="GJ36" s="50">
        <f t="shared" si="61"/>
        <v>0</v>
      </c>
      <c r="GK36" s="50">
        <f t="shared" si="61"/>
        <v>0</v>
      </c>
      <c r="GL36" s="50">
        <f t="shared" si="61"/>
        <v>0</v>
      </c>
      <c r="GM36" s="50">
        <f t="shared" si="61"/>
        <v>0</v>
      </c>
      <c r="GN36" s="50">
        <f t="shared" si="61"/>
        <v>0</v>
      </c>
      <c r="GO36" s="50">
        <f t="shared" si="61"/>
        <v>0</v>
      </c>
      <c r="GP36" s="50">
        <f t="shared" si="61"/>
        <v>8000000000</v>
      </c>
      <c r="GQ36" s="50">
        <f t="shared" si="61"/>
        <v>0</v>
      </c>
      <c r="GR36" s="50">
        <f t="shared" si="61"/>
        <v>0</v>
      </c>
      <c r="GS36" s="50">
        <f t="shared" si="61"/>
        <v>0</v>
      </c>
      <c r="GT36" s="50">
        <f t="shared" si="61"/>
        <v>0</v>
      </c>
      <c r="GU36" s="50">
        <f t="shared" si="61"/>
        <v>8075000000</v>
      </c>
      <c r="GV36" s="50">
        <f t="shared" si="61"/>
        <v>3757554531</v>
      </c>
      <c r="GW36" s="50">
        <f t="shared" si="61"/>
        <v>1416248393</v>
      </c>
      <c r="GX36" s="50">
        <f t="shared" si="61"/>
        <v>814717180</v>
      </c>
      <c r="GY36" s="50">
        <f t="shared" si="61"/>
        <v>44417527.649999999</v>
      </c>
      <c r="GZ36" s="50">
        <f t="shared" si="61"/>
        <v>36715000000</v>
      </c>
    </row>
    <row r="37" spans="1:208" ht="24.75" customHeight="1" x14ac:dyDescent="0.2">
      <c r="A37" s="326"/>
      <c r="B37" s="993"/>
      <c r="C37" s="246">
        <v>4</v>
      </c>
      <c r="D37" s="247" t="s">
        <v>119</v>
      </c>
      <c r="E37" s="247"/>
      <c r="F37" s="250"/>
      <c r="G37" s="249"/>
      <c r="H37" s="249"/>
      <c r="I37" s="249"/>
      <c r="J37" s="249"/>
      <c r="K37" s="249"/>
      <c r="L37" s="249"/>
      <c r="M37" s="249"/>
      <c r="N37" s="249"/>
      <c r="O37" s="249"/>
      <c r="P37" s="249"/>
      <c r="Q37" s="249"/>
      <c r="R37" s="249"/>
      <c r="S37" s="249"/>
      <c r="T37" s="249"/>
      <c r="U37" s="249"/>
      <c r="V37" s="249"/>
      <c r="W37" s="249"/>
      <c r="X37" s="663"/>
      <c r="Y37" s="296"/>
      <c r="Z37" s="51"/>
      <c r="AA37" s="51">
        <f t="shared" ref="AA37:CK37" si="62">SUM(AA38:AA41)</f>
        <v>40</v>
      </c>
      <c r="AB37" s="51">
        <f t="shared" si="62"/>
        <v>0</v>
      </c>
      <c r="AC37" s="51">
        <f t="shared" si="62"/>
        <v>0</v>
      </c>
      <c r="AD37" s="51">
        <f t="shared" si="62"/>
        <v>0</v>
      </c>
      <c r="AE37" s="51">
        <f t="shared" si="62"/>
        <v>0</v>
      </c>
      <c r="AF37" s="51">
        <f t="shared" si="62"/>
        <v>0</v>
      </c>
      <c r="AG37" s="51">
        <f t="shared" si="62"/>
        <v>0</v>
      </c>
      <c r="AH37" s="51">
        <f t="shared" si="62"/>
        <v>0</v>
      </c>
      <c r="AI37" s="51">
        <f t="shared" si="62"/>
        <v>0</v>
      </c>
      <c r="AJ37" s="51">
        <f t="shared" si="62"/>
        <v>0</v>
      </c>
      <c r="AK37" s="51">
        <f t="shared" si="62"/>
        <v>200000000</v>
      </c>
      <c r="AL37" s="51">
        <f t="shared" si="62"/>
        <v>200000000</v>
      </c>
      <c r="AM37" s="51">
        <f t="shared" si="62"/>
        <v>167536440</v>
      </c>
      <c r="AN37" s="51">
        <f t="shared" si="62"/>
        <v>101536440</v>
      </c>
      <c r="AO37" s="51">
        <f t="shared" si="62"/>
        <v>0</v>
      </c>
      <c r="AP37" s="51">
        <f t="shared" si="62"/>
        <v>0</v>
      </c>
      <c r="AQ37" s="51">
        <f t="shared" si="62"/>
        <v>0</v>
      </c>
      <c r="AR37" s="51">
        <f t="shared" si="62"/>
        <v>0</v>
      </c>
      <c r="AS37" s="51">
        <f t="shared" si="62"/>
        <v>0</v>
      </c>
      <c r="AT37" s="51">
        <f t="shared" si="62"/>
        <v>0</v>
      </c>
      <c r="AU37" s="51">
        <f t="shared" si="62"/>
        <v>0</v>
      </c>
      <c r="AV37" s="51">
        <f t="shared" si="62"/>
        <v>0</v>
      </c>
      <c r="AW37" s="51">
        <f t="shared" si="62"/>
        <v>0</v>
      </c>
      <c r="AX37" s="51">
        <f t="shared" si="62"/>
        <v>0</v>
      </c>
      <c r="AY37" s="51">
        <f t="shared" si="62"/>
        <v>0</v>
      </c>
      <c r="AZ37" s="51">
        <f t="shared" si="62"/>
        <v>0</v>
      </c>
      <c r="BA37" s="51">
        <f t="shared" si="62"/>
        <v>0</v>
      </c>
      <c r="BB37" s="51">
        <f t="shared" si="62"/>
        <v>0</v>
      </c>
      <c r="BC37" s="51">
        <f t="shared" si="62"/>
        <v>0</v>
      </c>
      <c r="BD37" s="51">
        <f t="shared" si="62"/>
        <v>0</v>
      </c>
      <c r="BE37" s="51">
        <f t="shared" si="62"/>
        <v>0</v>
      </c>
      <c r="BF37" s="51">
        <f t="shared" si="62"/>
        <v>0</v>
      </c>
      <c r="BG37" s="51">
        <f t="shared" si="62"/>
        <v>0</v>
      </c>
      <c r="BH37" s="51">
        <f t="shared" si="62"/>
        <v>0</v>
      </c>
      <c r="BI37" s="51">
        <f t="shared" si="62"/>
        <v>1000000000</v>
      </c>
      <c r="BJ37" s="51">
        <f t="shared" si="62"/>
        <v>0</v>
      </c>
      <c r="BK37" s="51">
        <f t="shared" si="62"/>
        <v>0</v>
      </c>
      <c r="BL37" s="51">
        <f t="shared" si="62"/>
        <v>0</v>
      </c>
      <c r="BM37" s="51">
        <f t="shared" si="62"/>
        <v>1200000000</v>
      </c>
      <c r="BN37" s="51">
        <f t="shared" si="62"/>
        <v>200000000</v>
      </c>
      <c r="BO37" s="51">
        <f t="shared" si="62"/>
        <v>167536440</v>
      </c>
      <c r="BP37" s="51">
        <f t="shared" si="62"/>
        <v>101536440</v>
      </c>
      <c r="BQ37" s="51">
        <f t="shared" si="62"/>
        <v>0</v>
      </c>
      <c r="BR37" s="51">
        <f t="shared" si="62"/>
        <v>0</v>
      </c>
      <c r="BS37" s="51">
        <f t="shared" si="62"/>
        <v>0</v>
      </c>
      <c r="BT37" s="51">
        <f t="shared" si="62"/>
        <v>0</v>
      </c>
      <c r="BU37" s="51">
        <f t="shared" si="62"/>
        <v>0</v>
      </c>
      <c r="BV37" s="51">
        <f t="shared" si="62"/>
        <v>0</v>
      </c>
      <c r="BW37" s="51">
        <f t="shared" si="62"/>
        <v>0</v>
      </c>
      <c r="BX37" s="51">
        <f t="shared" si="62"/>
        <v>0</v>
      </c>
      <c r="BY37" s="51">
        <f t="shared" si="62"/>
        <v>0</v>
      </c>
      <c r="BZ37" s="51">
        <f t="shared" si="62"/>
        <v>0</v>
      </c>
      <c r="CA37" s="51">
        <f t="shared" si="62"/>
        <v>350000000</v>
      </c>
      <c r="CB37" s="51">
        <f t="shared" si="62"/>
        <v>224593900</v>
      </c>
      <c r="CC37" s="51">
        <f t="shared" si="62"/>
        <v>224439500</v>
      </c>
      <c r="CD37" s="51">
        <f t="shared" si="62"/>
        <v>0</v>
      </c>
      <c r="CE37" s="51">
        <f t="shared" si="62"/>
        <v>0</v>
      </c>
      <c r="CF37" s="51">
        <f t="shared" si="62"/>
        <v>0</v>
      </c>
      <c r="CG37" s="51">
        <f t="shared" si="62"/>
        <v>0</v>
      </c>
      <c r="CH37" s="51">
        <f t="shared" si="62"/>
        <v>0</v>
      </c>
      <c r="CI37" s="51">
        <f t="shared" si="62"/>
        <v>0</v>
      </c>
      <c r="CJ37" s="51">
        <f t="shared" si="62"/>
        <v>0</v>
      </c>
      <c r="CK37" s="51">
        <f t="shared" si="62"/>
        <v>0</v>
      </c>
      <c r="CL37" s="51">
        <f t="shared" ref="CL37:EW37" si="63">SUM(CL38:CL41)</f>
        <v>0</v>
      </c>
      <c r="CM37" s="51">
        <f t="shared" si="63"/>
        <v>0</v>
      </c>
      <c r="CN37" s="51">
        <f t="shared" si="63"/>
        <v>0</v>
      </c>
      <c r="CO37" s="51">
        <f t="shared" si="63"/>
        <v>0</v>
      </c>
      <c r="CP37" s="51">
        <f t="shared" si="63"/>
        <v>0</v>
      </c>
      <c r="CQ37" s="51">
        <f t="shared" si="63"/>
        <v>0</v>
      </c>
      <c r="CR37" s="51">
        <f t="shared" si="63"/>
        <v>0</v>
      </c>
      <c r="CS37" s="51">
        <f t="shared" si="63"/>
        <v>0</v>
      </c>
      <c r="CT37" s="51">
        <f t="shared" si="63"/>
        <v>0</v>
      </c>
      <c r="CU37" s="51">
        <f t="shared" si="63"/>
        <v>0</v>
      </c>
      <c r="CV37" s="51">
        <f t="shared" si="63"/>
        <v>0</v>
      </c>
      <c r="CW37" s="51">
        <f t="shared" si="63"/>
        <v>0</v>
      </c>
      <c r="CX37" s="51">
        <f t="shared" si="63"/>
        <v>0</v>
      </c>
      <c r="CY37" s="51">
        <f t="shared" si="63"/>
        <v>0</v>
      </c>
      <c r="CZ37" s="51">
        <f t="shared" si="63"/>
        <v>0</v>
      </c>
      <c r="DA37" s="51">
        <f t="shared" si="63"/>
        <v>1000000000</v>
      </c>
      <c r="DB37" s="51">
        <f t="shared" si="63"/>
        <v>0</v>
      </c>
      <c r="DC37" s="51">
        <f t="shared" si="63"/>
        <v>0</v>
      </c>
      <c r="DD37" s="51">
        <f t="shared" si="63"/>
        <v>0</v>
      </c>
      <c r="DE37" s="51">
        <f t="shared" si="63"/>
        <v>1000000000</v>
      </c>
      <c r="DF37" s="51">
        <f t="shared" si="63"/>
        <v>350000000</v>
      </c>
      <c r="DG37" s="51">
        <f t="shared" si="63"/>
        <v>224593900</v>
      </c>
      <c r="DH37" s="51">
        <f t="shared" si="63"/>
        <v>224439500</v>
      </c>
      <c r="DI37" s="51">
        <f t="shared" si="63"/>
        <v>0</v>
      </c>
      <c r="DJ37" s="51">
        <f t="shared" si="63"/>
        <v>0</v>
      </c>
      <c r="DK37" s="51">
        <f t="shared" si="63"/>
        <v>0</v>
      </c>
      <c r="DL37" s="51">
        <f t="shared" si="63"/>
        <v>0</v>
      </c>
      <c r="DM37" s="51">
        <f t="shared" si="63"/>
        <v>0</v>
      </c>
      <c r="DN37" s="51">
        <f t="shared" si="63"/>
        <v>0</v>
      </c>
      <c r="DO37" s="51">
        <f t="shared" si="63"/>
        <v>100000000</v>
      </c>
      <c r="DP37" s="51">
        <f t="shared" si="63"/>
        <v>90248332</v>
      </c>
      <c r="DQ37" s="51">
        <f t="shared" si="63"/>
        <v>90248332</v>
      </c>
      <c r="DR37" s="51">
        <f t="shared" si="63"/>
        <v>0</v>
      </c>
      <c r="DS37" s="51">
        <f t="shared" si="63"/>
        <v>0</v>
      </c>
      <c r="DT37" s="51">
        <f t="shared" si="63"/>
        <v>255000000</v>
      </c>
      <c r="DU37" s="51">
        <f t="shared" si="63"/>
        <v>220698332</v>
      </c>
      <c r="DV37" s="51">
        <f t="shared" si="63"/>
        <v>219698332</v>
      </c>
      <c r="DW37" s="51">
        <f t="shared" si="63"/>
        <v>0</v>
      </c>
      <c r="DX37" s="51">
        <f t="shared" si="63"/>
        <v>0</v>
      </c>
      <c r="DY37" s="51">
        <f t="shared" si="63"/>
        <v>0</v>
      </c>
      <c r="DZ37" s="51">
        <f t="shared" si="63"/>
        <v>0</v>
      </c>
      <c r="EA37" s="51">
        <f t="shared" si="63"/>
        <v>0</v>
      </c>
      <c r="EB37" s="51">
        <f t="shared" si="63"/>
        <v>0</v>
      </c>
      <c r="EC37" s="51">
        <f t="shared" si="63"/>
        <v>0</v>
      </c>
      <c r="ED37" s="51">
        <f t="shared" si="63"/>
        <v>0</v>
      </c>
      <c r="EE37" s="51">
        <f t="shared" si="63"/>
        <v>0</v>
      </c>
      <c r="EF37" s="51">
        <f t="shared" si="63"/>
        <v>0</v>
      </c>
      <c r="EG37" s="51">
        <f t="shared" si="63"/>
        <v>0</v>
      </c>
      <c r="EH37" s="51">
        <f t="shared" si="63"/>
        <v>0</v>
      </c>
      <c r="EI37" s="51">
        <f t="shared" si="63"/>
        <v>0</v>
      </c>
      <c r="EJ37" s="51">
        <f t="shared" si="63"/>
        <v>0</v>
      </c>
      <c r="EK37" s="51">
        <f t="shared" si="63"/>
        <v>0</v>
      </c>
      <c r="EL37" s="51">
        <f t="shared" si="63"/>
        <v>0</v>
      </c>
      <c r="EM37" s="51">
        <f t="shared" si="63"/>
        <v>0</v>
      </c>
      <c r="EN37" s="51">
        <f t="shared" si="63"/>
        <v>0</v>
      </c>
      <c r="EO37" s="51">
        <f t="shared" si="63"/>
        <v>0</v>
      </c>
      <c r="EP37" s="51">
        <f t="shared" si="63"/>
        <v>0</v>
      </c>
      <c r="EQ37" s="51">
        <f t="shared" si="63"/>
        <v>0</v>
      </c>
      <c r="ER37" s="51">
        <f t="shared" si="63"/>
        <v>0</v>
      </c>
      <c r="ES37" s="51">
        <f t="shared" si="63"/>
        <v>1000000000</v>
      </c>
      <c r="ET37" s="51">
        <f t="shared" si="63"/>
        <v>0</v>
      </c>
      <c r="EU37" s="51">
        <f t="shared" si="63"/>
        <v>0</v>
      </c>
      <c r="EV37" s="51">
        <f t="shared" si="63"/>
        <v>0</v>
      </c>
      <c r="EW37" s="51">
        <f t="shared" si="63"/>
        <v>1000000000</v>
      </c>
      <c r="EX37" s="51">
        <f t="shared" ref="EX37:GZ37" si="64">SUM(EX38:EX41)</f>
        <v>355000000</v>
      </c>
      <c r="EY37" s="51">
        <f t="shared" si="64"/>
        <v>310946664</v>
      </c>
      <c r="EZ37" s="51">
        <f t="shared" si="64"/>
        <v>309946664</v>
      </c>
      <c r="FA37" s="51">
        <f t="shared" si="64"/>
        <v>0</v>
      </c>
      <c r="FB37" s="602">
        <f t="shared" si="64"/>
        <v>0</v>
      </c>
      <c r="FC37" s="51">
        <f t="shared" si="64"/>
        <v>0</v>
      </c>
      <c r="FD37" s="51">
        <f t="shared" si="64"/>
        <v>0</v>
      </c>
      <c r="FE37" s="51">
        <f t="shared" si="64"/>
        <v>0</v>
      </c>
      <c r="FF37" s="51">
        <f t="shared" si="64"/>
        <v>0</v>
      </c>
      <c r="FG37" s="51">
        <f t="shared" si="64"/>
        <v>0</v>
      </c>
      <c r="FH37" s="51">
        <f t="shared" si="64"/>
        <v>0</v>
      </c>
      <c r="FI37" s="51">
        <f t="shared" si="64"/>
        <v>0</v>
      </c>
      <c r="FJ37" s="51">
        <f t="shared" si="64"/>
        <v>0</v>
      </c>
      <c r="FK37" s="51">
        <f t="shared" si="64"/>
        <v>0</v>
      </c>
      <c r="FL37" s="51">
        <f t="shared" si="64"/>
        <v>0</v>
      </c>
      <c r="FM37" s="51">
        <f t="shared" si="64"/>
        <v>364259118</v>
      </c>
      <c r="FN37" s="51">
        <f t="shared" si="64"/>
        <v>264152000</v>
      </c>
      <c r="FO37" s="51">
        <f t="shared" si="64"/>
        <v>70140000</v>
      </c>
      <c r="FP37" s="51">
        <f t="shared" si="64"/>
        <v>1000000</v>
      </c>
      <c r="FQ37" s="51">
        <f t="shared" si="64"/>
        <v>0</v>
      </c>
      <c r="FR37" s="51">
        <f t="shared" si="64"/>
        <v>0</v>
      </c>
      <c r="FS37" s="51">
        <f t="shared" si="64"/>
        <v>0</v>
      </c>
      <c r="FT37" s="51">
        <f t="shared" si="64"/>
        <v>0</v>
      </c>
      <c r="FU37" s="51">
        <f t="shared" si="64"/>
        <v>0</v>
      </c>
      <c r="FV37" s="51">
        <f t="shared" si="64"/>
        <v>0</v>
      </c>
      <c r="FW37" s="51">
        <f t="shared" si="64"/>
        <v>0</v>
      </c>
      <c r="FX37" s="51">
        <f t="shared" si="64"/>
        <v>0</v>
      </c>
      <c r="FY37" s="51">
        <f t="shared" si="64"/>
        <v>0</v>
      </c>
      <c r="FZ37" s="51">
        <f t="shared" si="64"/>
        <v>0</v>
      </c>
      <c r="GA37" s="51">
        <f t="shared" si="64"/>
        <v>0</v>
      </c>
      <c r="GB37" s="51">
        <f t="shared" si="64"/>
        <v>0</v>
      </c>
      <c r="GC37" s="51">
        <f t="shared" si="64"/>
        <v>0</v>
      </c>
      <c r="GD37" s="51">
        <f t="shared" si="64"/>
        <v>0</v>
      </c>
      <c r="GE37" s="51">
        <f t="shared" si="64"/>
        <v>0</v>
      </c>
      <c r="GF37" s="51">
        <f t="shared" si="64"/>
        <v>0</v>
      </c>
      <c r="GG37" s="51">
        <f t="shared" si="64"/>
        <v>0</v>
      </c>
      <c r="GH37" s="51">
        <f t="shared" si="64"/>
        <v>0</v>
      </c>
      <c r="GI37" s="51">
        <f t="shared" si="64"/>
        <v>0</v>
      </c>
      <c r="GJ37" s="51">
        <f t="shared" si="64"/>
        <v>0</v>
      </c>
      <c r="GK37" s="51">
        <f t="shared" si="64"/>
        <v>0</v>
      </c>
      <c r="GL37" s="51">
        <f t="shared" si="64"/>
        <v>0</v>
      </c>
      <c r="GM37" s="51">
        <f t="shared" si="64"/>
        <v>0</v>
      </c>
      <c r="GN37" s="51">
        <f t="shared" si="64"/>
        <v>0</v>
      </c>
      <c r="GO37" s="51">
        <f t="shared" si="64"/>
        <v>0</v>
      </c>
      <c r="GP37" s="51">
        <f t="shared" si="64"/>
        <v>1000000000</v>
      </c>
      <c r="GQ37" s="51">
        <f t="shared" si="64"/>
        <v>0</v>
      </c>
      <c r="GR37" s="51">
        <f t="shared" si="64"/>
        <v>0</v>
      </c>
      <c r="GS37" s="51">
        <f t="shared" si="64"/>
        <v>0</v>
      </c>
      <c r="GT37" s="51">
        <f t="shared" si="64"/>
        <v>0</v>
      </c>
      <c r="GU37" s="51">
        <f t="shared" si="64"/>
        <v>1000000000</v>
      </c>
      <c r="GV37" s="51">
        <f t="shared" si="64"/>
        <v>364259118</v>
      </c>
      <c r="GW37" s="51">
        <f t="shared" si="64"/>
        <v>264152000</v>
      </c>
      <c r="GX37" s="51">
        <f t="shared" si="64"/>
        <v>70140000</v>
      </c>
      <c r="GY37" s="51">
        <f t="shared" si="64"/>
        <v>1000000</v>
      </c>
      <c r="GZ37" s="51">
        <f t="shared" si="64"/>
        <v>4200000000</v>
      </c>
    </row>
    <row r="38" spans="1:208" ht="107.25" customHeight="1" x14ac:dyDescent="0.2">
      <c r="A38" s="326"/>
      <c r="B38" s="326"/>
      <c r="C38" s="288">
        <v>5</v>
      </c>
      <c r="D38" s="258" t="s">
        <v>120</v>
      </c>
      <c r="E38" s="265" t="s">
        <v>121</v>
      </c>
      <c r="F38" s="265" t="s">
        <v>122</v>
      </c>
      <c r="G38" s="260">
        <v>21</v>
      </c>
      <c r="H38" s="261" t="s">
        <v>123</v>
      </c>
      <c r="I38" s="258" t="s">
        <v>124</v>
      </c>
      <c r="J38" s="262" t="s">
        <v>125</v>
      </c>
      <c r="K38" s="262">
        <v>13</v>
      </c>
      <c r="L38" s="263" t="s">
        <v>73</v>
      </c>
      <c r="M38" s="264">
        <v>20</v>
      </c>
      <c r="N38" s="264">
        <v>400</v>
      </c>
      <c r="O38" s="265">
        <v>100</v>
      </c>
      <c r="P38" s="266">
        <v>100</v>
      </c>
      <c r="Q38" s="264">
        <v>100</v>
      </c>
      <c r="R38" s="268"/>
      <c r="S38" s="286">
        <v>194</v>
      </c>
      <c r="T38" s="264">
        <v>100</v>
      </c>
      <c r="U38" s="264"/>
      <c r="V38" s="270">
        <v>505</v>
      </c>
      <c r="W38" s="264">
        <v>100</v>
      </c>
      <c r="X38" s="264"/>
      <c r="Y38" s="656">
        <v>40</v>
      </c>
      <c r="Z38" s="272">
        <f>BM38/BM37</f>
        <v>1</v>
      </c>
      <c r="AA38" s="260">
        <v>12</v>
      </c>
      <c r="AB38" s="327" t="s">
        <v>74</v>
      </c>
      <c r="AC38" s="53"/>
      <c r="AD38" s="54"/>
      <c r="AE38" s="54"/>
      <c r="AF38" s="54"/>
      <c r="AG38" s="53"/>
      <c r="AH38" s="54"/>
      <c r="AI38" s="54"/>
      <c r="AJ38" s="54"/>
      <c r="AK38" s="53">
        <v>200000000</v>
      </c>
      <c r="AL38" s="54">
        <v>200000000</v>
      </c>
      <c r="AM38" s="54">
        <v>167536440</v>
      </c>
      <c r="AN38" s="54">
        <v>101536440</v>
      </c>
      <c r="AO38" s="53"/>
      <c r="AP38" s="54"/>
      <c r="AQ38" s="54"/>
      <c r="AR38" s="54"/>
      <c r="AS38" s="53"/>
      <c r="AT38" s="54"/>
      <c r="AU38" s="54"/>
      <c r="AV38" s="54"/>
      <c r="AW38" s="53"/>
      <c r="AX38" s="54"/>
      <c r="AY38" s="54"/>
      <c r="AZ38" s="54"/>
      <c r="BA38" s="53"/>
      <c r="BB38" s="54"/>
      <c r="BC38" s="54"/>
      <c r="BD38" s="54"/>
      <c r="BE38" s="53"/>
      <c r="BF38" s="54"/>
      <c r="BG38" s="54"/>
      <c r="BH38" s="54"/>
      <c r="BI38" s="53">
        <v>1000000000</v>
      </c>
      <c r="BJ38" s="54"/>
      <c r="BK38" s="54"/>
      <c r="BL38" s="54"/>
      <c r="BM38" s="53">
        <f>+AC38+AG38+AK38+AO38+AS38+AW38+BA38+BE38+BI38</f>
        <v>1200000000</v>
      </c>
      <c r="BN38" s="54">
        <f t="shared" ref="BN38:BP41" si="65">AD38+AH38+AL38+AP38+AT38+AX38+BB38+BF38+BJ38</f>
        <v>200000000</v>
      </c>
      <c r="BO38" s="54">
        <f t="shared" si="65"/>
        <v>167536440</v>
      </c>
      <c r="BP38" s="54">
        <f t="shared" si="65"/>
        <v>101536440</v>
      </c>
      <c r="BQ38" s="83"/>
      <c r="BR38" s="83"/>
      <c r="BS38" s="83"/>
      <c r="BT38" s="83"/>
      <c r="BU38" s="83"/>
      <c r="BV38" s="83"/>
      <c r="BW38" s="83"/>
      <c r="BX38" s="83"/>
      <c r="BY38" s="83"/>
      <c r="BZ38" s="83"/>
      <c r="CA38" s="83">
        <v>100000000</v>
      </c>
      <c r="CB38" s="83">
        <v>71426997</v>
      </c>
      <c r="CC38" s="83">
        <v>71272597</v>
      </c>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v>100000000</v>
      </c>
      <c r="DB38" s="83"/>
      <c r="DC38" s="83"/>
      <c r="DD38" s="83"/>
      <c r="DE38" s="81">
        <f t="shared" ref="DE38:DE72" si="66">BQ38+BU38+BZ38+CE38+CI38+CM38+CQ38+CV38+DA38</f>
        <v>100000000</v>
      </c>
      <c r="DF38" s="95">
        <f t="shared" ref="DF38:DH41" si="67">BR38+BV38+CA38+CF38+CJ38+CN38+CR38+CW38+DB38</f>
        <v>100000000</v>
      </c>
      <c r="DG38" s="95">
        <f t="shared" si="67"/>
        <v>71426997</v>
      </c>
      <c r="DH38" s="95">
        <f t="shared" si="67"/>
        <v>71272597</v>
      </c>
      <c r="DI38" s="95"/>
      <c r="DJ38" s="83"/>
      <c r="DK38" s="82"/>
      <c r="DL38" s="83"/>
      <c r="DM38" s="83"/>
      <c r="DN38" s="83"/>
      <c r="DO38" s="83">
        <v>20000000</v>
      </c>
      <c r="DP38" s="83">
        <v>12553333</v>
      </c>
      <c r="DQ38" s="83">
        <v>12553333</v>
      </c>
      <c r="DR38" s="83"/>
      <c r="DS38" s="83"/>
      <c r="DT38" s="83">
        <v>44000000</v>
      </c>
      <c r="DU38" s="83">
        <v>43870000</v>
      </c>
      <c r="DV38" s="83">
        <v>43870000</v>
      </c>
      <c r="DW38" s="83"/>
      <c r="DX38" s="83"/>
      <c r="DY38" s="83"/>
      <c r="DZ38" s="83"/>
      <c r="EA38" s="83"/>
      <c r="EB38" s="83"/>
      <c r="EC38" s="83"/>
      <c r="ED38" s="83"/>
      <c r="EE38" s="83"/>
      <c r="EF38" s="83"/>
      <c r="EG38" s="83"/>
      <c r="EH38" s="83"/>
      <c r="EI38" s="83"/>
      <c r="EJ38" s="83"/>
      <c r="EK38" s="83"/>
      <c r="EL38" s="83"/>
      <c r="EM38" s="83"/>
      <c r="EN38" s="83"/>
      <c r="EO38" s="83"/>
      <c r="EP38" s="83"/>
      <c r="EQ38" s="83"/>
      <c r="ER38" s="83"/>
      <c r="ES38" s="83">
        <v>100000000</v>
      </c>
      <c r="ET38" s="83"/>
      <c r="EU38" s="83"/>
      <c r="EV38" s="83"/>
      <c r="EW38" s="81">
        <f t="shared" ref="EW38:EX41" si="68">DJ38+DN38+DS38+DX38+EB38+EF38+EJ38+EN38+ES38</f>
        <v>100000000</v>
      </c>
      <c r="EX38" s="86">
        <f t="shared" si="68"/>
        <v>64000000</v>
      </c>
      <c r="EY38" s="86">
        <f t="shared" ref="EY38:EZ41" si="69">DL38+DP38+DU38+DZ38+ED38+EH38+EL38+EP38+EU38</f>
        <v>56423333</v>
      </c>
      <c r="EZ38" s="86">
        <f t="shared" si="69"/>
        <v>56423333</v>
      </c>
      <c r="FA38" s="176"/>
      <c r="FB38" s="83"/>
      <c r="FC38" s="84"/>
      <c r="FD38" s="84"/>
      <c r="FE38" s="84"/>
      <c r="FF38" s="140"/>
      <c r="FG38" s="83"/>
      <c r="FH38" s="83"/>
      <c r="FI38" s="83"/>
      <c r="FJ38" s="83"/>
      <c r="FK38" s="83"/>
      <c r="FL38" s="83"/>
      <c r="FM38" s="83">
        <v>69680000</v>
      </c>
      <c r="FN38" s="83">
        <v>43672000</v>
      </c>
      <c r="FO38" s="83">
        <v>21500000</v>
      </c>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v>100000000</v>
      </c>
      <c r="GQ38" s="83"/>
      <c r="GR38" s="83"/>
      <c r="GS38" s="83"/>
      <c r="GT38" s="83"/>
      <c r="GU38" s="81">
        <f>FB38+FG38+FL38+FQ38+FV38+GA38+GF38+GK38+GP38</f>
        <v>100000000</v>
      </c>
      <c r="GV38" s="81">
        <f t="shared" ref="GV38:GY41" si="70">GQ38+GL38+GG38+GB38+FW38+FR38+FM38+FH38</f>
        <v>69680000</v>
      </c>
      <c r="GW38" s="81">
        <f t="shared" si="70"/>
        <v>43672000</v>
      </c>
      <c r="GX38" s="81">
        <f t="shared" si="70"/>
        <v>21500000</v>
      </c>
      <c r="GY38" s="673">
        <f t="shared" si="70"/>
        <v>0</v>
      </c>
      <c r="GZ38" s="67">
        <f>BM38+DE38+EW38+GU38</f>
        <v>1500000000</v>
      </c>
    </row>
    <row r="39" spans="1:208" ht="99.75" customHeight="1" x14ac:dyDescent="0.2">
      <c r="A39" s="326"/>
      <c r="B39" s="326"/>
      <c r="C39" s="288">
        <v>6</v>
      </c>
      <c r="D39" s="258" t="s">
        <v>126</v>
      </c>
      <c r="E39" s="265" t="s">
        <v>127</v>
      </c>
      <c r="F39" s="265" t="s">
        <v>128</v>
      </c>
      <c r="G39" s="260">
        <v>22</v>
      </c>
      <c r="H39" s="261" t="s">
        <v>129</v>
      </c>
      <c r="I39" s="258" t="s">
        <v>130</v>
      </c>
      <c r="J39" s="262" t="s">
        <v>125</v>
      </c>
      <c r="K39" s="262">
        <v>13</v>
      </c>
      <c r="L39" s="263" t="s">
        <v>73</v>
      </c>
      <c r="M39" s="264">
        <v>0</v>
      </c>
      <c r="N39" s="264">
        <v>6</v>
      </c>
      <c r="O39" s="264">
        <v>0</v>
      </c>
      <c r="P39" s="270"/>
      <c r="Q39" s="264">
        <v>1</v>
      </c>
      <c r="R39" s="268"/>
      <c r="S39" s="286">
        <v>2</v>
      </c>
      <c r="T39" s="264">
        <v>2</v>
      </c>
      <c r="U39" s="264"/>
      <c r="V39" s="270">
        <v>2</v>
      </c>
      <c r="W39" s="264">
        <v>3</v>
      </c>
      <c r="X39" s="264"/>
      <c r="Y39" s="656">
        <v>1.3</v>
      </c>
      <c r="Z39" s="328"/>
      <c r="AA39" s="260">
        <v>12</v>
      </c>
      <c r="AB39" s="327" t="s">
        <v>74</v>
      </c>
      <c r="AC39" s="53"/>
      <c r="AD39" s="54"/>
      <c r="AE39" s="54"/>
      <c r="AF39" s="54"/>
      <c r="AG39" s="53"/>
      <c r="AH39" s="54"/>
      <c r="AI39" s="54"/>
      <c r="AJ39" s="54"/>
      <c r="AK39" s="53"/>
      <c r="AL39" s="54"/>
      <c r="AM39" s="54"/>
      <c r="AN39" s="54"/>
      <c r="AO39" s="53"/>
      <c r="AP39" s="54"/>
      <c r="AQ39" s="54"/>
      <c r="AR39" s="54"/>
      <c r="AS39" s="53"/>
      <c r="AT39" s="54"/>
      <c r="AU39" s="54"/>
      <c r="AV39" s="54"/>
      <c r="AW39" s="53"/>
      <c r="AX39" s="54"/>
      <c r="AY39" s="54"/>
      <c r="AZ39" s="54"/>
      <c r="BA39" s="53"/>
      <c r="BB39" s="54"/>
      <c r="BC39" s="54"/>
      <c r="BD39" s="54"/>
      <c r="BE39" s="53"/>
      <c r="BF39" s="54"/>
      <c r="BG39" s="54"/>
      <c r="BH39" s="54"/>
      <c r="BI39" s="53"/>
      <c r="BJ39" s="54"/>
      <c r="BK39" s="54"/>
      <c r="BL39" s="54"/>
      <c r="BM39" s="53">
        <f>+AC39+AG39+AK39+AO39+AS39+AW39+BA39+BE39+BI39</f>
        <v>0</v>
      </c>
      <c r="BN39" s="54">
        <f t="shared" si="65"/>
        <v>0</v>
      </c>
      <c r="BO39" s="54">
        <f t="shared" si="65"/>
        <v>0</v>
      </c>
      <c r="BP39" s="54">
        <f t="shared" si="65"/>
        <v>0</v>
      </c>
      <c r="BQ39" s="83"/>
      <c r="BR39" s="83"/>
      <c r="BS39" s="83"/>
      <c r="BT39" s="83"/>
      <c r="BU39" s="83"/>
      <c r="BV39" s="83"/>
      <c r="BW39" s="83"/>
      <c r="BX39" s="83"/>
      <c r="BY39" s="83"/>
      <c r="BZ39" s="83"/>
      <c r="CA39" s="83">
        <v>50000000</v>
      </c>
      <c r="CB39" s="83">
        <v>48509333</v>
      </c>
      <c r="CC39" s="83">
        <v>48509333</v>
      </c>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v>200000000</v>
      </c>
      <c r="DB39" s="83"/>
      <c r="DC39" s="83"/>
      <c r="DD39" s="83"/>
      <c r="DE39" s="81">
        <f t="shared" si="66"/>
        <v>200000000</v>
      </c>
      <c r="DF39" s="95">
        <f t="shared" si="67"/>
        <v>50000000</v>
      </c>
      <c r="DG39" s="95">
        <f t="shared" si="67"/>
        <v>48509333</v>
      </c>
      <c r="DH39" s="95">
        <f t="shared" si="67"/>
        <v>48509333</v>
      </c>
      <c r="DI39" s="95"/>
      <c r="DJ39" s="83"/>
      <c r="DK39" s="82"/>
      <c r="DL39" s="83"/>
      <c r="DM39" s="83"/>
      <c r="DN39" s="83"/>
      <c r="DO39" s="83"/>
      <c r="DP39" s="83"/>
      <c r="DQ39" s="83"/>
      <c r="DR39" s="83"/>
      <c r="DS39" s="83"/>
      <c r="DT39" s="83">
        <v>28000000</v>
      </c>
      <c r="DU39" s="83">
        <v>27220000</v>
      </c>
      <c r="DV39" s="83">
        <v>27220000</v>
      </c>
      <c r="DW39" s="83"/>
      <c r="DX39" s="83"/>
      <c r="DY39" s="83"/>
      <c r="DZ39" s="83"/>
      <c r="EA39" s="83"/>
      <c r="EB39" s="83"/>
      <c r="EC39" s="83"/>
      <c r="ED39" s="83"/>
      <c r="EE39" s="83"/>
      <c r="EF39" s="83"/>
      <c r="EG39" s="83"/>
      <c r="EH39" s="83"/>
      <c r="EI39" s="83"/>
      <c r="EJ39" s="83"/>
      <c r="EK39" s="83"/>
      <c r="EL39" s="83"/>
      <c r="EM39" s="83"/>
      <c r="EN39" s="83"/>
      <c r="EO39" s="83"/>
      <c r="EP39" s="83"/>
      <c r="EQ39" s="83"/>
      <c r="ER39" s="83"/>
      <c r="ES39" s="83">
        <v>200000000</v>
      </c>
      <c r="ET39" s="83"/>
      <c r="EU39" s="83"/>
      <c r="EV39" s="83"/>
      <c r="EW39" s="81">
        <f t="shared" si="68"/>
        <v>200000000</v>
      </c>
      <c r="EX39" s="86">
        <f t="shared" si="68"/>
        <v>28000000</v>
      </c>
      <c r="EY39" s="86">
        <f t="shared" si="69"/>
        <v>27220000</v>
      </c>
      <c r="EZ39" s="86">
        <f t="shared" si="69"/>
        <v>27220000</v>
      </c>
      <c r="FA39" s="176"/>
      <c r="FB39" s="83"/>
      <c r="FC39" s="84"/>
      <c r="FD39" s="84"/>
      <c r="FE39" s="84"/>
      <c r="FF39" s="140"/>
      <c r="FG39" s="83"/>
      <c r="FH39" s="83"/>
      <c r="FI39" s="83"/>
      <c r="FJ39" s="83"/>
      <c r="FK39" s="83"/>
      <c r="FL39" s="83"/>
      <c r="FM39" s="83">
        <v>44300000</v>
      </c>
      <c r="FN39" s="83">
        <v>18500000</v>
      </c>
      <c r="FO39" s="83">
        <v>12500000</v>
      </c>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v>200000000</v>
      </c>
      <c r="GQ39" s="83"/>
      <c r="GR39" s="83"/>
      <c r="GS39" s="83"/>
      <c r="GT39" s="83"/>
      <c r="GU39" s="81">
        <f>FB39+FG39+FL39+FQ39+FV39+GA39+GF39+GK39+GP39</f>
        <v>200000000</v>
      </c>
      <c r="GV39" s="81">
        <f t="shared" si="70"/>
        <v>44300000</v>
      </c>
      <c r="GW39" s="81">
        <f t="shared" si="70"/>
        <v>18500000</v>
      </c>
      <c r="GX39" s="81">
        <f t="shared" si="70"/>
        <v>12500000</v>
      </c>
      <c r="GY39" s="673">
        <f t="shared" si="70"/>
        <v>0</v>
      </c>
      <c r="GZ39" s="67">
        <f>BM39+DE39+EW39+GU39</f>
        <v>600000000</v>
      </c>
    </row>
    <row r="40" spans="1:208" ht="72" customHeight="1" x14ac:dyDescent="0.2">
      <c r="A40" s="326"/>
      <c r="B40" s="326"/>
      <c r="C40" s="456">
        <v>7</v>
      </c>
      <c r="D40" s="721" t="s">
        <v>131</v>
      </c>
      <c r="E40" s="417" t="s">
        <v>132</v>
      </c>
      <c r="F40" s="994">
        <v>0.27</v>
      </c>
      <c r="G40" s="260">
        <v>23</v>
      </c>
      <c r="H40" s="261" t="s">
        <v>133</v>
      </c>
      <c r="I40" s="261" t="s">
        <v>134</v>
      </c>
      <c r="J40" s="262" t="s">
        <v>125</v>
      </c>
      <c r="K40" s="262">
        <v>13</v>
      </c>
      <c r="L40" s="262" t="s">
        <v>58</v>
      </c>
      <c r="M40" s="265">
        <v>0</v>
      </c>
      <c r="N40" s="265">
        <v>1</v>
      </c>
      <c r="O40" s="265">
        <v>0</v>
      </c>
      <c r="P40" s="266"/>
      <c r="Q40" s="265">
        <v>1</v>
      </c>
      <c r="R40" s="268"/>
      <c r="S40" s="329">
        <v>1</v>
      </c>
      <c r="T40" s="265">
        <v>1</v>
      </c>
      <c r="U40" s="265"/>
      <c r="V40" s="266">
        <v>1</v>
      </c>
      <c r="W40" s="265">
        <v>1</v>
      </c>
      <c r="X40" s="265"/>
      <c r="Y40" s="657">
        <v>0.5</v>
      </c>
      <c r="Z40" s="328"/>
      <c r="AA40" s="260">
        <v>8</v>
      </c>
      <c r="AB40" s="327" t="s">
        <v>135</v>
      </c>
      <c r="AC40" s="53"/>
      <c r="AD40" s="54"/>
      <c r="AE40" s="54"/>
      <c r="AF40" s="54"/>
      <c r="AG40" s="53"/>
      <c r="AH40" s="54"/>
      <c r="AI40" s="54"/>
      <c r="AJ40" s="54"/>
      <c r="AK40" s="53"/>
      <c r="AL40" s="54"/>
      <c r="AM40" s="54"/>
      <c r="AN40" s="54"/>
      <c r="AO40" s="53"/>
      <c r="AP40" s="54"/>
      <c r="AQ40" s="54"/>
      <c r="AR40" s="54"/>
      <c r="AS40" s="53"/>
      <c r="AT40" s="54"/>
      <c r="AU40" s="54"/>
      <c r="AV40" s="54"/>
      <c r="AW40" s="53"/>
      <c r="AX40" s="54"/>
      <c r="AY40" s="54"/>
      <c r="AZ40" s="54"/>
      <c r="BA40" s="53"/>
      <c r="BB40" s="54"/>
      <c r="BC40" s="54"/>
      <c r="BD40" s="54"/>
      <c r="BE40" s="53"/>
      <c r="BF40" s="54"/>
      <c r="BG40" s="54"/>
      <c r="BH40" s="54"/>
      <c r="BI40" s="53"/>
      <c r="BJ40" s="54"/>
      <c r="BK40" s="54"/>
      <c r="BL40" s="54"/>
      <c r="BM40" s="53">
        <f>+AC40+AG40+AK40+AO40+AS40+AW40+BA40+BE40+BI40</f>
        <v>0</v>
      </c>
      <c r="BN40" s="54">
        <f t="shared" si="65"/>
        <v>0</v>
      </c>
      <c r="BO40" s="54">
        <f t="shared" si="65"/>
        <v>0</v>
      </c>
      <c r="BP40" s="54">
        <f t="shared" si="65"/>
        <v>0</v>
      </c>
      <c r="BQ40" s="83"/>
      <c r="BR40" s="83"/>
      <c r="BS40" s="83"/>
      <c r="BT40" s="83"/>
      <c r="BU40" s="83"/>
      <c r="BV40" s="83"/>
      <c r="BW40" s="83"/>
      <c r="BX40" s="83"/>
      <c r="BY40" s="83"/>
      <c r="BZ40" s="83"/>
      <c r="CA40" s="83">
        <v>150000000</v>
      </c>
      <c r="CB40" s="83">
        <v>76732570</v>
      </c>
      <c r="CC40" s="83">
        <v>76732570</v>
      </c>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v>100000000</v>
      </c>
      <c r="DB40" s="83"/>
      <c r="DC40" s="83"/>
      <c r="DD40" s="83"/>
      <c r="DE40" s="81">
        <f t="shared" si="66"/>
        <v>100000000</v>
      </c>
      <c r="DF40" s="95">
        <f t="shared" si="67"/>
        <v>150000000</v>
      </c>
      <c r="DG40" s="95">
        <f t="shared" si="67"/>
        <v>76732570</v>
      </c>
      <c r="DH40" s="95">
        <f t="shared" si="67"/>
        <v>76732570</v>
      </c>
      <c r="DI40" s="95"/>
      <c r="DJ40" s="83"/>
      <c r="DK40" s="82"/>
      <c r="DL40" s="83"/>
      <c r="DM40" s="83"/>
      <c r="DN40" s="83"/>
      <c r="DO40" s="83">
        <v>30000000</v>
      </c>
      <c r="DP40" s="83">
        <v>27800666</v>
      </c>
      <c r="DQ40" s="83">
        <v>27800666</v>
      </c>
      <c r="DR40" s="83"/>
      <c r="DS40" s="83"/>
      <c r="DT40" s="83">
        <v>114000000</v>
      </c>
      <c r="DU40" s="83">
        <v>106090000</v>
      </c>
      <c r="DV40" s="83">
        <v>105090000</v>
      </c>
      <c r="DW40" s="83"/>
      <c r="DX40" s="83"/>
      <c r="DY40" s="83"/>
      <c r="DZ40" s="83"/>
      <c r="EA40" s="83"/>
      <c r="EB40" s="83"/>
      <c r="EC40" s="83"/>
      <c r="ED40" s="83"/>
      <c r="EE40" s="83"/>
      <c r="EF40" s="83"/>
      <c r="EG40" s="83"/>
      <c r="EH40" s="83"/>
      <c r="EI40" s="83"/>
      <c r="EJ40" s="83"/>
      <c r="EK40" s="83"/>
      <c r="EL40" s="83"/>
      <c r="EM40" s="83"/>
      <c r="EN40" s="83"/>
      <c r="EO40" s="83"/>
      <c r="EP40" s="83"/>
      <c r="EQ40" s="83"/>
      <c r="ER40" s="83"/>
      <c r="ES40" s="83">
        <v>100000000</v>
      </c>
      <c r="ET40" s="83"/>
      <c r="EU40" s="83"/>
      <c r="EV40" s="83"/>
      <c r="EW40" s="81">
        <f t="shared" si="68"/>
        <v>100000000</v>
      </c>
      <c r="EX40" s="86">
        <f t="shared" si="68"/>
        <v>144000000</v>
      </c>
      <c r="EY40" s="86">
        <f t="shared" si="69"/>
        <v>133890666</v>
      </c>
      <c r="EZ40" s="86">
        <f t="shared" si="69"/>
        <v>132890666</v>
      </c>
      <c r="FA40" s="176"/>
      <c r="FB40" s="83"/>
      <c r="FC40" s="84"/>
      <c r="FD40" s="84"/>
      <c r="FE40" s="84"/>
      <c r="FF40" s="140"/>
      <c r="FG40" s="83"/>
      <c r="FH40" s="83"/>
      <c r="FI40" s="83"/>
      <c r="FJ40" s="83"/>
      <c r="FK40" s="83"/>
      <c r="FL40" s="83"/>
      <c r="FM40" s="83">
        <v>69680000</v>
      </c>
      <c r="FN40" s="83">
        <v>42880000</v>
      </c>
      <c r="FO40" s="83">
        <v>19840000</v>
      </c>
      <c r="FP40" s="83">
        <v>1000000</v>
      </c>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v>100000000</v>
      </c>
      <c r="GQ40" s="83"/>
      <c r="GR40" s="83"/>
      <c r="GS40" s="83"/>
      <c r="GT40" s="83"/>
      <c r="GU40" s="81">
        <f>FB40+FG40+FL40+FQ40+FV40+GA40+GF40+GK40+GP40</f>
        <v>100000000</v>
      </c>
      <c r="GV40" s="81">
        <f t="shared" si="70"/>
        <v>69680000</v>
      </c>
      <c r="GW40" s="81">
        <f t="shared" si="70"/>
        <v>42880000</v>
      </c>
      <c r="GX40" s="81">
        <f t="shared" si="70"/>
        <v>19840000</v>
      </c>
      <c r="GY40" s="673">
        <f t="shared" si="70"/>
        <v>1000000</v>
      </c>
      <c r="GZ40" s="67">
        <f>BM40+DE40+EW40+GU40</f>
        <v>300000000</v>
      </c>
    </row>
    <row r="41" spans="1:208" ht="72" customHeight="1" x14ac:dyDescent="0.2">
      <c r="A41" s="326"/>
      <c r="B41" s="331"/>
      <c r="C41" s="332"/>
      <c r="D41" s="333"/>
      <c r="E41" s="334"/>
      <c r="F41" s="335"/>
      <c r="G41" s="265">
        <v>24</v>
      </c>
      <c r="H41" s="261" t="s">
        <v>136</v>
      </c>
      <c r="I41" s="258" t="s">
        <v>137</v>
      </c>
      <c r="J41" s="262" t="s">
        <v>125</v>
      </c>
      <c r="K41" s="262">
        <v>13</v>
      </c>
      <c r="L41" s="262" t="s">
        <v>58</v>
      </c>
      <c r="M41" s="265">
        <v>0</v>
      </c>
      <c r="N41" s="265">
        <v>1</v>
      </c>
      <c r="O41" s="265">
        <v>0</v>
      </c>
      <c r="P41" s="266"/>
      <c r="Q41" s="265">
        <v>1</v>
      </c>
      <c r="R41" s="268"/>
      <c r="S41" s="314">
        <v>4</v>
      </c>
      <c r="T41" s="682">
        <v>0</v>
      </c>
      <c r="U41" s="682">
        <v>1</v>
      </c>
      <c r="V41" s="810">
        <v>1</v>
      </c>
      <c r="W41" s="811"/>
      <c r="X41" s="682">
        <v>1</v>
      </c>
      <c r="Y41" s="812">
        <v>0.6</v>
      </c>
      <c r="Z41" s="328"/>
      <c r="AA41" s="260">
        <v>8</v>
      </c>
      <c r="AB41" s="327" t="s">
        <v>135</v>
      </c>
      <c r="AC41" s="53"/>
      <c r="AD41" s="54"/>
      <c r="AE41" s="54"/>
      <c r="AF41" s="54"/>
      <c r="AG41" s="53"/>
      <c r="AH41" s="54"/>
      <c r="AI41" s="54"/>
      <c r="AJ41" s="54"/>
      <c r="AK41" s="53"/>
      <c r="AL41" s="54"/>
      <c r="AM41" s="54"/>
      <c r="AN41" s="54"/>
      <c r="AO41" s="53"/>
      <c r="AP41" s="54"/>
      <c r="AQ41" s="54"/>
      <c r="AR41" s="54"/>
      <c r="AS41" s="53"/>
      <c r="AT41" s="54"/>
      <c r="AU41" s="54"/>
      <c r="AV41" s="54"/>
      <c r="AW41" s="53"/>
      <c r="AX41" s="54"/>
      <c r="AY41" s="54"/>
      <c r="AZ41" s="54"/>
      <c r="BA41" s="53"/>
      <c r="BB41" s="54"/>
      <c r="BC41" s="54"/>
      <c r="BD41" s="54"/>
      <c r="BE41" s="53"/>
      <c r="BF41" s="54"/>
      <c r="BG41" s="54"/>
      <c r="BH41" s="54"/>
      <c r="BI41" s="53"/>
      <c r="BJ41" s="54"/>
      <c r="BK41" s="54"/>
      <c r="BL41" s="54"/>
      <c r="BM41" s="53">
        <f>+AC41+AG41+AK41+AO41+AS41+AW41+BA41+BE41+BI41</f>
        <v>0</v>
      </c>
      <c r="BN41" s="54">
        <f t="shared" si="65"/>
        <v>0</v>
      </c>
      <c r="BO41" s="54">
        <f t="shared" si="65"/>
        <v>0</v>
      </c>
      <c r="BP41" s="54">
        <f t="shared" si="65"/>
        <v>0</v>
      </c>
      <c r="BQ41" s="83"/>
      <c r="BR41" s="83"/>
      <c r="BS41" s="83"/>
      <c r="BT41" s="83"/>
      <c r="BU41" s="83"/>
      <c r="BV41" s="83"/>
      <c r="BW41" s="83"/>
      <c r="BX41" s="83"/>
      <c r="BY41" s="83"/>
      <c r="BZ41" s="83"/>
      <c r="CA41" s="83">
        <v>50000000</v>
      </c>
      <c r="CB41" s="83">
        <v>27925000</v>
      </c>
      <c r="CC41" s="83">
        <v>27925000</v>
      </c>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v>600000000</v>
      </c>
      <c r="DB41" s="83"/>
      <c r="DC41" s="83"/>
      <c r="DD41" s="83"/>
      <c r="DE41" s="81">
        <f t="shared" si="66"/>
        <v>600000000</v>
      </c>
      <c r="DF41" s="95">
        <f t="shared" si="67"/>
        <v>50000000</v>
      </c>
      <c r="DG41" s="95">
        <f t="shared" si="67"/>
        <v>27925000</v>
      </c>
      <c r="DH41" s="95">
        <f t="shared" si="67"/>
        <v>27925000</v>
      </c>
      <c r="DI41" s="95"/>
      <c r="DJ41" s="83"/>
      <c r="DK41" s="82"/>
      <c r="DL41" s="83"/>
      <c r="DM41" s="83"/>
      <c r="DN41" s="83"/>
      <c r="DO41" s="83">
        <v>50000000</v>
      </c>
      <c r="DP41" s="83">
        <v>49894333</v>
      </c>
      <c r="DQ41" s="83">
        <v>49894333</v>
      </c>
      <c r="DR41" s="83"/>
      <c r="DS41" s="83"/>
      <c r="DT41" s="83">
        <v>69000000</v>
      </c>
      <c r="DU41" s="83">
        <v>43518332</v>
      </c>
      <c r="DV41" s="83">
        <v>43518332</v>
      </c>
      <c r="DW41" s="83"/>
      <c r="DX41" s="83"/>
      <c r="DY41" s="83"/>
      <c r="DZ41" s="83"/>
      <c r="EA41" s="83"/>
      <c r="EB41" s="83"/>
      <c r="EC41" s="83"/>
      <c r="ED41" s="83"/>
      <c r="EE41" s="83"/>
      <c r="EF41" s="83"/>
      <c r="EG41" s="83"/>
      <c r="EH41" s="83"/>
      <c r="EI41" s="83"/>
      <c r="EJ41" s="83"/>
      <c r="EK41" s="83"/>
      <c r="EL41" s="83"/>
      <c r="EM41" s="83"/>
      <c r="EN41" s="83"/>
      <c r="EO41" s="83"/>
      <c r="EP41" s="83"/>
      <c r="EQ41" s="83"/>
      <c r="ER41" s="83"/>
      <c r="ES41" s="83">
        <v>600000000</v>
      </c>
      <c r="ET41" s="83"/>
      <c r="EU41" s="83"/>
      <c r="EV41" s="83"/>
      <c r="EW41" s="81">
        <f t="shared" si="68"/>
        <v>600000000</v>
      </c>
      <c r="EX41" s="86">
        <f t="shared" si="68"/>
        <v>119000000</v>
      </c>
      <c r="EY41" s="86">
        <f t="shared" si="69"/>
        <v>93412665</v>
      </c>
      <c r="EZ41" s="86">
        <f t="shared" si="69"/>
        <v>93412665</v>
      </c>
      <c r="FA41" s="176"/>
      <c r="FB41" s="83"/>
      <c r="FC41" s="84"/>
      <c r="FD41" s="84"/>
      <c r="FE41" s="84"/>
      <c r="FF41" s="140"/>
      <c r="FG41" s="83"/>
      <c r="FH41" s="83"/>
      <c r="FI41" s="83"/>
      <c r="FJ41" s="83"/>
      <c r="FK41" s="83"/>
      <c r="FL41" s="83"/>
      <c r="FM41" s="83">
        <v>180599118</v>
      </c>
      <c r="FN41" s="83">
        <v>159100000</v>
      </c>
      <c r="FO41" s="83">
        <v>16300000</v>
      </c>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v>600000000</v>
      </c>
      <c r="GQ41" s="83"/>
      <c r="GR41" s="83"/>
      <c r="GS41" s="83"/>
      <c r="GT41" s="83"/>
      <c r="GU41" s="81">
        <f>FB41+FG41+FL41+FQ41+FV41+GA41+GF41+GK41+GP41</f>
        <v>600000000</v>
      </c>
      <c r="GV41" s="81">
        <f t="shared" si="70"/>
        <v>180599118</v>
      </c>
      <c r="GW41" s="81">
        <f t="shared" si="70"/>
        <v>159100000</v>
      </c>
      <c r="GX41" s="81">
        <f t="shared" si="70"/>
        <v>16300000</v>
      </c>
      <c r="GY41" s="673">
        <f t="shared" si="70"/>
        <v>0</v>
      </c>
      <c r="GZ41" s="67">
        <f>BM41+DE41+EW41+GU41</f>
        <v>1800000000</v>
      </c>
    </row>
    <row r="42" spans="1:208" ht="24.75" customHeight="1" x14ac:dyDescent="0.2">
      <c r="A42" s="326"/>
      <c r="B42" s="326"/>
      <c r="C42" s="336">
        <v>5</v>
      </c>
      <c r="D42" s="337" t="s">
        <v>138</v>
      </c>
      <c r="E42" s="337"/>
      <c r="F42" s="338"/>
      <c r="G42" s="251"/>
      <c r="H42" s="251"/>
      <c r="I42" s="251"/>
      <c r="J42" s="251"/>
      <c r="K42" s="251"/>
      <c r="L42" s="251"/>
      <c r="M42" s="251"/>
      <c r="N42" s="251"/>
      <c r="O42" s="251"/>
      <c r="P42" s="251"/>
      <c r="Q42" s="251"/>
      <c r="R42" s="251"/>
      <c r="S42" s="251"/>
      <c r="T42" s="251"/>
      <c r="U42" s="251"/>
      <c r="V42" s="251"/>
      <c r="W42" s="251"/>
      <c r="X42" s="665"/>
      <c r="Y42" s="252"/>
      <c r="Z42" s="251"/>
      <c r="AA42" s="251"/>
      <c r="AB42" s="251"/>
      <c r="AC42" s="51">
        <f t="shared" ref="AC42:BL42" si="71">SUM(AC43:AC48)</f>
        <v>0</v>
      </c>
      <c r="AD42" s="51">
        <f t="shared" si="71"/>
        <v>0</v>
      </c>
      <c r="AE42" s="51">
        <f t="shared" si="71"/>
        <v>0</v>
      </c>
      <c r="AF42" s="51">
        <f t="shared" si="71"/>
        <v>0</v>
      </c>
      <c r="AG42" s="51">
        <f t="shared" si="71"/>
        <v>0</v>
      </c>
      <c r="AH42" s="51">
        <f t="shared" si="71"/>
        <v>0</v>
      </c>
      <c r="AI42" s="51">
        <f t="shared" si="71"/>
        <v>0</v>
      </c>
      <c r="AJ42" s="51">
        <f t="shared" si="71"/>
        <v>0</v>
      </c>
      <c r="AK42" s="51">
        <f t="shared" si="71"/>
        <v>0</v>
      </c>
      <c r="AL42" s="51">
        <f t="shared" si="71"/>
        <v>0</v>
      </c>
      <c r="AM42" s="51">
        <f t="shared" si="71"/>
        <v>0</v>
      </c>
      <c r="AN42" s="51">
        <f t="shared" si="71"/>
        <v>0</v>
      </c>
      <c r="AO42" s="51">
        <f t="shared" si="71"/>
        <v>0</v>
      </c>
      <c r="AP42" s="51">
        <f t="shared" si="71"/>
        <v>0</v>
      </c>
      <c r="AQ42" s="51">
        <f t="shared" si="71"/>
        <v>0</v>
      </c>
      <c r="AR42" s="51">
        <f t="shared" si="71"/>
        <v>0</v>
      </c>
      <c r="AS42" s="51">
        <f t="shared" si="71"/>
        <v>0</v>
      </c>
      <c r="AT42" s="51">
        <f t="shared" si="71"/>
        <v>0</v>
      </c>
      <c r="AU42" s="51">
        <f t="shared" si="71"/>
        <v>0</v>
      </c>
      <c r="AV42" s="51">
        <f t="shared" si="71"/>
        <v>0</v>
      </c>
      <c r="AW42" s="51">
        <f t="shared" si="71"/>
        <v>0</v>
      </c>
      <c r="AX42" s="51">
        <f t="shared" si="71"/>
        <v>0</v>
      </c>
      <c r="AY42" s="51">
        <f t="shared" si="71"/>
        <v>0</v>
      </c>
      <c r="AZ42" s="51">
        <f t="shared" si="71"/>
        <v>0</v>
      </c>
      <c r="BA42" s="51">
        <f t="shared" si="71"/>
        <v>0</v>
      </c>
      <c r="BB42" s="51">
        <f t="shared" si="71"/>
        <v>0</v>
      </c>
      <c r="BC42" s="51">
        <f t="shared" si="71"/>
        <v>0</v>
      </c>
      <c r="BD42" s="51">
        <f t="shared" si="71"/>
        <v>0</v>
      </c>
      <c r="BE42" s="51">
        <f t="shared" si="71"/>
        <v>0</v>
      </c>
      <c r="BF42" s="51">
        <f t="shared" si="71"/>
        <v>0</v>
      </c>
      <c r="BG42" s="51">
        <f t="shared" si="71"/>
        <v>0</v>
      </c>
      <c r="BH42" s="51">
        <f t="shared" si="71"/>
        <v>0</v>
      </c>
      <c r="BI42" s="51">
        <f t="shared" si="71"/>
        <v>6000000000</v>
      </c>
      <c r="BJ42" s="51">
        <f t="shared" si="71"/>
        <v>0</v>
      </c>
      <c r="BK42" s="51">
        <f t="shared" si="71"/>
        <v>0</v>
      </c>
      <c r="BL42" s="51">
        <f t="shared" si="71"/>
        <v>0</v>
      </c>
      <c r="BM42" s="51">
        <f t="shared" ref="BM42:DX42" si="72">SUM(BM43:BM48)</f>
        <v>6000000000</v>
      </c>
      <c r="BN42" s="51">
        <f t="shared" si="72"/>
        <v>0</v>
      </c>
      <c r="BO42" s="51">
        <f t="shared" si="72"/>
        <v>0</v>
      </c>
      <c r="BP42" s="51">
        <f t="shared" si="72"/>
        <v>0</v>
      </c>
      <c r="BQ42" s="51">
        <f t="shared" si="72"/>
        <v>3000000000</v>
      </c>
      <c r="BR42" s="51">
        <f t="shared" si="72"/>
        <v>0</v>
      </c>
      <c r="BS42" s="51">
        <f t="shared" si="72"/>
        <v>0</v>
      </c>
      <c r="BT42" s="51">
        <f t="shared" si="72"/>
        <v>0</v>
      </c>
      <c r="BU42" s="51">
        <f t="shared" si="72"/>
        <v>0</v>
      </c>
      <c r="BV42" s="51">
        <f t="shared" si="72"/>
        <v>80000000</v>
      </c>
      <c r="BW42" s="51">
        <f t="shared" si="72"/>
        <v>73300949</v>
      </c>
      <c r="BX42" s="51">
        <f t="shared" si="72"/>
        <v>73300949</v>
      </c>
      <c r="BY42" s="51">
        <f t="shared" si="72"/>
        <v>0</v>
      </c>
      <c r="BZ42" s="51">
        <f t="shared" si="72"/>
        <v>0</v>
      </c>
      <c r="CA42" s="51">
        <f t="shared" si="72"/>
        <v>400000000</v>
      </c>
      <c r="CB42" s="51">
        <f t="shared" si="72"/>
        <v>351707146</v>
      </c>
      <c r="CC42" s="51">
        <f t="shared" si="72"/>
        <v>331689812</v>
      </c>
      <c r="CD42" s="51">
        <f t="shared" si="72"/>
        <v>0</v>
      </c>
      <c r="CE42" s="51">
        <f t="shared" si="72"/>
        <v>0</v>
      </c>
      <c r="CF42" s="51">
        <f t="shared" si="72"/>
        <v>0</v>
      </c>
      <c r="CG42" s="51">
        <f t="shared" si="72"/>
        <v>0</v>
      </c>
      <c r="CH42" s="51">
        <f t="shared" si="72"/>
        <v>0</v>
      </c>
      <c r="CI42" s="51">
        <f t="shared" si="72"/>
        <v>0</v>
      </c>
      <c r="CJ42" s="51">
        <f t="shared" si="72"/>
        <v>0</v>
      </c>
      <c r="CK42" s="51">
        <f t="shared" si="72"/>
        <v>0</v>
      </c>
      <c r="CL42" s="51">
        <f t="shared" si="72"/>
        <v>0</v>
      </c>
      <c r="CM42" s="51">
        <f t="shared" si="72"/>
        <v>0</v>
      </c>
      <c r="CN42" s="51">
        <f t="shared" si="72"/>
        <v>0</v>
      </c>
      <c r="CO42" s="51">
        <f t="shared" si="72"/>
        <v>0</v>
      </c>
      <c r="CP42" s="51">
        <f t="shared" si="72"/>
        <v>0</v>
      </c>
      <c r="CQ42" s="51">
        <f t="shared" si="72"/>
        <v>0</v>
      </c>
      <c r="CR42" s="51">
        <f t="shared" si="72"/>
        <v>0</v>
      </c>
      <c r="CS42" s="51">
        <f t="shared" si="72"/>
        <v>0</v>
      </c>
      <c r="CT42" s="51">
        <f t="shared" si="72"/>
        <v>0</v>
      </c>
      <c r="CU42" s="51">
        <f t="shared" si="72"/>
        <v>0</v>
      </c>
      <c r="CV42" s="51">
        <f t="shared" si="72"/>
        <v>0</v>
      </c>
      <c r="CW42" s="51">
        <f t="shared" si="72"/>
        <v>0</v>
      </c>
      <c r="CX42" s="51">
        <f t="shared" si="72"/>
        <v>0</v>
      </c>
      <c r="CY42" s="51">
        <f t="shared" si="72"/>
        <v>0</v>
      </c>
      <c r="CZ42" s="51">
        <f t="shared" si="72"/>
        <v>0</v>
      </c>
      <c r="DA42" s="51">
        <f t="shared" si="72"/>
        <v>3000000000</v>
      </c>
      <c r="DB42" s="51">
        <f t="shared" si="72"/>
        <v>0</v>
      </c>
      <c r="DC42" s="51">
        <f t="shared" si="72"/>
        <v>0</v>
      </c>
      <c r="DD42" s="51">
        <f t="shared" si="72"/>
        <v>0</v>
      </c>
      <c r="DE42" s="51">
        <f t="shared" si="72"/>
        <v>6000000000</v>
      </c>
      <c r="DF42" s="51">
        <f t="shared" si="72"/>
        <v>480000000</v>
      </c>
      <c r="DG42" s="51">
        <f t="shared" si="72"/>
        <v>425008095</v>
      </c>
      <c r="DH42" s="51">
        <f t="shared" si="72"/>
        <v>404990761</v>
      </c>
      <c r="DI42" s="51">
        <f t="shared" si="72"/>
        <v>0</v>
      </c>
      <c r="DJ42" s="51">
        <f t="shared" si="72"/>
        <v>3000000000</v>
      </c>
      <c r="DK42" s="51">
        <f t="shared" si="72"/>
        <v>0</v>
      </c>
      <c r="DL42" s="51">
        <f t="shared" si="72"/>
        <v>0</v>
      </c>
      <c r="DM42" s="51">
        <f t="shared" si="72"/>
        <v>0</v>
      </c>
      <c r="DN42" s="51">
        <f t="shared" si="72"/>
        <v>0</v>
      </c>
      <c r="DO42" s="51">
        <f t="shared" si="72"/>
        <v>50000000</v>
      </c>
      <c r="DP42" s="51">
        <f t="shared" si="72"/>
        <v>49192064</v>
      </c>
      <c r="DQ42" s="51">
        <f t="shared" si="72"/>
        <v>49192064</v>
      </c>
      <c r="DR42" s="51">
        <f t="shared" si="72"/>
        <v>0</v>
      </c>
      <c r="DS42" s="51">
        <f t="shared" si="72"/>
        <v>0</v>
      </c>
      <c r="DT42" s="51">
        <f t="shared" si="72"/>
        <v>527000000</v>
      </c>
      <c r="DU42" s="51">
        <f t="shared" si="72"/>
        <v>198758836</v>
      </c>
      <c r="DV42" s="51">
        <f t="shared" si="72"/>
        <v>198758836</v>
      </c>
      <c r="DW42" s="51">
        <f t="shared" si="72"/>
        <v>19996934</v>
      </c>
      <c r="DX42" s="51">
        <f t="shared" si="72"/>
        <v>0</v>
      </c>
      <c r="DY42" s="51">
        <f t="shared" ref="DY42:EW42" si="73">SUM(DY43:DY48)</f>
        <v>0</v>
      </c>
      <c r="DZ42" s="51">
        <f t="shared" si="73"/>
        <v>0</v>
      </c>
      <c r="EA42" s="51">
        <f t="shared" si="73"/>
        <v>0</v>
      </c>
      <c r="EB42" s="51">
        <f t="shared" si="73"/>
        <v>0</v>
      </c>
      <c r="EC42" s="51">
        <f t="shared" si="73"/>
        <v>0</v>
      </c>
      <c r="ED42" s="51">
        <f t="shared" si="73"/>
        <v>0</v>
      </c>
      <c r="EE42" s="51">
        <f t="shared" si="73"/>
        <v>0</v>
      </c>
      <c r="EF42" s="51">
        <f t="shared" si="73"/>
        <v>0</v>
      </c>
      <c r="EG42" s="51">
        <f t="shared" si="73"/>
        <v>0</v>
      </c>
      <c r="EH42" s="51">
        <f t="shared" si="73"/>
        <v>0</v>
      </c>
      <c r="EI42" s="51">
        <f t="shared" si="73"/>
        <v>0</v>
      </c>
      <c r="EJ42" s="51">
        <f t="shared" si="73"/>
        <v>0</v>
      </c>
      <c r="EK42" s="51">
        <f t="shared" si="73"/>
        <v>0</v>
      </c>
      <c r="EL42" s="51">
        <f t="shared" si="73"/>
        <v>0</v>
      </c>
      <c r="EM42" s="51">
        <f t="shared" si="73"/>
        <v>0</v>
      </c>
      <c r="EN42" s="51">
        <f t="shared" si="73"/>
        <v>0</v>
      </c>
      <c r="EO42" s="51">
        <f t="shared" si="73"/>
        <v>0</v>
      </c>
      <c r="EP42" s="51">
        <f t="shared" si="73"/>
        <v>0</v>
      </c>
      <c r="EQ42" s="51">
        <f t="shared" si="73"/>
        <v>0</v>
      </c>
      <c r="ER42" s="51">
        <f t="shared" si="73"/>
        <v>0</v>
      </c>
      <c r="ES42" s="51">
        <f t="shared" si="73"/>
        <v>6000000000</v>
      </c>
      <c r="ET42" s="51">
        <f t="shared" si="73"/>
        <v>0</v>
      </c>
      <c r="EU42" s="51">
        <f t="shared" si="73"/>
        <v>0</v>
      </c>
      <c r="EV42" s="51">
        <f t="shared" si="73"/>
        <v>0</v>
      </c>
      <c r="EW42" s="51">
        <f t="shared" si="73"/>
        <v>9000000000</v>
      </c>
      <c r="EX42" s="51">
        <f t="shared" ref="EX42:GZ42" si="74">SUM(EX43:EX48)</f>
        <v>577000000</v>
      </c>
      <c r="EY42" s="51">
        <f t="shared" si="74"/>
        <v>247950900</v>
      </c>
      <c r="EZ42" s="51">
        <f t="shared" si="74"/>
        <v>247950900</v>
      </c>
      <c r="FA42" s="51">
        <f t="shared" si="74"/>
        <v>19996934</v>
      </c>
      <c r="FB42" s="602">
        <f t="shared" si="74"/>
        <v>0</v>
      </c>
      <c r="FC42" s="51">
        <f t="shared" si="74"/>
        <v>1000000000</v>
      </c>
      <c r="FD42" s="51">
        <f t="shared" si="74"/>
        <v>0</v>
      </c>
      <c r="FE42" s="51">
        <f t="shared" si="74"/>
        <v>0</v>
      </c>
      <c r="FF42" s="51">
        <f t="shared" si="74"/>
        <v>0</v>
      </c>
      <c r="FG42" s="51">
        <f t="shared" si="74"/>
        <v>0</v>
      </c>
      <c r="FH42" s="51">
        <f t="shared" si="74"/>
        <v>150000000</v>
      </c>
      <c r="FI42" s="51">
        <f t="shared" si="74"/>
        <v>0</v>
      </c>
      <c r="FJ42" s="51">
        <f t="shared" si="74"/>
        <v>0</v>
      </c>
      <c r="FK42" s="51">
        <f t="shared" si="74"/>
        <v>0</v>
      </c>
      <c r="FL42" s="51">
        <f t="shared" si="74"/>
        <v>0</v>
      </c>
      <c r="FM42" s="51">
        <f t="shared" si="74"/>
        <v>359507913</v>
      </c>
      <c r="FN42" s="51">
        <f t="shared" si="74"/>
        <v>114782913</v>
      </c>
      <c r="FO42" s="51">
        <f t="shared" si="74"/>
        <v>73488180</v>
      </c>
      <c r="FP42" s="51">
        <f t="shared" si="74"/>
        <v>0</v>
      </c>
      <c r="FQ42" s="51">
        <f t="shared" si="74"/>
        <v>0</v>
      </c>
      <c r="FR42" s="51">
        <f t="shared" si="74"/>
        <v>0</v>
      </c>
      <c r="FS42" s="51">
        <f t="shared" si="74"/>
        <v>0</v>
      </c>
      <c r="FT42" s="51">
        <f t="shared" si="74"/>
        <v>0</v>
      </c>
      <c r="FU42" s="51">
        <f t="shared" si="74"/>
        <v>0</v>
      </c>
      <c r="FV42" s="51">
        <f t="shared" si="74"/>
        <v>0</v>
      </c>
      <c r="FW42" s="51">
        <f t="shared" si="74"/>
        <v>0</v>
      </c>
      <c r="FX42" s="51">
        <f t="shared" si="74"/>
        <v>0</v>
      </c>
      <c r="FY42" s="51">
        <f t="shared" si="74"/>
        <v>0</v>
      </c>
      <c r="FZ42" s="51">
        <f t="shared" si="74"/>
        <v>0</v>
      </c>
      <c r="GA42" s="51">
        <f t="shared" si="74"/>
        <v>0</v>
      </c>
      <c r="GB42" s="51">
        <f t="shared" si="74"/>
        <v>0</v>
      </c>
      <c r="GC42" s="51">
        <f t="shared" si="74"/>
        <v>0</v>
      </c>
      <c r="GD42" s="51">
        <f t="shared" si="74"/>
        <v>0</v>
      </c>
      <c r="GE42" s="51">
        <f t="shared" si="74"/>
        <v>0</v>
      </c>
      <c r="GF42" s="51">
        <f t="shared" si="74"/>
        <v>0</v>
      </c>
      <c r="GG42" s="51">
        <f t="shared" si="74"/>
        <v>0</v>
      </c>
      <c r="GH42" s="51">
        <f t="shared" si="74"/>
        <v>0</v>
      </c>
      <c r="GI42" s="51">
        <f t="shared" si="74"/>
        <v>0</v>
      </c>
      <c r="GJ42" s="51">
        <f t="shared" si="74"/>
        <v>0</v>
      </c>
      <c r="GK42" s="51">
        <f t="shared" si="74"/>
        <v>0</v>
      </c>
      <c r="GL42" s="51">
        <f t="shared" si="74"/>
        <v>0</v>
      </c>
      <c r="GM42" s="51">
        <f t="shared" si="74"/>
        <v>0</v>
      </c>
      <c r="GN42" s="51">
        <f t="shared" si="74"/>
        <v>0</v>
      </c>
      <c r="GO42" s="51">
        <f t="shared" si="74"/>
        <v>0</v>
      </c>
      <c r="GP42" s="51">
        <f t="shared" si="74"/>
        <v>7000000000</v>
      </c>
      <c r="GQ42" s="51">
        <f t="shared" si="74"/>
        <v>0</v>
      </c>
      <c r="GR42" s="51">
        <f t="shared" si="74"/>
        <v>0</v>
      </c>
      <c r="GS42" s="51">
        <f t="shared" si="74"/>
        <v>0</v>
      </c>
      <c r="GT42" s="51">
        <f t="shared" si="74"/>
        <v>0</v>
      </c>
      <c r="GU42" s="51">
        <f t="shared" si="74"/>
        <v>7000000000</v>
      </c>
      <c r="GV42" s="51">
        <f t="shared" si="74"/>
        <v>1509507913</v>
      </c>
      <c r="GW42" s="51">
        <f t="shared" si="74"/>
        <v>114782913</v>
      </c>
      <c r="GX42" s="51">
        <f t="shared" si="74"/>
        <v>73488180</v>
      </c>
      <c r="GY42" s="51">
        <f t="shared" si="74"/>
        <v>0</v>
      </c>
      <c r="GZ42" s="51">
        <f t="shared" si="74"/>
        <v>28000000000</v>
      </c>
    </row>
    <row r="43" spans="1:208" s="711" customFormat="1" ht="101.25" customHeight="1" x14ac:dyDescent="0.2">
      <c r="A43" s="703"/>
      <c r="B43" s="703"/>
      <c r="C43" s="995"/>
      <c r="D43" s="996"/>
      <c r="E43" s="897"/>
      <c r="F43" s="997"/>
      <c r="G43" s="682">
        <v>25</v>
      </c>
      <c r="H43" s="676" t="s">
        <v>139</v>
      </c>
      <c r="I43" s="676" t="s">
        <v>140</v>
      </c>
      <c r="J43" s="813" t="s">
        <v>125</v>
      </c>
      <c r="K43" s="813">
        <v>13</v>
      </c>
      <c r="L43" s="813" t="s">
        <v>73</v>
      </c>
      <c r="M43" s="682" t="s">
        <v>53</v>
      </c>
      <c r="N43" s="682">
        <v>6</v>
      </c>
      <c r="O43" s="682">
        <v>0</v>
      </c>
      <c r="P43" s="810"/>
      <c r="Q43" s="682">
        <v>2</v>
      </c>
      <c r="R43" s="814"/>
      <c r="S43" s="815">
        <v>2</v>
      </c>
      <c r="T43" s="682">
        <v>2</v>
      </c>
      <c r="U43" s="682"/>
      <c r="V43" s="810">
        <v>2</v>
      </c>
      <c r="W43" s="682">
        <v>2</v>
      </c>
      <c r="X43" s="682"/>
      <c r="Y43" s="808">
        <v>0.8</v>
      </c>
      <c r="Z43" s="816"/>
      <c r="AA43" s="682">
        <v>2</v>
      </c>
      <c r="AB43" s="813" t="s">
        <v>141</v>
      </c>
      <c r="AC43" s="817"/>
      <c r="AD43" s="818"/>
      <c r="AE43" s="818"/>
      <c r="AF43" s="818"/>
      <c r="AG43" s="817"/>
      <c r="AH43" s="818"/>
      <c r="AI43" s="818"/>
      <c r="AJ43" s="818"/>
      <c r="AK43" s="817"/>
      <c r="AL43" s="818"/>
      <c r="AM43" s="818"/>
      <c r="AN43" s="818"/>
      <c r="AO43" s="817"/>
      <c r="AP43" s="818"/>
      <c r="AQ43" s="818"/>
      <c r="AR43" s="818"/>
      <c r="AS43" s="817"/>
      <c r="AT43" s="818"/>
      <c r="AU43" s="818"/>
      <c r="AV43" s="818"/>
      <c r="AW43" s="817"/>
      <c r="AX43" s="818"/>
      <c r="AY43" s="818"/>
      <c r="AZ43" s="818"/>
      <c r="BA43" s="817"/>
      <c r="BB43" s="818"/>
      <c r="BC43" s="818"/>
      <c r="BD43" s="818"/>
      <c r="BE43" s="817"/>
      <c r="BF43" s="818"/>
      <c r="BG43" s="818"/>
      <c r="BH43" s="818"/>
      <c r="BI43" s="817"/>
      <c r="BJ43" s="818"/>
      <c r="BK43" s="818"/>
      <c r="BL43" s="818"/>
      <c r="BM43" s="817">
        <f t="shared" ref="BM43:BM48" si="75">+AC43+AG43+AK43+AO43+AS43+AW43+BA43+BE43+BI43</f>
        <v>0</v>
      </c>
      <c r="BN43" s="818">
        <f t="shared" ref="BN43:BP48" si="76">AD43+AH43+AL43+AP43+AT43+AX43+BB43+BF43+BJ43</f>
        <v>0</v>
      </c>
      <c r="BO43" s="818">
        <f t="shared" si="76"/>
        <v>0</v>
      </c>
      <c r="BP43" s="818">
        <f t="shared" si="76"/>
        <v>0</v>
      </c>
      <c r="BQ43" s="667">
        <v>1000000000</v>
      </c>
      <c r="BR43" s="667"/>
      <c r="BS43" s="667"/>
      <c r="BT43" s="667"/>
      <c r="BU43" s="667"/>
      <c r="BV43" s="667">
        <v>60000000</v>
      </c>
      <c r="BW43" s="667">
        <v>53720000</v>
      </c>
      <c r="BX43" s="667">
        <v>53720000</v>
      </c>
      <c r="BY43" s="667"/>
      <c r="BZ43" s="667"/>
      <c r="CA43" s="667">
        <v>300000000</v>
      </c>
      <c r="CB43" s="667">
        <v>288874597</v>
      </c>
      <c r="CC43" s="667">
        <v>268857263</v>
      </c>
      <c r="CD43" s="667"/>
      <c r="CE43" s="667"/>
      <c r="CF43" s="667"/>
      <c r="CG43" s="667"/>
      <c r="CH43" s="667"/>
      <c r="CI43" s="667"/>
      <c r="CJ43" s="667"/>
      <c r="CK43" s="667"/>
      <c r="CL43" s="667"/>
      <c r="CM43" s="667"/>
      <c r="CN43" s="667"/>
      <c r="CO43" s="667"/>
      <c r="CP43" s="667"/>
      <c r="CQ43" s="667"/>
      <c r="CR43" s="667"/>
      <c r="CS43" s="667"/>
      <c r="CT43" s="667"/>
      <c r="CU43" s="667"/>
      <c r="CV43" s="667"/>
      <c r="CW43" s="667"/>
      <c r="CX43" s="667"/>
      <c r="CY43" s="667"/>
      <c r="CZ43" s="667"/>
      <c r="DA43" s="667"/>
      <c r="DB43" s="667"/>
      <c r="DC43" s="667"/>
      <c r="DD43" s="667"/>
      <c r="DE43" s="708">
        <f t="shared" si="66"/>
        <v>1000000000</v>
      </c>
      <c r="DF43" s="708">
        <f t="shared" ref="DF43:DF48" si="77">BR43+BV43+CA43+CF43+CJ43+CN43+CR43+CW43+DB43</f>
        <v>360000000</v>
      </c>
      <c r="DG43" s="708">
        <f t="shared" ref="DG43:DG48" si="78">BS43+BW43+CB43+CG43+CK43+CO43+CS43+CX43+DC43</f>
        <v>342594597</v>
      </c>
      <c r="DH43" s="708">
        <f t="shared" ref="DH43:DH48" si="79">BT43+BX43+CC43+CH43+CL43+CP43+CT43+CY43+DD43</f>
        <v>322577263</v>
      </c>
      <c r="DI43" s="708"/>
      <c r="DJ43" s="706"/>
      <c r="DK43" s="706"/>
      <c r="DL43" s="706"/>
      <c r="DM43" s="706"/>
      <c r="DN43" s="706"/>
      <c r="DO43" s="706"/>
      <c r="DP43" s="706"/>
      <c r="DQ43" s="706"/>
      <c r="DR43" s="706"/>
      <c r="DS43" s="706"/>
      <c r="DT43" s="706">
        <v>150000000</v>
      </c>
      <c r="DU43" s="706">
        <v>140413836</v>
      </c>
      <c r="DV43" s="706">
        <v>140413836</v>
      </c>
      <c r="DW43" s="706">
        <v>19996934</v>
      </c>
      <c r="DX43" s="706"/>
      <c r="DY43" s="706"/>
      <c r="DZ43" s="706"/>
      <c r="EA43" s="706"/>
      <c r="EB43" s="706"/>
      <c r="EC43" s="706"/>
      <c r="ED43" s="706"/>
      <c r="EE43" s="706"/>
      <c r="EF43" s="706"/>
      <c r="EG43" s="706"/>
      <c r="EH43" s="706"/>
      <c r="EI43" s="706"/>
      <c r="EJ43" s="706"/>
      <c r="EK43" s="706"/>
      <c r="EL43" s="706"/>
      <c r="EM43" s="706"/>
      <c r="EN43" s="706"/>
      <c r="EO43" s="706"/>
      <c r="EP43" s="706"/>
      <c r="EQ43" s="706"/>
      <c r="ER43" s="706"/>
      <c r="ES43" s="706">
        <v>1000000000</v>
      </c>
      <c r="ET43" s="667"/>
      <c r="EU43" s="667"/>
      <c r="EV43" s="667"/>
      <c r="EW43" s="708">
        <f t="shared" ref="EW43:EX48" si="80">DJ43+DN43+DS43+DX43+EB43+EF43+EJ43+EN43+ES43</f>
        <v>1000000000</v>
      </c>
      <c r="EX43" s="819">
        <f t="shared" si="80"/>
        <v>150000000</v>
      </c>
      <c r="EY43" s="819">
        <f t="shared" ref="EY43:EZ48" si="81">DL43+DP43+DU43+DZ43+ED43+EH43+EL43+EP43+EU43</f>
        <v>140413836</v>
      </c>
      <c r="EZ43" s="819">
        <f t="shared" si="81"/>
        <v>140413836</v>
      </c>
      <c r="FA43" s="820">
        <f>DW43</f>
        <v>19996934</v>
      </c>
      <c r="FB43" s="667"/>
      <c r="FC43" s="706"/>
      <c r="FD43" s="706"/>
      <c r="FE43" s="706"/>
      <c r="FF43" s="707"/>
      <c r="FG43" s="667"/>
      <c r="FH43" s="667">
        <v>50000000</v>
      </c>
      <c r="FI43" s="667"/>
      <c r="FJ43" s="667"/>
      <c r="FK43" s="667"/>
      <c r="FL43" s="667"/>
      <c r="FM43" s="667">
        <v>237560000</v>
      </c>
      <c r="FN43" s="667">
        <v>68193000</v>
      </c>
      <c r="FO43" s="667">
        <v>37190000</v>
      </c>
      <c r="FP43" s="667"/>
      <c r="FQ43" s="667"/>
      <c r="FR43" s="667"/>
      <c r="FS43" s="667"/>
      <c r="FT43" s="667"/>
      <c r="FU43" s="667"/>
      <c r="FV43" s="667"/>
      <c r="FW43" s="667"/>
      <c r="FX43" s="667"/>
      <c r="FY43" s="667"/>
      <c r="FZ43" s="667"/>
      <c r="GA43" s="667"/>
      <c r="GB43" s="667"/>
      <c r="GC43" s="667"/>
      <c r="GD43" s="667"/>
      <c r="GE43" s="667"/>
      <c r="GF43" s="667"/>
      <c r="GG43" s="667"/>
      <c r="GH43" s="667"/>
      <c r="GI43" s="667"/>
      <c r="GJ43" s="667"/>
      <c r="GK43" s="667"/>
      <c r="GL43" s="667"/>
      <c r="GM43" s="667"/>
      <c r="GN43" s="667"/>
      <c r="GO43" s="667"/>
      <c r="GP43" s="667"/>
      <c r="GQ43" s="667"/>
      <c r="GR43" s="667"/>
      <c r="GS43" s="667"/>
      <c r="GT43" s="667"/>
      <c r="GU43" s="708">
        <f t="shared" ref="GU43:GU48" si="82">FB43+FG43+FL43+FQ43+FV43+GA43+GF43+GK43+GP43</f>
        <v>0</v>
      </c>
      <c r="GV43" s="708">
        <f t="shared" ref="GV43:GY44" si="83">GQ43+GL43+GG43+GB43+FW43+FR43+FM43+FH43</f>
        <v>287560000</v>
      </c>
      <c r="GW43" s="708">
        <f t="shared" si="83"/>
        <v>68193000</v>
      </c>
      <c r="GX43" s="708">
        <f t="shared" si="83"/>
        <v>37190000</v>
      </c>
      <c r="GY43" s="709">
        <f t="shared" si="83"/>
        <v>0</v>
      </c>
      <c r="GZ43" s="710">
        <f t="shared" ref="GZ43:GZ48" si="84">BM43+DE43+EW43+GU43</f>
        <v>2000000000</v>
      </c>
    </row>
    <row r="44" spans="1:208" s="711" customFormat="1" ht="93" customHeight="1" x14ac:dyDescent="0.2">
      <c r="A44" s="703"/>
      <c r="B44" s="703"/>
      <c r="C44" s="822">
        <v>5</v>
      </c>
      <c r="D44" s="685" t="s">
        <v>142</v>
      </c>
      <c r="E44" s="823" t="s">
        <v>121</v>
      </c>
      <c r="F44" s="823" t="s">
        <v>122</v>
      </c>
      <c r="G44" s="682">
        <v>26</v>
      </c>
      <c r="H44" s="676" t="s">
        <v>143</v>
      </c>
      <c r="I44" s="676" t="s">
        <v>144</v>
      </c>
      <c r="J44" s="813" t="s">
        <v>125</v>
      </c>
      <c r="K44" s="813">
        <v>13</v>
      </c>
      <c r="L44" s="813" t="s">
        <v>73</v>
      </c>
      <c r="M44" s="682" t="s">
        <v>53</v>
      </c>
      <c r="N44" s="682">
        <v>5</v>
      </c>
      <c r="O44" s="682">
        <v>0</v>
      </c>
      <c r="P44" s="810"/>
      <c r="Q44" s="682">
        <v>1</v>
      </c>
      <c r="R44" s="814"/>
      <c r="S44" s="815">
        <v>1</v>
      </c>
      <c r="T44" s="682">
        <v>2</v>
      </c>
      <c r="U44" s="682"/>
      <c r="V44" s="810">
        <v>4</v>
      </c>
      <c r="W44" s="682">
        <v>2</v>
      </c>
      <c r="X44" s="682"/>
      <c r="Y44" s="808">
        <v>1</v>
      </c>
      <c r="Z44" s="816"/>
      <c r="AA44" s="682">
        <v>2</v>
      </c>
      <c r="AB44" s="813" t="s">
        <v>141</v>
      </c>
      <c r="AC44" s="817"/>
      <c r="AD44" s="818"/>
      <c r="AE44" s="818"/>
      <c r="AF44" s="818"/>
      <c r="AG44" s="817"/>
      <c r="AH44" s="818"/>
      <c r="AI44" s="818"/>
      <c r="AJ44" s="818"/>
      <c r="AK44" s="817"/>
      <c r="AL44" s="818"/>
      <c r="AM44" s="818"/>
      <c r="AN44" s="818"/>
      <c r="AO44" s="817"/>
      <c r="AP44" s="818"/>
      <c r="AQ44" s="818"/>
      <c r="AR44" s="818"/>
      <c r="AS44" s="817"/>
      <c r="AT44" s="818"/>
      <c r="AU44" s="818"/>
      <c r="AV44" s="818"/>
      <c r="AW44" s="817"/>
      <c r="AX44" s="818"/>
      <c r="AY44" s="818"/>
      <c r="AZ44" s="818"/>
      <c r="BA44" s="817"/>
      <c r="BB44" s="818"/>
      <c r="BC44" s="818"/>
      <c r="BD44" s="818"/>
      <c r="BE44" s="817"/>
      <c r="BF44" s="818"/>
      <c r="BG44" s="818"/>
      <c r="BH44" s="818"/>
      <c r="BI44" s="817"/>
      <c r="BJ44" s="818"/>
      <c r="BK44" s="818"/>
      <c r="BL44" s="818"/>
      <c r="BM44" s="817">
        <f t="shared" si="75"/>
        <v>0</v>
      </c>
      <c r="BN44" s="818">
        <f t="shared" si="76"/>
        <v>0</v>
      </c>
      <c r="BO44" s="818">
        <f t="shared" si="76"/>
        <v>0</v>
      </c>
      <c r="BP44" s="818">
        <f t="shared" si="76"/>
        <v>0</v>
      </c>
      <c r="BQ44" s="667">
        <v>1000000000</v>
      </c>
      <c r="BR44" s="667"/>
      <c r="BS44" s="667"/>
      <c r="BT44" s="667"/>
      <c r="BU44" s="667"/>
      <c r="BV44" s="667"/>
      <c r="BW44" s="667"/>
      <c r="BX44" s="667"/>
      <c r="BY44" s="667"/>
      <c r="BZ44" s="667"/>
      <c r="CA44" s="667">
        <v>50000000</v>
      </c>
      <c r="CB44" s="667">
        <v>36090333</v>
      </c>
      <c r="CC44" s="667">
        <v>36090333</v>
      </c>
      <c r="CD44" s="667"/>
      <c r="CE44" s="667"/>
      <c r="CF44" s="667"/>
      <c r="CG44" s="667"/>
      <c r="CH44" s="667"/>
      <c r="CI44" s="667"/>
      <c r="CJ44" s="667"/>
      <c r="CK44" s="667"/>
      <c r="CL44" s="667"/>
      <c r="CM44" s="667"/>
      <c r="CN44" s="667"/>
      <c r="CO44" s="667"/>
      <c r="CP44" s="667"/>
      <c r="CQ44" s="667"/>
      <c r="CR44" s="667"/>
      <c r="CS44" s="667"/>
      <c r="CT44" s="667"/>
      <c r="CU44" s="667"/>
      <c r="CV44" s="667"/>
      <c r="CW44" s="667"/>
      <c r="CX44" s="667"/>
      <c r="CY44" s="667"/>
      <c r="CZ44" s="667"/>
      <c r="DA44" s="667"/>
      <c r="DB44" s="667"/>
      <c r="DC44" s="667"/>
      <c r="DD44" s="667"/>
      <c r="DE44" s="708">
        <f t="shared" si="66"/>
        <v>1000000000</v>
      </c>
      <c r="DF44" s="708">
        <f t="shared" si="77"/>
        <v>50000000</v>
      </c>
      <c r="DG44" s="708">
        <f t="shared" si="78"/>
        <v>36090333</v>
      </c>
      <c r="DH44" s="708">
        <f t="shared" si="79"/>
        <v>36090333</v>
      </c>
      <c r="DI44" s="708"/>
      <c r="DJ44" s="706"/>
      <c r="DK44" s="706"/>
      <c r="DL44" s="706"/>
      <c r="DM44" s="706"/>
      <c r="DN44" s="706"/>
      <c r="DO44" s="706"/>
      <c r="DP44" s="706"/>
      <c r="DQ44" s="706"/>
      <c r="DR44" s="706"/>
      <c r="DS44" s="706"/>
      <c r="DT44" s="706">
        <v>28000000</v>
      </c>
      <c r="DU44" s="706">
        <v>26235000</v>
      </c>
      <c r="DV44" s="706">
        <v>26235000</v>
      </c>
      <c r="DW44" s="706"/>
      <c r="DX44" s="706"/>
      <c r="DY44" s="706"/>
      <c r="DZ44" s="706"/>
      <c r="EA44" s="706"/>
      <c r="EB44" s="706"/>
      <c r="EC44" s="706"/>
      <c r="ED44" s="706"/>
      <c r="EE44" s="706"/>
      <c r="EF44" s="706"/>
      <c r="EG44" s="706"/>
      <c r="EH44" s="706"/>
      <c r="EI44" s="706"/>
      <c r="EJ44" s="706"/>
      <c r="EK44" s="706"/>
      <c r="EL44" s="706"/>
      <c r="EM44" s="706"/>
      <c r="EN44" s="706"/>
      <c r="EO44" s="706"/>
      <c r="EP44" s="706"/>
      <c r="EQ44" s="706"/>
      <c r="ER44" s="706"/>
      <c r="ES44" s="706">
        <v>1000000000</v>
      </c>
      <c r="ET44" s="667"/>
      <c r="EU44" s="667"/>
      <c r="EV44" s="667"/>
      <c r="EW44" s="708">
        <f t="shared" si="80"/>
        <v>1000000000</v>
      </c>
      <c r="EX44" s="819">
        <f t="shared" si="80"/>
        <v>28000000</v>
      </c>
      <c r="EY44" s="819">
        <f t="shared" si="81"/>
        <v>26235000</v>
      </c>
      <c r="EZ44" s="819">
        <f t="shared" si="81"/>
        <v>26235000</v>
      </c>
      <c r="FA44" s="820"/>
      <c r="FB44" s="667"/>
      <c r="FC44" s="706"/>
      <c r="FD44" s="706"/>
      <c r="FE44" s="706"/>
      <c r="FF44" s="707"/>
      <c r="FG44" s="667"/>
      <c r="FH44" s="667"/>
      <c r="FI44" s="667"/>
      <c r="FJ44" s="667"/>
      <c r="FK44" s="667"/>
      <c r="FL44" s="667"/>
      <c r="FM44" s="667">
        <v>44350000</v>
      </c>
      <c r="FN44" s="667">
        <v>5600000</v>
      </c>
      <c r="FO44" s="667">
        <v>5600000</v>
      </c>
      <c r="FP44" s="667"/>
      <c r="FQ44" s="667"/>
      <c r="FR44" s="667"/>
      <c r="FS44" s="667"/>
      <c r="FT44" s="667"/>
      <c r="FU44" s="667"/>
      <c r="FV44" s="667"/>
      <c r="FW44" s="667"/>
      <c r="FX44" s="667"/>
      <c r="FY44" s="667"/>
      <c r="FZ44" s="667"/>
      <c r="GA44" s="667"/>
      <c r="GB44" s="667"/>
      <c r="GC44" s="667"/>
      <c r="GD44" s="667"/>
      <c r="GE44" s="667"/>
      <c r="GF44" s="667"/>
      <c r="GG44" s="667"/>
      <c r="GH44" s="667"/>
      <c r="GI44" s="667"/>
      <c r="GJ44" s="667"/>
      <c r="GK44" s="667"/>
      <c r="GL44" s="667"/>
      <c r="GM44" s="667"/>
      <c r="GN44" s="667"/>
      <c r="GO44" s="667"/>
      <c r="GP44" s="667">
        <v>7000000000</v>
      </c>
      <c r="GQ44" s="667"/>
      <c r="GR44" s="667"/>
      <c r="GS44" s="667"/>
      <c r="GT44" s="667"/>
      <c r="GU44" s="708">
        <f t="shared" si="82"/>
        <v>7000000000</v>
      </c>
      <c r="GV44" s="708">
        <f t="shared" si="83"/>
        <v>44350000</v>
      </c>
      <c r="GW44" s="708">
        <f t="shared" si="83"/>
        <v>5600000</v>
      </c>
      <c r="GX44" s="708">
        <f t="shared" si="83"/>
        <v>5600000</v>
      </c>
      <c r="GY44" s="709">
        <f t="shared" si="83"/>
        <v>0</v>
      </c>
      <c r="GZ44" s="710">
        <f t="shared" si="84"/>
        <v>9000000000</v>
      </c>
    </row>
    <row r="45" spans="1:208" s="711" customFormat="1" ht="59.25" customHeight="1" x14ac:dyDescent="0.2">
      <c r="A45" s="703"/>
      <c r="B45" s="713"/>
      <c r="C45" s="712"/>
      <c r="D45" s="824"/>
      <c r="E45" s="825"/>
      <c r="F45" s="825"/>
      <c r="G45" s="682">
        <v>27</v>
      </c>
      <c r="H45" s="676" t="s">
        <v>145</v>
      </c>
      <c r="I45" s="676" t="s">
        <v>146</v>
      </c>
      <c r="J45" s="813" t="s">
        <v>125</v>
      </c>
      <c r="K45" s="813">
        <v>13</v>
      </c>
      <c r="L45" s="813" t="s">
        <v>73</v>
      </c>
      <c r="M45" s="682">
        <v>0</v>
      </c>
      <c r="N45" s="682">
        <v>6</v>
      </c>
      <c r="O45" s="682">
        <v>0</v>
      </c>
      <c r="P45" s="810"/>
      <c r="Q45" s="682">
        <v>2</v>
      </c>
      <c r="R45" s="814"/>
      <c r="S45" s="815">
        <v>1</v>
      </c>
      <c r="T45" s="682">
        <v>2</v>
      </c>
      <c r="U45" s="682"/>
      <c r="V45" s="810">
        <v>0.5</v>
      </c>
      <c r="W45" s="682">
        <v>2</v>
      </c>
      <c r="X45" s="682">
        <v>3</v>
      </c>
      <c r="Y45" s="808">
        <v>0</v>
      </c>
      <c r="Z45" s="816"/>
      <c r="AA45" s="682">
        <v>2</v>
      </c>
      <c r="AB45" s="813" t="s">
        <v>141</v>
      </c>
      <c r="AC45" s="817"/>
      <c r="AD45" s="818"/>
      <c r="AE45" s="818"/>
      <c r="AF45" s="818"/>
      <c r="AG45" s="817"/>
      <c r="AH45" s="818"/>
      <c r="AI45" s="818"/>
      <c r="AJ45" s="818"/>
      <c r="AK45" s="817"/>
      <c r="AL45" s="818"/>
      <c r="AM45" s="818"/>
      <c r="AN45" s="818"/>
      <c r="AO45" s="817"/>
      <c r="AP45" s="818"/>
      <c r="AQ45" s="818"/>
      <c r="AR45" s="818"/>
      <c r="AS45" s="817"/>
      <c r="AT45" s="818"/>
      <c r="AU45" s="818"/>
      <c r="AV45" s="818"/>
      <c r="AW45" s="817"/>
      <c r="AX45" s="818"/>
      <c r="AY45" s="818"/>
      <c r="AZ45" s="818"/>
      <c r="BA45" s="817"/>
      <c r="BB45" s="818"/>
      <c r="BC45" s="818"/>
      <c r="BD45" s="818"/>
      <c r="BE45" s="817"/>
      <c r="BF45" s="818"/>
      <c r="BG45" s="818"/>
      <c r="BH45" s="818"/>
      <c r="BI45" s="817">
        <v>6000000000</v>
      </c>
      <c r="BJ45" s="818"/>
      <c r="BK45" s="818"/>
      <c r="BL45" s="818"/>
      <c r="BM45" s="817">
        <f t="shared" si="75"/>
        <v>6000000000</v>
      </c>
      <c r="BN45" s="818">
        <f t="shared" si="76"/>
        <v>0</v>
      </c>
      <c r="BO45" s="818">
        <f t="shared" si="76"/>
        <v>0</v>
      </c>
      <c r="BP45" s="818">
        <f t="shared" si="76"/>
        <v>0</v>
      </c>
      <c r="BQ45" s="667">
        <v>1000000000</v>
      </c>
      <c r="BR45" s="667"/>
      <c r="BS45" s="667"/>
      <c r="BT45" s="667"/>
      <c r="BU45" s="667"/>
      <c r="BV45" s="667"/>
      <c r="BW45" s="667"/>
      <c r="BX45" s="667"/>
      <c r="BY45" s="667"/>
      <c r="BZ45" s="667"/>
      <c r="CA45" s="667"/>
      <c r="CB45" s="667"/>
      <c r="CC45" s="667"/>
      <c r="CD45" s="667"/>
      <c r="CE45" s="667"/>
      <c r="CF45" s="667"/>
      <c r="CG45" s="667"/>
      <c r="CH45" s="667"/>
      <c r="CI45" s="667"/>
      <c r="CJ45" s="667"/>
      <c r="CK45" s="667"/>
      <c r="CL45" s="667"/>
      <c r="CM45" s="667"/>
      <c r="CN45" s="667"/>
      <c r="CO45" s="667"/>
      <c r="CP45" s="667"/>
      <c r="CQ45" s="667"/>
      <c r="CR45" s="667"/>
      <c r="CS45" s="667"/>
      <c r="CT45" s="667"/>
      <c r="CU45" s="667"/>
      <c r="CV45" s="667"/>
      <c r="CW45" s="667"/>
      <c r="CX45" s="667"/>
      <c r="CY45" s="667"/>
      <c r="CZ45" s="667"/>
      <c r="DA45" s="667"/>
      <c r="DB45" s="667"/>
      <c r="DC45" s="667"/>
      <c r="DD45" s="667"/>
      <c r="DE45" s="708">
        <f t="shared" si="66"/>
        <v>1000000000</v>
      </c>
      <c r="DF45" s="708">
        <f t="shared" si="77"/>
        <v>0</v>
      </c>
      <c r="DG45" s="708">
        <f t="shared" si="78"/>
        <v>0</v>
      </c>
      <c r="DH45" s="708">
        <f t="shared" si="79"/>
        <v>0</v>
      </c>
      <c r="DI45" s="708"/>
      <c r="DJ45" s="706"/>
      <c r="DK45" s="706"/>
      <c r="DL45" s="706"/>
      <c r="DM45" s="706"/>
      <c r="DN45" s="706"/>
      <c r="DO45" s="706"/>
      <c r="DP45" s="706"/>
      <c r="DQ45" s="706"/>
      <c r="DR45" s="706"/>
      <c r="DS45" s="706"/>
      <c r="DT45" s="706">
        <v>300000000</v>
      </c>
      <c r="DU45" s="706">
        <v>0</v>
      </c>
      <c r="DV45" s="706">
        <v>0</v>
      </c>
      <c r="DW45" s="706"/>
      <c r="DX45" s="706"/>
      <c r="DY45" s="706"/>
      <c r="DZ45" s="706"/>
      <c r="EA45" s="706"/>
      <c r="EB45" s="706"/>
      <c r="EC45" s="706"/>
      <c r="ED45" s="706"/>
      <c r="EE45" s="706"/>
      <c r="EF45" s="706"/>
      <c r="EG45" s="706"/>
      <c r="EH45" s="706"/>
      <c r="EI45" s="706"/>
      <c r="EJ45" s="706"/>
      <c r="EK45" s="706"/>
      <c r="EL45" s="706"/>
      <c r="EM45" s="706"/>
      <c r="EN45" s="706"/>
      <c r="EO45" s="706"/>
      <c r="EP45" s="706"/>
      <c r="EQ45" s="706"/>
      <c r="ER45" s="706"/>
      <c r="ES45" s="706">
        <v>4000000000</v>
      </c>
      <c r="ET45" s="667"/>
      <c r="EU45" s="667"/>
      <c r="EV45" s="667"/>
      <c r="EW45" s="708">
        <f t="shared" si="80"/>
        <v>4000000000</v>
      </c>
      <c r="EX45" s="819">
        <f t="shared" si="80"/>
        <v>300000000</v>
      </c>
      <c r="EY45" s="819">
        <f t="shared" si="81"/>
        <v>0</v>
      </c>
      <c r="EZ45" s="819">
        <f t="shared" si="81"/>
        <v>0</v>
      </c>
      <c r="FA45" s="820"/>
      <c r="FB45" s="667"/>
      <c r="FC45" s="706">
        <v>1000000000</v>
      </c>
      <c r="FD45" s="706"/>
      <c r="FE45" s="706"/>
      <c r="FF45" s="707"/>
      <c r="FG45" s="667"/>
      <c r="FH45" s="667"/>
      <c r="FI45" s="667"/>
      <c r="FJ45" s="667"/>
      <c r="FK45" s="667"/>
      <c r="FL45" s="667"/>
      <c r="FM45" s="667"/>
      <c r="FN45" s="667"/>
      <c r="FO45" s="667"/>
      <c r="FP45" s="667"/>
      <c r="FQ45" s="667"/>
      <c r="FR45" s="667"/>
      <c r="FS45" s="667"/>
      <c r="FT45" s="667"/>
      <c r="FU45" s="667"/>
      <c r="FV45" s="667"/>
      <c r="FW45" s="667"/>
      <c r="FX45" s="667"/>
      <c r="FY45" s="667"/>
      <c r="FZ45" s="667"/>
      <c r="GA45" s="667"/>
      <c r="GB45" s="667"/>
      <c r="GC45" s="667"/>
      <c r="GD45" s="667"/>
      <c r="GE45" s="667"/>
      <c r="GF45" s="667"/>
      <c r="GG45" s="667"/>
      <c r="GH45" s="667"/>
      <c r="GI45" s="667"/>
      <c r="GJ45" s="667"/>
      <c r="GK45" s="667"/>
      <c r="GL45" s="667"/>
      <c r="GM45" s="667"/>
      <c r="GN45" s="667"/>
      <c r="GO45" s="667"/>
      <c r="GP45" s="667"/>
      <c r="GQ45" s="667"/>
      <c r="GR45" s="667"/>
      <c r="GS45" s="667"/>
      <c r="GT45" s="667"/>
      <c r="GU45" s="708">
        <f t="shared" si="82"/>
        <v>0</v>
      </c>
      <c r="GV45" s="708">
        <f>FC45+FH45+FM45+FR45+FW45+GB45+GG45+GL45+GQ45</f>
        <v>1000000000</v>
      </c>
      <c r="GW45" s="708">
        <f>FD45+FI45+FN45+FS45+FX45+GC45+GH45+GM45+GR45</f>
        <v>0</v>
      </c>
      <c r="GX45" s="708">
        <f>FE45+FJ45+FO45+FT45+FY45+GD45+GI45+GN45+GS45</f>
        <v>0</v>
      </c>
      <c r="GY45" s="709">
        <f>FF45+FK45+FP45+FU45+FZ45+GE45+GJ45+GO45+GT45</f>
        <v>0</v>
      </c>
      <c r="GZ45" s="710">
        <f t="shared" si="84"/>
        <v>11000000000</v>
      </c>
    </row>
    <row r="46" spans="1:208" s="711" customFormat="1" ht="59.25" customHeight="1" x14ac:dyDescent="0.2">
      <c r="A46" s="703"/>
      <c r="B46" s="703"/>
      <c r="C46" s="715">
        <v>6</v>
      </c>
      <c r="D46" s="826" t="s">
        <v>147</v>
      </c>
      <c r="E46" s="827" t="s">
        <v>127</v>
      </c>
      <c r="F46" s="827" t="s">
        <v>128</v>
      </c>
      <c r="G46" s="682">
        <v>28</v>
      </c>
      <c r="H46" s="676" t="s">
        <v>148</v>
      </c>
      <c r="I46" s="676" t="s">
        <v>149</v>
      </c>
      <c r="J46" s="813" t="s">
        <v>125</v>
      </c>
      <c r="K46" s="813">
        <v>13</v>
      </c>
      <c r="L46" s="813" t="s">
        <v>73</v>
      </c>
      <c r="M46" s="682" t="s">
        <v>53</v>
      </c>
      <c r="N46" s="682">
        <v>6</v>
      </c>
      <c r="O46" s="682">
        <v>0</v>
      </c>
      <c r="P46" s="810"/>
      <c r="Q46" s="682">
        <v>2</v>
      </c>
      <c r="R46" s="814"/>
      <c r="S46" s="815">
        <v>2</v>
      </c>
      <c r="T46" s="682">
        <v>2</v>
      </c>
      <c r="U46" s="682"/>
      <c r="V46" s="810">
        <v>2</v>
      </c>
      <c r="W46" s="682">
        <v>2</v>
      </c>
      <c r="X46" s="682"/>
      <c r="Y46" s="808">
        <v>0.5</v>
      </c>
      <c r="Z46" s="816"/>
      <c r="AA46" s="682">
        <v>2</v>
      </c>
      <c r="AB46" s="813" t="s">
        <v>141</v>
      </c>
      <c r="AC46" s="817"/>
      <c r="AD46" s="818"/>
      <c r="AE46" s="818"/>
      <c r="AF46" s="818"/>
      <c r="AG46" s="817"/>
      <c r="AH46" s="818"/>
      <c r="AI46" s="818"/>
      <c r="AJ46" s="818"/>
      <c r="AK46" s="817"/>
      <c r="AL46" s="818"/>
      <c r="AM46" s="818"/>
      <c r="AN46" s="818"/>
      <c r="AO46" s="817"/>
      <c r="AP46" s="818"/>
      <c r="AQ46" s="818"/>
      <c r="AR46" s="818"/>
      <c r="AS46" s="817"/>
      <c r="AT46" s="818"/>
      <c r="AU46" s="818"/>
      <c r="AV46" s="818"/>
      <c r="AW46" s="817"/>
      <c r="AX46" s="818"/>
      <c r="AY46" s="818"/>
      <c r="AZ46" s="818"/>
      <c r="BA46" s="817"/>
      <c r="BB46" s="818"/>
      <c r="BC46" s="818"/>
      <c r="BD46" s="818"/>
      <c r="BE46" s="817"/>
      <c r="BF46" s="818"/>
      <c r="BG46" s="818"/>
      <c r="BH46" s="818"/>
      <c r="BI46" s="817"/>
      <c r="BJ46" s="818"/>
      <c r="BK46" s="818"/>
      <c r="BL46" s="818"/>
      <c r="BM46" s="817">
        <f t="shared" si="75"/>
        <v>0</v>
      </c>
      <c r="BN46" s="818">
        <f t="shared" si="76"/>
        <v>0</v>
      </c>
      <c r="BO46" s="818">
        <f t="shared" si="76"/>
        <v>0</v>
      </c>
      <c r="BP46" s="818">
        <f t="shared" si="76"/>
        <v>0</v>
      </c>
      <c r="BQ46" s="667"/>
      <c r="BR46" s="667"/>
      <c r="BS46" s="667"/>
      <c r="BT46" s="667"/>
      <c r="BU46" s="667"/>
      <c r="BV46" s="667"/>
      <c r="BW46" s="667"/>
      <c r="BX46" s="667"/>
      <c r="BY46" s="667"/>
      <c r="BZ46" s="667"/>
      <c r="CA46" s="667"/>
      <c r="CB46" s="667"/>
      <c r="CC46" s="667"/>
      <c r="CD46" s="667"/>
      <c r="CE46" s="667"/>
      <c r="CF46" s="667"/>
      <c r="CG46" s="667"/>
      <c r="CH46" s="667"/>
      <c r="CI46" s="667"/>
      <c r="CJ46" s="667"/>
      <c r="CK46" s="667"/>
      <c r="CL46" s="667"/>
      <c r="CM46" s="667"/>
      <c r="CN46" s="667"/>
      <c r="CO46" s="667"/>
      <c r="CP46" s="667"/>
      <c r="CQ46" s="667"/>
      <c r="CR46" s="667"/>
      <c r="CS46" s="667"/>
      <c r="CT46" s="667"/>
      <c r="CU46" s="667"/>
      <c r="CV46" s="667"/>
      <c r="CW46" s="667"/>
      <c r="CX46" s="667"/>
      <c r="CY46" s="667"/>
      <c r="CZ46" s="667"/>
      <c r="DA46" s="706">
        <v>1000000000</v>
      </c>
      <c r="DB46" s="667"/>
      <c r="DC46" s="667"/>
      <c r="DD46" s="667"/>
      <c r="DE46" s="708">
        <f t="shared" si="66"/>
        <v>1000000000</v>
      </c>
      <c r="DF46" s="708">
        <f t="shared" si="77"/>
        <v>0</v>
      </c>
      <c r="DG46" s="708">
        <f t="shared" si="78"/>
        <v>0</v>
      </c>
      <c r="DH46" s="708">
        <f t="shared" si="79"/>
        <v>0</v>
      </c>
      <c r="DI46" s="708"/>
      <c r="DJ46" s="706">
        <v>1000000000</v>
      </c>
      <c r="DK46" s="706"/>
      <c r="DL46" s="706"/>
      <c r="DM46" s="706"/>
      <c r="DN46" s="706"/>
      <c r="DO46" s="706"/>
      <c r="DP46" s="706"/>
      <c r="DQ46" s="706"/>
      <c r="DR46" s="706"/>
      <c r="DS46" s="706"/>
      <c r="DT46" s="706">
        <v>21000000</v>
      </c>
      <c r="DU46" s="706">
        <v>4110000</v>
      </c>
      <c r="DV46" s="706">
        <v>4110000</v>
      </c>
      <c r="DW46" s="706"/>
      <c r="DX46" s="706"/>
      <c r="DY46" s="706"/>
      <c r="DZ46" s="706"/>
      <c r="EA46" s="706"/>
      <c r="EB46" s="706"/>
      <c r="EC46" s="706"/>
      <c r="ED46" s="706"/>
      <c r="EE46" s="706"/>
      <c r="EF46" s="706"/>
      <c r="EG46" s="706"/>
      <c r="EH46" s="706"/>
      <c r="EI46" s="706"/>
      <c r="EJ46" s="706"/>
      <c r="EK46" s="706"/>
      <c r="EL46" s="706"/>
      <c r="EM46" s="706"/>
      <c r="EN46" s="706">
        <v>0</v>
      </c>
      <c r="EO46" s="706"/>
      <c r="EP46" s="706"/>
      <c r="EQ46" s="706"/>
      <c r="ER46" s="706"/>
      <c r="ES46" s="706">
        <v>0</v>
      </c>
      <c r="ET46" s="667"/>
      <c r="EU46" s="667"/>
      <c r="EV46" s="667"/>
      <c r="EW46" s="708">
        <f t="shared" si="80"/>
        <v>1000000000</v>
      </c>
      <c r="EX46" s="819">
        <f t="shared" si="80"/>
        <v>21000000</v>
      </c>
      <c r="EY46" s="819">
        <f t="shared" si="81"/>
        <v>4110000</v>
      </c>
      <c r="EZ46" s="819">
        <f t="shared" si="81"/>
        <v>4110000</v>
      </c>
      <c r="FA46" s="820"/>
      <c r="FB46" s="667"/>
      <c r="FC46" s="706"/>
      <c r="FD46" s="706"/>
      <c r="FE46" s="706"/>
      <c r="FF46" s="707"/>
      <c r="FG46" s="667"/>
      <c r="FH46" s="667"/>
      <c r="FI46" s="667"/>
      <c r="FJ46" s="667"/>
      <c r="FK46" s="667"/>
      <c r="FL46" s="667"/>
      <c r="FM46" s="667">
        <v>33258000</v>
      </c>
      <c r="FN46" s="667">
        <v>5020000</v>
      </c>
      <c r="FO46" s="667">
        <v>4792000</v>
      </c>
      <c r="FP46" s="667"/>
      <c r="FQ46" s="667"/>
      <c r="FR46" s="667"/>
      <c r="FS46" s="667"/>
      <c r="FT46" s="667"/>
      <c r="FU46" s="667"/>
      <c r="FV46" s="667"/>
      <c r="FW46" s="667"/>
      <c r="FX46" s="667"/>
      <c r="FY46" s="667"/>
      <c r="FZ46" s="667"/>
      <c r="GA46" s="667"/>
      <c r="GB46" s="667"/>
      <c r="GC46" s="667"/>
      <c r="GD46" s="667"/>
      <c r="GE46" s="667"/>
      <c r="GF46" s="667"/>
      <c r="GG46" s="667"/>
      <c r="GH46" s="667"/>
      <c r="GI46" s="667"/>
      <c r="GJ46" s="667"/>
      <c r="GK46" s="667"/>
      <c r="GL46" s="667"/>
      <c r="GM46" s="667"/>
      <c r="GN46" s="667"/>
      <c r="GO46" s="667"/>
      <c r="GP46" s="667"/>
      <c r="GQ46" s="667"/>
      <c r="GR46" s="667"/>
      <c r="GS46" s="667"/>
      <c r="GT46" s="667"/>
      <c r="GU46" s="708">
        <f t="shared" si="82"/>
        <v>0</v>
      </c>
      <c r="GV46" s="708">
        <f t="shared" ref="GV46:GY48" si="85">GQ46+GL46+GG46+GB46+FW46+FR46+FM46+FH46</f>
        <v>33258000</v>
      </c>
      <c r="GW46" s="708">
        <f t="shared" si="85"/>
        <v>5020000</v>
      </c>
      <c r="GX46" s="708">
        <f t="shared" si="85"/>
        <v>4792000</v>
      </c>
      <c r="GY46" s="709">
        <f t="shared" si="85"/>
        <v>0</v>
      </c>
      <c r="GZ46" s="710">
        <f t="shared" si="84"/>
        <v>2000000000</v>
      </c>
    </row>
    <row r="47" spans="1:208" s="711" customFormat="1" ht="87.75" customHeight="1" x14ac:dyDescent="0.2">
      <c r="A47" s="703"/>
      <c r="B47" s="703"/>
      <c r="C47" s="822">
        <v>7</v>
      </c>
      <c r="D47" s="685" t="s">
        <v>150</v>
      </c>
      <c r="E47" s="822" t="s">
        <v>132</v>
      </c>
      <c r="F47" s="828">
        <v>0.27</v>
      </c>
      <c r="G47" s="682">
        <v>29</v>
      </c>
      <c r="H47" s="676" t="s">
        <v>151</v>
      </c>
      <c r="I47" s="676" t="s">
        <v>152</v>
      </c>
      <c r="J47" s="813" t="s">
        <v>125</v>
      </c>
      <c r="K47" s="813">
        <v>13</v>
      </c>
      <c r="L47" s="813" t="s">
        <v>58</v>
      </c>
      <c r="M47" s="682">
        <v>0</v>
      </c>
      <c r="N47" s="682">
        <v>1</v>
      </c>
      <c r="O47" s="682">
        <v>0</v>
      </c>
      <c r="P47" s="810"/>
      <c r="Q47" s="682">
        <v>1</v>
      </c>
      <c r="R47" s="814"/>
      <c r="S47" s="815">
        <v>1</v>
      </c>
      <c r="T47" s="682">
        <v>1</v>
      </c>
      <c r="U47" s="682"/>
      <c r="V47" s="810">
        <v>0.4</v>
      </c>
      <c r="W47" s="682">
        <v>1</v>
      </c>
      <c r="X47" s="682"/>
      <c r="Y47" s="808">
        <v>0.4</v>
      </c>
      <c r="Z47" s="816"/>
      <c r="AA47" s="682">
        <v>2</v>
      </c>
      <c r="AB47" s="813" t="s">
        <v>141</v>
      </c>
      <c r="AC47" s="817"/>
      <c r="AD47" s="818"/>
      <c r="AE47" s="818"/>
      <c r="AF47" s="818"/>
      <c r="AG47" s="817"/>
      <c r="AH47" s="818"/>
      <c r="AI47" s="818"/>
      <c r="AJ47" s="818"/>
      <c r="AK47" s="817"/>
      <c r="AL47" s="818"/>
      <c r="AM47" s="818"/>
      <c r="AN47" s="818"/>
      <c r="AO47" s="817"/>
      <c r="AP47" s="818"/>
      <c r="AQ47" s="818"/>
      <c r="AR47" s="818"/>
      <c r="AS47" s="817"/>
      <c r="AT47" s="818"/>
      <c r="AU47" s="818"/>
      <c r="AV47" s="818"/>
      <c r="AW47" s="817"/>
      <c r="AX47" s="818"/>
      <c r="AY47" s="818"/>
      <c r="AZ47" s="818"/>
      <c r="BA47" s="817"/>
      <c r="BB47" s="818"/>
      <c r="BC47" s="818"/>
      <c r="BD47" s="818"/>
      <c r="BE47" s="817"/>
      <c r="BF47" s="818"/>
      <c r="BG47" s="818"/>
      <c r="BH47" s="818"/>
      <c r="BI47" s="817"/>
      <c r="BJ47" s="818"/>
      <c r="BK47" s="818"/>
      <c r="BL47" s="818"/>
      <c r="BM47" s="817">
        <f t="shared" si="75"/>
        <v>0</v>
      </c>
      <c r="BN47" s="818">
        <f t="shared" si="76"/>
        <v>0</v>
      </c>
      <c r="BO47" s="818">
        <f t="shared" si="76"/>
        <v>0</v>
      </c>
      <c r="BP47" s="818">
        <f t="shared" si="76"/>
        <v>0</v>
      </c>
      <c r="BQ47" s="667"/>
      <c r="BR47" s="667"/>
      <c r="BS47" s="667"/>
      <c r="BT47" s="667"/>
      <c r="BU47" s="667"/>
      <c r="BV47" s="667"/>
      <c r="BW47" s="667"/>
      <c r="BX47" s="667"/>
      <c r="BY47" s="667"/>
      <c r="BZ47" s="667"/>
      <c r="CA47" s="667">
        <v>25000000</v>
      </c>
      <c r="CB47" s="667">
        <v>25000000</v>
      </c>
      <c r="CC47" s="667">
        <v>25000000</v>
      </c>
      <c r="CD47" s="667"/>
      <c r="CE47" s="667"/>
      <c r="CF47" s="667"/>
      <c r="CG47" s="667"/>
      <c r="CH47" s="667"/>
      <c r="CI47" s="667"/>
      <c r="CJ47" s="667"/>
      <c r="CK47" s="667"/>
      <c r="CL47" s="667"/>
      <c r="CM47" s="667"/>
      <c r="CN47" s="667"/>
      <c r="CO47" s="667"/>
      <c r="CP47" s="667"/>
      <c r="CQ47" s="667"/>
      <c r="CR47" s="667"/>
      <c r="CS47" s="667"/>
      <c r="CT47" s="667"/>
      <c r="CU47" s="667"/>
      <c r="CV47" s="667"/>
      <c r="CW47" s="667"/>
      <c r="CX47" s="667"/>
      <c r="CY47" s="667"/>
      <c r="CZ47" s="667"/>
      <c r="DA47" s="706">
        <v>1000000000</v>
      </c>
      <c r="DB47" s="667"/>
      <c r="DC47" s="667"/>
      <c r="DD47" s="667"/>
      <c r="DE47" s="708">
        <f t="shared" si="66"/>
        <v>1000000000</v>
      </c>
      <c r="DF47" s="708">
        <f t="shared" si="77"/>
        <v>25000000</v>
      </c>
      <c r="DG47" s="708">
        <f t="shared" si="78"/>
        <v>25000000</v>
      </c>
      <c r="DH47" s="708">
        <f t="shared" si="79"/>
        <v>25000000</v>
      </c>
      <c r="DI47" s="708"/>
      <c r="DJ47" s="706">
        <v>1000000000</v>
      </c>
      <c r="DK47" s="706"/>
      <c r="DL47" s="706"/>
      <c r="DM47" s="706"/>
      <c r="DN47" s="706"/>
      <c r="DO47" s="706"/>
      <c r="DP47" s="706"/>
      <c r="DQ47" s="706"/>
      <c r="DR47" s="706"/>
      <c r="DS47" s="706"/>
      <c r="DT47" s="706">
        <v>14000000</v>
      </c>
      <c r="DU47" s="706">
        <v>14000000</v>
      </c>
      <c r="DV47" s="706">
        <v>14000000</v>
      </c>
      <c r="DW47" s="706"/>
      <c r="DX47" s="706"/>
      <c r="DY47" s="706"/>
      <c r="DZ47" s="706"/>
      <c r="EA47" s="706"/>
      <c r="EB47" s="706"/>
      <c r="EC47" s="706"/>
      <c r="ED47" s="706"/>
      <c r="EE47" s="706"/>
      <c r="EF47" s="706"/>
      <c r="EG47" s="706"/>
      <c r="EH47" s="706"/>
      <c r="EI47" s="706"/>
      <c r="EJ47" s="706"/>
      <c r="EK47" s="706"/>
      <c r="EL47" s="706"/>
      <c r="EM47" s="706"/>
      <c r="EN47" s="706"/>
      <c r="EO47" s="706"/>
      <c r="EP47" s="706"/>
      <c r="EQ47" s="706"/>
      <c r="ER47" s="706"/>
      <c r="ES47" s="706"/>
      <c r="ET47" s="667"/>
      <c r="EU47" s="667"/>
      <c r="EV47" s="667"/>
      <c r="EW47" s="708">
        <f t="shared" si="80"/>
        <v>1000000000</v>
      </c>
      <c r="EX47" s="819">
        <f t="shared" si="80"/>
        <v>14000000</v>
      </c>
      <c r="EY47" s="819">
        <f t="shared" si="81"/>
        <v>14000000</v>
      </c>
      <c r="EZ47" s="819">
        <f t="shared" si="81"/>
        <v>14000000</v>
      </c>
      <c r="FA47" s="820"/>
      <c r="FB47" s="667"/>
      <c r="FC47" s="706"/>
      <c r="FD47" s="706"/>
      <c r="FE47" s="706"/>
      <c r="FF47" s="707"/>
      <c r="FG47" s="667"/>
      <c r="FH47" s="667">
        <v>100000000</v>
      </c>
      <c r="FI47" s="667"/>
      <c r="FJ47" s="667"/>
      <c r="FK47" s="667"/>
      <c r="FL47" s="667"/>
      <c r="FM47" s="667">
        <v>22170000</v>
      </c>
      <c r="FN47" s="667">
        <v>13800000</v>
      </c>
      <c r="FO47" s="667">
        <v>13440000</v>
      </c>
      <c r="FP47" s="667"/>
      <c r="FQ47" s="667"/>
      <c r="FR47" s="667"/>
      <c r="FS47" s="667"/>
      <c r="FT47" s="667"/>
      <c r="FU47" s="667"/>
      <c r="FV47" s="667"/>
      <c r="FW47" s="667"/>
      <c r="FX47" s="667"/>
      <c r="FY47" s="667"/>
      <c r="FZ47" s="667"/>
      <c r="GA47" s="667"/>
      <c r="GB47" s="667"/>
      <c r="GC47" s="667"/>
      <c r="GD47" s="667"/>
      <c r="GE47" s="667"/>
      <c r="GF47" s="667"/>
      <c r="GG47" s="667"/>
      <c r="GH47" s="667"/>
      <c r="GI47" s="667"/>
      <c r="GJ47" s="667"/>
      <c r="GK47" s="667"/>
      <c r="GL47" s="667"/>
      <c r="GM47" s="667"/>
      <c r="GN47" s="667"/>
      <c r="GO47" s="667"/>
      <c r="GP47" s="667"/>
      <c r="GQ47" s="667"/>
      <c r="GR47" s="667"/>
      <c r="GS47" s="667"/>
      <c r="GT47" s="667"/>
      <c r="GU47" s="708">
        <f t="shared" si="82"/>
        <v>0</v>
      </c>
      <c r="GV47" s="708">
        <f t="shared" si="85"/>
        <v>122170000</v>
      </c>
      <c r="GW47" s="708">
        <f t="shared" si="85"/>
        <v>13800000</v>
      </c>
      <c r="GX47" s="708">
        <f t="shared" si="85"/>
        <v>13440000</v>
      </c>
      <c r="GY47" s="709">
        <f t="shared" si="85"/>
        <v>0</v>
      </c>
      <c r="GZ47" s="710">
        <f t="shared" si="84"/>
        <v>2000000000</v>
      </c>
    </row>
    <row r="48" spans="1:208" s="343" customFormat="1" ht="74.25" customHeight="1" x14ac:dyDescent="0.2">
      <c r="A48" s="341"/>
      <c r="B48" s="341"/>
      <c r="C48" s="284"/>
      <c r="D48" s="344"/>
      <c r="E48" s="724"/>
      <c r="F48" s="345"/>
      <c r="G48" s="265">
        <v>30</v>
      </c>
      <c r="H48" s="261" t="s">
        <v>153</v>
      </c>
      <c r="I48" s="261" t="s">
        <v>154</v>
      </c>
      <c r="J48" s="262" t="s">
        <v>125</v>
      </c>
      <c r="K48" s="262">
        <v>13</v>
      </c>
      <c r="L48" s="262" t="s">
        <v>58</v>
      </c>
      <c r="M48" s="265">
        <v>1</v>
      </c>
      <c r="N48" s="265">
        <v>1</v>
      </c>
      <c r="O48" s="265">
        <v>1</v>
      </c>
      <c r="P48" s="266">
        <v>0</v>
      </c>
      <c r="Q48" s="265">
        <v>1</v>
      </c>
      <c r="R48" s="268"/>
      <c r="S48" s="314">
        <v>1</v>
      </c>
      <c r="T48" s="265">
        <v>1</v>
      </c>
      <c r="U48" s="265"/>
      <c r="V48" s="266">
        <v>1</v>
      </c>
      <c r="W48" s="265">
        <v>1</v>
      </c>
      <c r="X48" s="265"/>
      <c r="Y48" s="654">
        <v>1</v>
      </c>
      <c r="Z48" s="339"/>
      <c r="AA48" s="265">
        <v>13</v>
      </c>
      <c r="AB48" s="262" t="s">
        <v>155</v>
      </c>
      <c r="AC48" s="53"/>
      <c r="AD48" s="54"/>
      <c r="AE48" s="54"/>
      <c r="AF48" s="54"/>
      <c r="AG48" s="53"/>
      <c r="AH48" s="54"/>
      <c r="AI48" s="54"/>
      <c r="AJ48" s="54"/>
      <c r="AK48" s="53"/>
      <c r="AL48" s="54"/>
      <c r="AM48" s="54"/>
      <c r="AN48" s="54"/>
      <c r="AO48" s="53"/>
      <c r="AP48" s="54"/>
      <c r="AQ48" s="54"/>
      <c r="AR48" s="54"/>
      <c r="AS48" s="53"/>
      <c r="AT48" s="54"/>
      <c r="AU48" s="54"/>
      <c r="AV48" s="54"/>
      <c r="AW48" s="53"/>
      <c r="AX48" s="54"/>
      <c r="AY48" s="54"/>
      <c r="AZ48" s="54"/>
      <c r="BA48" s="53"/>
      <c r="BB48" s="54"/>
      <c r="BC48" s="54"/>
      <c r="BD48" s="54"/>
      <c r="BE48" s="53"/>
      <c r="BF48" s="54"/>
      <c r="BG48" s="54"/>
      <c r="BH48" s="54"/>
      <c r="BI48" s="53"/>
      <c r="BJ48" s="54"/>
      <c r="BK48" s="54"/>
      <c r="BL48" s="54"/>
      <c r="BM48" s="53">
        <f t="shared" si="75"/>
        <v>0</v>
      </c>
      <c r="BN48" s="54">
        <f t="shared" si="76"/>
        <v>0</v>
      </c>
      <c r="BO48" s="54">
        <f t="shared" si="76"/>
        <v>0</v>
      </c>
      <c r="BP48" s="54">
        <f t="shared" si="76"/>
        <v>0</v>
      </c>
      <c r="BQ48" s="82"/>
      <c r="BR48" s="82"/>
      <c r="BS48" s="82"/>
      <c r="BT48" s="82"/>
      <c r="BU48" s="82"/>
      <c r="BV48" s="82">
        <v>20000000</v>
      </c>
      <c r="BW48" s="82">
        <v>19580949</v>
      </c>
      <c r="BX48" s="82">
        <v>19580949</v>
      </c>
      <c r="BY48" s="82"/>
      <c r="BZ48" s="82"/>
      <c r="CA48" s="82">
        <v>25000000</v>
      </c>
      <c r="CB48" s="82">
        <v>1742216</v>
      </c>
      <c r="CC48" s="82">
        <v>1742216</v>
      </c>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65">
        <v>1000000000</v>
      </c>
      <c r="DB48" s="82"/>
      <c r="DC48" s="82"/>
      <c r="DD48" s="82"/>
      <c r="DE48" s="81">
        <f t="shared" si="66"/>
        <v>1000000000</v>
      </c>
      <c r="DF48" s="95">
        <f t="shared" si="77"/>
        <v>45000000</v>
      </c>
      <c r="DG48" s="95">
        <f t="shared" si="78"/>
        <v>21323165</v>
      </c>
      <c r="DH48" s="95">
        <f t="shared" si="79"/>
        <v>21323165</v>
      </c>
      <c r="DI48" s="95"/>
      <c r="DJ48" s="65">
        <v>1000000000</v>
      </c>
      <c r="DK48" s="65"/>
      <c r="DL48" s="65"/>
      <c r="DM48" s="65"/>
      <c r="DN48" s="65"/>
      <c r="DO48" s="84">
        <v>50000000</v>
      </c>
      <c r="DP48" s="65">
        <v>49192064</v>
      </c>
      <c r="DQ48" s="65">
        <v>49192064</v>
      </c>
      <c r="DR48" s="65"/>
      <c r="DS48" s="65"/>
      <c r="DT48" s="65">
        <v>14000000</v>
      </c>
      <c r="DU48" s="65">
        <v>14000000</v>
      </c>
      <c r="DV48" s="65">
        <v>14000000</v>
      </c>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82"/>
      <c r="EU48" s="82"/>
      <c r="EV48" s="82"/>
      <c r="EW48" s="81">
        <f t="shared" si="80"/>
        <v>1000000000</v>
      </c>
      <c r="EX48" s="86">
        <f t="shared" si="80"/>
        <v>64000000</v>
      </c>
      <c r="EY48" s="86">
        <f t="shared" si="81"/>
        <v>63192064</v>
      </c>
      <c r="EZ48" s="86">
        <f t="shared" si="81"/>
        <v>63192064</v>
      </c>
      <c r="FA48" s="176"/>
      <c r="FB48" s="83"/>
      <c r="FC48" s="84"/>
      <c r="FD48" s="84"/>
      <c r="FE48" s="84"/>
      <c r="FF48" s="140"/>
      <c r="FG48" s="83"/>
      <c r="FH48" s="83"/>
      <c r="FI48" s="83"/>
      <c r="FJ48" s="83"/>
      <c r="FK48" s="83"/>
      <c r="FL48" s="83"/>
      <c r="FM48" s="83">
        <v>22169913</v>
      </c>
      <c r="FN48" s="83">
        <v>22169913</v>
      </c>
      <c r="FO48" s="83">
        <v>12466180</v>
      </c>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1">
        <f t="shared" si="82"/>
        <v>0</v>
      </c>
      <c r="GV48" s="81">
        <f t="shared" si="85"/>
        <v>22169913</v>
      </c>
      <c r="GW48" s="81">
        <f t="shared" si="85"/>
        <v>22169913</v>
      </c>
      <c r="GX48" s="81">
        <f t="shared" si="85"/>
        <v>12466180</v>
      </c>
      <c r="GY48" s="673">
        <f t="shared" si="85"/>
        <v>0</v>
      </c>
      <c r="GZ48" s="67">
        <f t="shared" si="84"/>
        <v>2000000000</v>
      </c>
    </row>
    <row r="49" spans="1:208" ht="24.75" customHeight="1" x14ac:dyDescent="0.2">
      <c r="A49" s="326"/>
      <c r="B49" s="326"/>
      <c r="C49" s="246">
        <v>6</v>
      </c>
      <c r="D49" s="247" t="s">
        <v>156</v>
      </c>
      <c r="E49" s="346"/>
      <c r="F49" s="294"/>
      <c r="G49" s="249"/>
      <c r="H49" s="249"/>
      <c r="I49" s="249"/>
      <c r="J49" s="249"/>
      <c r="K49" s="249"/>
      <c r="L49" s="249"/>
      <c r="M49" s="249"/>
      <c r="N49" s="249"/>
      <c r="O49" s="249"/>
      <c r="P49" s="249"/>
      <c r="Q49" s="249"/>
      <c r="R49" s="249"/>
      <c r="S49" s="249"/>
      <c r="T49" s="249"/>
      <c r="U49" s="249"/>
      <c r="V49" s="249"/>
      <c r="W49" s="249"/>
      <c r="X49" s="663"/>
      <c r="Y49" s="296"/>
      <c r="Z49" s="249"/>
      <c r="AA49" s="249"/>
      <c r="AB49" s="249"/>
      <c r="AC49" s="51">
        <f t="shared" ref="AC49:BL49" si="86">SUM(AC50:AC53)</f>
        <v>0</v>
      </c>
      <c r="AD49" s="51">
        <f t="shared" si="86"/>
        <v>0</v>
      </c>
      <c r="AE49" s="51">
        <f t="shared" si="86"/>
        <v>0</v>
      </c>
      <c r="AF49" s="51">
        <f t="shared" si="86"/>
        <v>0</v>
      </c>
      <c r="AG49" s="51">
        <f t="shared" si="86"/>
        <v>0</v>
      </c>
      <c r="AH49" s="51">
        <f t="shared" si="86"/>
        <v>0</v>
      </c>
      <c r="AI49" s="51">
        <f t="shared" si="86"/>
        <v>0</v>
      </c>
      <c r="AJ49" s="51">
        <f t="shared" si="86"/>
        <v>0</v>
      </c>
      <c r="AK49" s="51">
        <f t="shared" si="86"/>
        <v>230000000</v>
      </c>
      <c r="AL49" s="51">
        <f t="shared" si="86"/>
        <v>280000000</v>
      </c>
      <c r="AM49" s="51">
        <f t="shared" si="86"/>
        <v>241270386</v>
      </c>
      <c r="AN49" s="51">
        <f t="shared" si="86"/>
        <v>241270386</v>
      </c>
      <c r="AO49" s="51">
        <f t="shared" si="86"/>
        <v>0</v>
      </c>
      <c r="AP49" s="51">
        <f t="shared" si="86"/>
        <v>0</v>
      </c>
      <c r="AQ49" s="51">
        <f t="shared" si="86"/>
        <v>0</v>
      </c>
      <c r="AR49" s="51">
        <f t="shared" si="86"/>
        <v>0</v>
      </c>
      <c r="AS49" s="51">
        <f t="shared" si="86"/>
        <v>0</v>
      </c>
      <c r="AT49" s="51">
        <f t="shared" si="86"/>
        <v>0</v>
      </c>
      <c r="AU49" s="51">
        <f t="shared" si="86"/>
        <v>0</v>
      </c>
      <c r="AV49" s="51">
        <f t="shared" si="86"/>
        <v>0</v>
      </c>
      <c r="AW49" s="51">
        <f t="shared" si="86"/>
        <v>0</v>
      </c>
      <c r="AX49" s="51">
        <f t="shared" si="86"/>
        <v>0</v>
      </c>
      <c r="AY49" s="51">
        <f t="shared" si="86"/>
        <v>0</v>
      </c>
      <c r="AZ49" s="51">
        <f t="shared" si="86"/>
        <v>0</v>
      </c>
      <c r="BA49" s="51">
        <f t="shared" si="86"/>
        <v>0</v>
      </c>
      <c r="BB49" s="51">
        <f t="shared" si="86"/>
        <v>0</v>
      </c>
      <c r="BC49" s="51">
        <f t="shared" si="86"/>
        <v>0</v>
      </c>
      <c r="BD49" s="51">
        <f t="shared" si="86"/>
        <v>0</v>
      </c>
      <c r="BE49" s="51">
        <f t="shared" si="86"/>
        <v>0</v>
      </c>
      <c r="BF49" s="51">
        <f t="shared" si="86"/>
        <v>0</v>
      </c>
      <c r="BG49" s="51">
        <f t="shared" si="86"/>
        <v>0</v>
      </c>
      <c r="BH49" s="51">
        <f t="shared" si="86"/>
        <v>0</v>
      </c>
      <c r="BI49" s="51">
        <f t="shared" si="86"/>
        <v>0</v>
      </c>
      <c r="BJ49" s="51">
        <f t="shared" si="86"/>
        <v>0</v>
      </c>
      <c r="BK49" s="51">
        <f t="shared" si="86"/>
        <v>0</v>
      </c>
      <c r="BL49" s="51">
        <f t="shared" si="86"/>
        <v>0</v>
      </c>
      <c r="BM49" s="51">
        <f t="shared" ref="BM49:DX49" si="87">SUM(BM50:BM53)</f>
        <v>230000000</v>
      </c>
      <c r="BN49" s="51">
        <f t="shared" si="87"/>
        <v>280000000</v>
      </c>
      <c r="BO49" s="51">
        <f t="shared" si="87"/>
        <v>241270386</v>
      </c>
      <c r="BP49" s="51">
        <f t="shared" si="87"/>
        <v>241270386</v>
      </c>
      <c r="BQ49" s="51">
        <f t="shared" si="87"/>
        <v>0</v>
      </c>
      <c r="BR49" s="51">
        <f t="shared" si="87"/>
        <v>0</v>
      </c>
      <c r="BS49" s="51">
        <f t="shared" si="87"/>
        <v>0</v>
      </c>
      <c r="BT49" s="51">
        <f t="shared" si="87"/>
        <v>0</v>
      </c>
      <c r="BU49" s="51">
        <f t="shared" si="87"/>
        <v>0</v>
      </c>
      <c r="BV49" s="51">
        <f t="shared" si="87"/>
        <v>0</v>
      </c>
      <c r="BW49" s="51">
        <f t="shared" si="87"/>
        <v>0</v>
      </c>
      <c r="BX49" s="51">
        <f t="shared" si="87"/>
        <v>0</v>
      </c>
      <c r="BY49" s="51">
        <f t="shared" si="87"/>
        <v>0</v>
      </c>
      <c r="BZ49" s="51">
        <f t="shared" si="87"/>
        <v>200000000</v>
      </c>
      <c r="CA49" s="51">
        <f t="shared" si="87"/>
        <v>365000000</v>
      </c>
      <c r="CB49" s="51">
        <f t="shared" si="87"/>
        <v>340547923</v>
      </c>
      <c r="CC49" s="51">
        <f t="shared" si="87"/>
        <v>338567923</v>
      </c>
      <c r="CD49" s="51">
        <f t="shared" si="87"/>
        <v>0</v>
      </c>
      <c r="CE49" s="51">
        <f t="shared" si="87"/>
        <v>0</v>
      </c>
      <c r="CF49" s="51">
        <f t="shared" si="87"/>
        <v>0</v>
      </c>
      <c r="CG49" s="51">
        <f t="shared" si="87"/>
        <v>0</v>
      </c>
      <c r="CH49" s="51">
        <f t="shared" si="87"/>
        <v>0</v>
      </c>
      <c r="CI49" s="51">
        <f t="shared" si="87"/>
        <v>0</v>
      </c>
      <c r="CJ49" s="51">
        <f t="shared" si="87"/>
        <v>0</v>
      </c>
      <c r="CK49" s="51">
        <f t="shared" si="87"/>
        <v>0</v>
      </c>
      <c r="CL49" s="51">
        <f t="shared" si="87"/>
        <v>0</v>
      </c>
      <c r="CM49" s="51">
        <f t="shared" si="87"/>
        <v>0</v>
      </c>
      <c r="CN49" s="51">
        <f t="shared" si="87"/>
        <v>0</v>
      </c>
      <c r="CO49" s="51">
        <f t="shared" si="87"/>
        <v>0</v>
      </c>
      <c r="CP49" s="51">
        <f t="shared" si="87"/>
        <v>0</v>
      </c>
      <c r="CQ49" s="51">
        <f t="shared" si="87"/>
        <v>0</v>
      </c>
      <c r="CR49" s="51">
        <f t="shared" si="87"/>
        <v>0</v>
      </c>
      <c r="CS49" s="51">
        <f t="shared" si="87"/>
        <v>0</v>
      </c>
      <c r="CT49" s="51">
        <f t="shared" si="87"/>
        <v>0</v>
      </c>
      <c r="CU49" s="51">
        <f t="shared" si="87"/>
        <v>0</v>
      </c>
      <c r="CV49" s="51">
        <f t="shared" si="87"/>
        <v>0</v>
      </c>
      <c r="CW49" s="51">
        <f t="shared" si="87"/>
        <v>0</v>
      </c>
      <c r="CX49" s="51">
        <f t="shared" si="87"/>
        <v>0</v>
      </c>
      <c r="CY49" s="51">
        <f t="shared" si="87"/>
        <v>0</v>
      </c>
      <c r="CZ49" s="51">
        <f t="shared" si="87"/>
        <v>0</v>
      </c>
      <c r="DA49" s="51">
        <f t="shared" si="87"/>
        <v>0</v>
      </c>
      <c r="DB49" s="51">
        <f t="shared" si="87"/>
        <v>0</v>
      </c>
      <c r="DC49" s="51">
        <f t="shared" si="87"/>
        <v>0</v>
      </c>
      <c r="DD49" s="51">
        <f t="shared" si="87"/>
        <v>0</v>
      </c>
      <c r="DE49" s="51">
        <f t="shared" si="87"/>
        <v>200000000</v>
      </c>
      <c r="DF49" s="51">
        <f t="shared" si="87"/>
        <v>365000000</v>
      </c>
      <c r="DG49" s="51">
        <f t="shared" si="87"/>
        <v>340547923</v>
      </c>
      <c r="DH49" s="51">
        <f t="shared" si="87"/>
        <v>338567923</v>
      </c>
      <c r="DI49" s="51">
        <f t="shared" si="87"/>
        <v>0</v>
      </c>
      <c r="DJ49" s="51">
        <f t="shared" si="87"/>
        <v>0</v>
      </c>
      <c r="DK49" s="51">
        <f t="shared" si="87"/>
        <v>0</v>
      </c>
      <c r="DL49" s="51">
        <f t="shared" si="87"/>
        <v>0</v>
      </c>
      <c r="DM49" s="51">
        <f t="shared" si="87"/>
        <v>0</v>
      </c>
      <c r="DN49" s="51">
        <f t="shared" si="87"/>
        <v>0</v>
      </c>
      <c r="DO49" s="51">
        <f t="shared" si="87"/>
        <v>30000000</v>
      </c>
      <c r="DP49" s="51">
        <f t="shared" si="87"/>
        <v>23026667</v>
      </c>
      <c r="DQ49" s="51">
        <f t="shared" si="87"/>
        <v>15726667</v>
      </c>
      <c r="DR49" s="51">
        <f t="shared" si="87"/>
        <v>0</v>
      </c>
      <c r="DS49" s="51">
        <f t="shared" si="87"/>
        <v>50000000</v>
      </c>
      <c r="DT49" s="51">
        <f t="shared" si="87"/>
        <v>445000000</v>
      </c>
      <c r="DU49" s="51">
        <f t="shared" si="87"/>
        <v>345852860.64999998</v>
      </c>
      <c r="DV49" s="51">
        <f t="shared" si="87"/>
        <v>302435333</v>
      </c>
      <c r="DW49" s="51">
        <f t="shared" si="87"/>
        <v>0</v>
      </c>
      <c r="DX49" s="51">
        <f t="shared" si="87"/>
        <v>0</v>
      </c>
      <c r="DY49" s="51">
        <f t="shared" ref="DY49:EW49" si="88">SUM(DY50:DY53)</f>
        <v>0</v>
      </c>
      <c r="DZ49" s="51">
        <f t="shared" si="88"/>
        <v>0</v>
      </c>
      <c r="EA49" s="51">
        <f t="shared" si="88"/>
        <v>0</v>
      </c>
      <c r="EB49" s="51">
        <f t="shared" si="88"/>
        <v>0</v>
      </c>
      <c r="EC49" s="51">
        <f t="shared" si="88"/>
        <v>0</v>
      </c>
      <c r="ED49" s="51">
        <f t="shared" si="88"/>
        <v>0</v>
      </c>
      <c r="EE49" s="51">
        <f t="shared" si="88"/>
        <v>0</v>
      </c>
      <c r="EF49" s="51">
        <f t="shared" si="88"/>
        <v>0</v>
      </c>
      <c r="EG49" s="51">
        <f t="shared" si="88"/>
        <v>0</v>
      </c>
      <c r="EH49" s="51">
        <f t="shared" si="88"/>
        <v>0</v>
      </c>
      <c r="EI49" s="51">
        <f t="shared" si="88"/>
        <v>0</v>
      </c>
      <c r="EJ49" s="51">
        <f t="shared" si="88"/>
        <v>0</v>
      </c>
      <c r="EK49" s="51">
        <f t="shared" si="88"/>
        <v>0</v>
      </c>
      <c r="EL49" s="51">
        <f t="shared" si="88"/>
        <v>0</v>
      </c>
      <c r="EM49" s="51">
        <f t="shared" si="88"/>
        <v>0</v>
      </c>
      <c r="EN49" s="51">
        <f t="shared" si="88"/>
        <v>0</v>
      </c>
      <c r="EO49" s="51">
        <f t="shared" si="88"/>
        <v>0</v>
      </c>
      <c r="EP49" s="51">
        <f t="shared" si="88"/>
        <v>0</v>
      </c>
      <c r="EQ49" s="51">
        <f t="shared" si="88"/>
        <v>0</v>
      </c>
      <c r="ER49" s="51">
        <f t="shared" si="88"/>
        <v>0</v>
      </c>
      <c r="ES49" s="51">
        <f t="shared" si="88"/>
        <v>0</v>
      </c>
      <c r="ET49" s="51">
        <f t="shared" si="88"/>
        <v>0</v>
      </c>
      <c r="EU49" s="51">
        <f t="shared" si="88"/>
        <v>0</v>
      </c>
      <c r="EV49" s="51">
        <f t="shared" si="88"/>
        <v>0</v>
      </c>
      <c r="EW49" s="51">
        <f t="shared" si="88"/>
        <v>50000000</v>
      </c>
      <c r="EX49" s="51">
        <f t="shared" ref="EX49:GZ49" si="89">SUM(EX50:EX53)</f>
        <v>475000000</v>
      </c>
      <c r="EY49" s="51">
        <f t="shared" si="89"/>
        <v>368879527.64999998</v>
      </c>
      <c r="EZ49" s="51">
        <f t="shared" si="89"/>
        <v>318162000</v>
      </c>
      <c r="FA49" s="51">
        <f t="shared" si="89"/>
        <v>0</v>
      </c>
      <c r="FB49" s="602">
        <f t="shared" si="89"/>
        <v>0</v>
      </c>
      <c r="FC49" s="51">
        <f t="shared" si="89"/>
        <v>0</v>
      </c>
      <c r="FD49" s="51">
        <f t="shared" si="89"/>
        <v>0</v>
      </c>
      <c r="FE49" s="51">
        <f t="shared" si="89"/>
        <v>0</v>
      </c>
      <c r="FF49" s="51">
        <f t="shared" si="89"/>
        <v>0</v>
      </c>
      <c r="FG49" s="51">
        <f t="shared" si="89"/>
        <v>0</v>
      </c>
      <c r="FH49" s="51">
        <f t="shared" si="89"/>
        <v>0</v>
      </c>
      <c r="FI49" s="51">
        <f t="shared" si="89"/>
        <v>0</v>
      </c>
      <c r="FJ49" s="51">
        <f t="shared" si="89"/>
        <v>0</v>
      </c>
      <c r="FK49" s="51">
        <f t="shared" si="89"/>
        <v>0</v>
      </c>
      <c r="FL49" s="51">
        <f t="shared" si="89"/>
        <v>20000000</v>
      </c>
      <c r="FM49" s="51">
        <f t="shared" si="89"/>
        <v>475120588</v>
      </c>
      <c r="FN49" s="51">
        <f t="shared" si="89"/>
        <v>246813480</v>
      </c>
      <c r="FO49" s="51">
        <f t="shared" si="89"/>
        <v>119528000</v>
      </c>
      <c r="FP49" s="51">
        <f t="shared" si="89"/>
        <v>43417527.649999999</v>
      </c>
      <c r="FQ49" s="51">
        <f t="shared" si="89"/>
        <v>0</v>
      </c>
      <c r="FR49" s="51">
        <f t="shared" si="89"/>
        <v>0</v>
      </c>
      <c r="FS49" s="51">
        <f t="shared" si="89"/>
        <v>0</v>
      </c>
      <c r="FT49" s="51">
        <f t="shared" si="89"/>
        <v>0</v>
      </c>
      <c r="FU49" s="51">
        <f t="shared" si="89"/>
        <v>0</v>
      </c>
      <c r="FV49" s="51">
        <f t="shared" si="89"/>
        <v>0</v>
      </c>
      <c r="FW49" s="51">
        <f t="shared" si="89"/>
        <v>0</v>
      </c>
      <c r="FX49" s="51">
        <f t="shared" si="89"/>
        <v>0</v>
      </c>
      <c r="FY49" s="51">
        <f t="shared" si="89"/>
        <v>0</v>
      </c>
      <c r="FZ49" s="51">
        <f t="shared" si="89"/>
        <v>0</v>
      </c>
      <c r="GA49" s="51">
        <f t="shared" si="89"/>
        <v>0</v>
      </c>
      <c r="GB49" s="51">
        <f t="shared" si="89"/>
        <v>0</v>
      </c>
      <c r="GC49" s="51">
        <f t="shared" si="89"/>
        <v>0</v>
      </c>
      <c r="GD49" s="51">
        <f t="shared" si="89"/>
        <v>0</v>
      </c>
      <c r="GE49" s="51">
        <f t="shared" si="89"/>
        <v>0</v>
      </c>
      <c r="GF49" s="51">
        <f t="shared" si="89"/>
        <v>0</v>
      </c>
      <c r="GG49" s="51">
        <f t="shared" si="89"/>
        <v>0</v>
      </c>
      <c r="GH49" s="51">
        <f t="shared" si="89"/>
        <v>0</v>
      </c>
      <c r="GI49" s="51">
        <f t="shared" si="89"/>
        <v>0</v>
      </c>
      <c r="GJ49" s="51">
        <f t="shared" si="89"/>
        <v>0</v>
      </c>
      <c r="GK49" s="51">
        <f t="shared" si="89"/>
        <v>0</v>
      </c>
      <c r="GL49" s="51">
        <f t="shared" si="89"/>
        <v>0</v>
      </c>
      <c r="GM49" s="51">
        <f t="shared" si="89"/>
        <v>0</v>
      </c>
      <c r="GN49" s="51">
        <f t="shared" si="89"/>
        <v>0</v>
      </c>
      <c r="GO49" s="51">
        <f t="shared" si="89"/>
        <v>0</v>
      </c>
      <c r="GP49" s="51">
        <f t="shared" si="89"/>
        <v>0</v>
      </c>
      <c r="GQ49" s="51">
        <f t="shared" si="89"/>
        <v>0</v>
      </c>
      <c r="GR49" s="51">
        <f t="shared" si="89"/>
        <v>0</v>
      </c>
      <c r="GS49" s="51">
        <f t="shared" si="89"/>
        <v>0</v>
      </c>
      <c r="GT49" s="51">
        <f t="shared" si="89"/>
        <v>0</v>
      </c>
      <c r="GU49" s="51">
        <f t="shared" si="89"/>
        <v>20000000</v>
      </c>
      <c r="GV49" s="51">
        <f t="shared" si="89"/>
        <v>475120588</v>
      </c>
      <c r="GW49" s="51">
        <f t="shared" si="89"/>
        <v>246813480</v>
      </c>
      <c r="GX49" s="51">
        <f t="shared" si="89"/>
        <v>119528000</v>
      </c>
      <c r="GY49" s="51">
        <f t="shared" si="89"/>
        <v>43417527.649999999</v>
      </c>
      <c r="GZ49" s="51">
        <f t="shared" si="89"/>
        <v>500000000</v>
      </c>
    </row>
    <row r="50" spans="1:208" ht="98.25" customHeight="1" x14ac:dyDescent="0.2">
      <c r="A50" s="326"/>
      <c r="B50" s="326"/>
      <c r="C50" s="456"/>
      <c r="D50" s="991"/>
      <c r="E50" s="717"/>
      <c r="F50" s="717"/>
      <c r="G50" s="260">
        <v>31</v>
      </c>
      <c r="H50" s="261" t="s">
        <v>157</v>
      </c>
      <c r="I50" s="258" t="s">
        <v>158</v>
      </c>
      <c r="J50" s="262" t="s">
        <v>125</v>
      </c>
      <c r="K50" s="262">
        <v>13</v>
      </c>
      <c r="L50" s="347" t="s">
        <v>58</v>
      </c>
      <c r="M50" s="264" t="s">
        <v>53</v>
      </c>
      <c r="N50" s="264">
        <v>4</v>
      </c>
      <c r="O50" s="265">
        <v>4</v>
      </c>
      <c r="P50" s="266">
        <v>4</v>
      </c>
      <c r="Q50" s="264">
        <v>4</v>
      </c>
      <c r="R50" s="268"/>
      <c r="S50" s="348">
        <v>4</v>
      </c>
      <c r="T50" s="718">
        <v>4</v>
      </c>
      <c r="U50" s="718"/>
      <c r="V50" s="349">
        <v>4</v>
      </c>
      <c r="W50" s="718">
        <v>4</v>
      </c>
      <c r="X50" s="718"/>
      <c r="Y50" s="659">
        <v>2</v>
      </c>
      <c r="Z50" s="272">
        <f>BM50/$BM$49</f>
        <v>0.47826086956521741</v>
      </c>
      <c r="AA50" s="273">
        <v>8</v>
      </c>
      <c r="AB50" s="350" t="s">
        <v>135</v>
      </c>
      <c r="AC50" s="61"/>
      <c r="AD50" s="54"/>
      <c r="AE50" s="54"/>
      <c r="AF50" s="54"/>
      <c r="AG50" s="61"/>
      <c r="AH50" s="54"/>
      <c r="AI50" s="54"/>
      <c r="AJ50" s="54"/>
      <c r="AK50" s="57">
        <f>100000000+10000000</f>
        <v>110000000</v>
      </c>
      <c r="AL50" s="58">
        <v>110000000</v>
      </c>
      <c r="AM50" s="55">
        <v>110000000</v>
      </c>
      <c r="AN50" s="55">
        <v>110000000</v>
      </c>
      <c r="AO50" s="62"/>
      <c r="AP50" s="58"/>
      <c r="AQ50" s="58"/>
      <c r="AR50" s="58"/>
      <c r="AS50" s="62"/>
      <c r="AT50" s="58"/>
      <c r="AU50" s="59"/>
      <c r="AV50" s="54"/>
      <c r="AW50" s="61"/>
      <c r="AX50" s="54"/>
      <c r="AY50" s="54"/>
      <c r="AZ50" s="54"/>
      <c r="BA50" s="61"/>
      <c r="BB50" s="54"/>
      <c r="BC50" s="54"/>
      <c r="BD50" s="54"/>
      <c r="BE50" s="61"/>
      <c r="BF50" s="54"/>
      <c r="BG50" s="54"/>
      <c r="BH50" s="54"/>
      <c r="BI50" s="61"/>
      <c r="BJ50" s="54"/>
      <c r="BK50" s="54"/>
      <c r="BL50" s="54"/>
      <c r="BM50" s="53">
        <f>+AC50+AG50+AK50+AO50+AS50+AW50+BA50+BE50+BI50</f>
        <v>110000000</v>
      </c>
      <c r="BN50" s="54">
        <f t="shared" ref="BN50:BP53" si="90">AD50+AH50+AL50+AP50+AT50+AX50+BB50+BF50+BJ50</f>
        <v>110000000</v>
      </c>
      <c r="BO50" s="54">
        <f t="shared" si="90"/>
        <v>110000000</v>
      </c>
      <c r="BP50" s="54">
        <f t="shared" si="90"/>
        <v>110000000</v>
      </c>
      <c r="BQ50" s="83"/>
      <c r="BR50" s="83"/>
      <c r="BS50" s="83"/>
      <c r="BT50" s="83"/>
      <c r="BU50" s="83"/>
      <c r="BV50" s="83"/>
      <c r="BW50" s="83"/>
      <c r="BX50" s="83"/>
      <c r="BY50" s="83"/>
      <c r="BZ50" s="84">
        <v>95900000</v>
      </c>
      <c r="CA50" s="83">
        <v>105900000</v>
      </c>
      <c r="CB50" s="83">
        <v>104164332</v>
      </c>
      <c r="CC50" s="83">
        <v>104164332</v>
      </c>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1">
        <f t="shared" si="66"/>
        <v>95900000</v>
      </c>
      <c r="DF50" s="95">
        <f t="shared" ref="DF50:DH53" si="91">BR50+BV50+CA50+CF50+CJ50+CN50+CR50+CW50+DB50</f>
        <v>105900000</v>
      </c>
      <c r="DG50" s="95">
        <f t="shared" si="91"/>
        <v>104164332</v>
      </c>
      <c r="DH50" s="95">
        <f t="shared" si="91"/>
        <v>104164332</v>
      </c>
      <c r="DI50" s="95"/>
      <c r="DJ50" s="84"/>
      <c r="DK50" s="65"/>
      <c r="DL50" s="84"/>
      <c r="DM50" s="84"/>
      <c r="DN50" s="84"/>
      <c r="DO50" s="65"/>
      <c r="DP50" s="84"/>
      <c r="DQ50" s="84"/>
      <c r="DR50" s="84"/>
      <c r="DS50" s="84">
        <v>23900000</v>
      </c>
      <c r="DT50" s="65">
        <v>129000000</v>
      </c>
      <c r="DU50" s="84">
        <v>95220000</v>
      </c>
      <c r="DV50" s="84">
        <v>95220000</v>
      </c>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3"/>
      <c r="EU50" s="83"/>
      <c r="EV50" s="83"/>
      <c r="EW50" s="81">
        <f t="shared" ref="EW50:EX53" si="92">DJ50+DN50+DS50+DX50+EB50+EF50+EJ50+EN50+ES50</f>
        <v>23900000</v>
      </c>
      <c r="EX50" s="85">
        <f t="shared" si="92"/>
        <v>129000000</v>
      </c>
      <c r="EY50" s="86">
        <f t="shared" ref="EY50:EZ53" si="93">DL50+DP50+DU50+DZ50+ED50+EH50+EL50+EP50+EU50</f>
        <v>95220000</v>
      </c>
      <c r="EZ50" s="86">
        <f t="shared" si="93"/>
        <v>95220000</v>
      </c>
      <c r="FA50" s="176"/>
      <c r="FB50" s="83"/>
      <c r="FC50" s="84"/>
      <c r="FD50" s="84"/>
      <c r="FE50" s="84"/>
      <c r="FF50" s="140"/>
      <c r="FG50" s="83"/>
      <c r="FH50" s="83"/>
      <c r="FI50" s="83"/>
      <c r="FJ50" s="83"/>
      <c r="FK50" s="83"/>
      <c r="FL50" s="83">
        <v>9700000</v>
      </c>
      <c r="FM50" s="83">
        <v>164708000</v>
      </c>
      <c r="FN50" s="83">
        <v>36900000</v>
      </c>
      <c r="FO50" s="83">
        <v>29940000</v>
      </c>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1">
        <f>FB50+FG50+FL50+FQ50+FV50+GA50+GF50+GK50+GP50</f>
        <v>9700000</v>
      </c>
      <c r="GV50" s="81">
        <f t="shared" ref="GV50:GY53" si="94">GQ50+GL50+GG50+GB50+FW50+FR50+FM50+FH50</f>
        <v>164708000</v>
      </c>
      <c r="GW50" s="81">
        <f t="shared" si="94"/>
        <v>36900000</v>
      </c>
      <c r="GX50" s="81">
        <f t="shared" si="94"/>
        <v>29940000</v>
      </c>
      <c r="GY50" s="673">
        <f t="shared" si="94"/>
        <v>0</v>
      </c>
      <c r="GZ50" s="67">
        <f>BM50+DE50+EW50+GU50</f>
        <v>239500000</v>
      </c>
    </row>
    <row r="51" spans="1:208" ht="278.25" customHeight="1" x14ac:dyDescent="0.2">
      <c r="A51" s="326"/>
      <c r="B51" s="326"/>
      <c r="C51" s="277">
        <v>5</v>
      </c>
      <c r="D51" s="723" t="s">
        <v>159</v>
      </c>
      <c r="E51" s="351" t="s">
        <v>121</v>
      </c>
      <c r="F51" s="351" t="s">
        <v>122</v>
      </c>
      <c r="G51" s="260">
        <v>32</v>
      </c>
      <c r="H51" s="261" t="s">
        <v>160</v>
      </c>
      <c r="I51" s="258" t="s">
        <v>161</v>
      </c>
      <c r="J51" s="262" t="s">
        <v>125</v>
      </c>
      <c r="K51" s="262">
        <v>13</v>
      </c>
      <c r="L51" s="347" t="s">
        <v>73</v>
      </c>
      <c r="M51" s="264" t="s">
        <v>53</v>
      </c>
      <c r="N51" s="264">
        <v>100</v>
      </c>
      <c r="O51" s="265">
        <v>15</v>
      </c>
      <c r="P51" s="266">
        <v>15</v>
      </c>
      <c r="Q51" s="264">
        <v>30</v>
      </c>
      <c r="R51" s="268"/>
      <c r="S51" s="286">
        <v>30</v>
      </c>
      <c r="T51" s="264">
        <v>30</v>
      </c>
      <c r="U51" s="264"/>
      <c r="V51" s="270">
        <v>34</v>
      </c>
      <c r="W51" s="264">
        <v>25</v>
      </c>
      <c r="X51" s="264"/>
      <c r="Y51" s="656">
        <v>13</v>
      </c>
      <c r="Z51" s="272">
        <f>BM51/$BM$49</f>
        <v>0.43478260869565216</v>
      </c>
      <c r="AA51" s="273">
        <v>8</v>
      </c>
      <c r="AB51" s="350" t="s">
        <v>135</v>
      </c>
      <c r="AC51" s="61"/>
      <c r="AD51" s="54"/>
      <c r="AE51" s="54"/>
      <c r="AF51" s="54"/>
      <c r="AG51" s="61"/>
      <c r="AH51" s="54"/>
      <c r="AI51" s="54"/>
      <c r="AJ51" s="54"/>
      <c r="AK51" s="57">
        <v>100000000</v>
      </c>
      <c r="AL51" s="55">
        <v>150000000</v>
      </c>
      <c r="AM51" s="55">
        <v>111270386</v>
      </c>
      <c r="AN51" s="58">
        <v>111270386</v>
      </c>
      <c r="AO51" s="62"/>
      <c r="AP51" s="58"/>
      <c r="AQ51" s="58"/>
      <c r="AR51" s="58"/>
      <c r="AS51" s="62"/>
      <c r="AT51" s="58"/>
      <c r="AU51" s="59"/>
      <c r="AV51" s="54"/>
      <c r="AW51" s="61"/>
      <c r="AX51" s="54"/>
      <c r="AY51" s="54"/>
      <c r="AZ51" s="54"/>
      <c r="BA51" s="61"/>
      <c r="BB51" s="54"/>
      <c r="BC51" s="54"/>
      <c r="BD51" s="54"/>
      <c r="BE51" s="61"/>
      <c r="BF51" s="54"/>
      <c r="BG51" s="54"/>
      <c r="BH51" s="54"/>
      <c r="BI51" s="61"/>
      <c r="BJ51" s="54"/>
      <c r="BK51" s="54"/>
      <c r="BL51" s="54"/>
      <c r="BM51" s="53">
        <f>+AC51+AG51+AK51+AO51+AS51+AW51+BA51+BE51+BI51</f>
        <v>100000000</v>
      </c>
      <c r="BN51" s="54">
        <f t="shared" si="90"/>
        <v>150000000</v>
      </c>
      <c r="BO51" s="54">
        <f t="shared" si="90"/>
        <v>111270386</v>
      </c>
      <c r="BP51" s="54">
        <f t="shared" si="90"/>
        <v>111270386</v>
      </c>
      <c r="BQ51" s="83"/>
      <c r="BR51" s="83"/>
      <c r="BS51" s="83"/>
      <c r="BT51" s="83"/>
      <c r="BU51" s="83"/>
      <c r="BV51" s="83"/>
      <c r="BW51" s="83"/>
      <c r="BX51" s="83"/>
      <c r="BY51" s="83"/>
      <c r="BZ51" s="84">
        <v>86900000</v>
      </c>
      <c r="CA51" s="83">
        <v>201900000</v>
      </c>
      <c r="CB51" s="83">
        <v>183693591</v>
      </c>
      <c r="CC51" s="83">
        <v>183693591</v>
      </c>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1">
        <f t="shared" si="66"/>
        <v>86900000</v>
      </c>
      <c r="DF51" s="95">
        <f t="shared" si="91"/>
        <v>201900000</v>
      </c>
      <c r="DG51" s="95">
        <f t="shared" si="91"/>
        <v>183693591</v>
      </c>
      <c r="DH51" s="95">
        <f t="shared" si="91"/>
        <v>183693591</v>
      </c>
      <c r="DI51" s="95"/>
      <c r="DJ51" s="84"/>
      <c r="DK51" s="65"/>
      <c r="DL51" s="84"/>
      <c r="DM51" s="84"/>
      <c r="DN51" s="84"/>
      <c r="DO51" s="65">
        <v>30000000</v>
      </c>
      <c r="DP51" s="84">
        <v>23026667</v>
      </c>
      <c r="DQ51" s="84">
        <v>15726667</v>
      </c>
      <c r="DR51" s="84"/>
      <c r="DS51" s="84">
        <v>21700000</v>
      </c>
      <c r="DT51" s="65">
        <v>260000000</v>
      </c>
      <c r="DU51" s="84">
        <v>195132860.65000001</v>
      </c>
      <c r="DV51" s="84">
        <v>151715333</v>
      </c>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3"/>
      <c r="EU51" s="83"/>
      <c r="EV51" s="83"/>
      <c r="EW51" s="81">
        <f t="shared" si="92"/>
        <v>21700000</v>
      </c>
      <c r="EX51" s="85">
        <f t="shared" si="92"/>
        <v>290000000</v>
      </c>
      <c r="EY51" s="86">
        <f t="shared" si="93"/>
        <v>218159527.65000001</v>
      </c>
      <c r="EZ51" s="86">
        <f t="shared" si="93"/>
        <v>167442000</v>
      </c>
      <c r="FA51" s="176"/>
      <c r="FB51" s="83"/>
      <c r="FC51" s="84"/>
      <c r="FD51" s="84"/>
      <c r="FE51" s="84"/>
      <c r="FF51" s="140"/>
      <c r="FG51" s="83"/>
      <c r="FH51" s="83"/>
      <c r="FI51" s="83"/>
      <c r="FJ51" s="83"/>
      <c r="FK51" s="83"/>
      <c r="FL51" s="83">
        <v>4800000</v>
      </c>
      <c r="FM51" s="83">
        <v>250412588</v>
      </c>
      <c r="FN51" s="83">
        <v>176063480</v>
      </c>
      <c r="FO51" s="83">
        <v>70768000</v>
      </c>
      <c r="FP51" s="83">
        <v>43417527.649999999</v>
      </c>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1">
        <f>FB51+FG51+FL51+FQ51+FV51+GA51+GF51+GK51+GP51</f>
        <v>4800000</v>
      </c>
      <c r="GV51" s="81">
        <f t="shared" si="94"/>
        <v>250412588</v>
      </c>
      <c r="GW51" s="81">
        <f t="shared" si="94"/>
        <v>176063480</v>
      </c>
      <c r="GX51" s="81">
        <f t="shared" si="94"/>
        <v>70768000</v>
      </c>
      <c r="GY51" s="673">
        <f t="shared" si="94"/>
        <v>43417527.649999999</v>
      </c>
      <c r="GZ51" s="67">
        <f>BM51+DE51+EW51+GU51</f>
        <v>213400000</v>
      </c>
    </row>
    <row r="52" spans="1:208" ht="107.25" customHeight="1" x14ac:dyDescent="0.2">
      <c r="A52" s="326"/>
      <c r="B52" s="326"/>
      <c r="C52" s="288">
        <v>6</v>
      </c>
      <c r="D52" s="258" t="s">
        <v>162</v>
      </c>
      <c r="E52" s="265" t="s">
        <v>127</v>
      </c>
      <c r="F52" s="265" t="s">
        <v>128</v>
      </c>
      <c r="G52" s="260">
        <v>33</v>
      </c>
      <c r="H52" s="261" t="s">
        <v>163</v>
      </c>
      <c r="I52" s="258" t="s">
        <v>164</v>
      </c>
      <c r="J52" s="262" t="s">
        <v>125</v>
      </c>
      <c r="K52" s="262">
        <v>13</v>
      </c>
      <c r="L52" s="347" t="s">
        <v>73</v>
      </c>
      <c r="M52" s="264" t="s">
        <v>53</v>
      </c>
      <c r="N52" s="352">
        <v>1200</v>
      </c>
      <c r="O52" s="265">
        <v>200</v>
      </c>
      <c r="P52" s="266">
        <v>200</v>
      </c>
      <c r="Q52" s="264">
        <v>400</v>
      </c>
      <c r="R52" s="268"/>
      <c r="S52" s="286">
        <v>400</v>
      </c>
      <c r="T52" s="264">
        <v>400</v>
      </c>
      <c r="U52" s="264"/>
      <c r="V52" s="270">
        <v>437</v>
      </c>
      <c r="W52" s="264">
        <v>200</v>
      </c>
      <c r="X52" s="264"/>
      <c r="Y52" s="656">
        <v>180</v>
      </c>
      <c r="Z52" s="272">
        <f>BM52/$BM$49</f>
        <v>4.3478260869565216E-2</v>
      </c>
      <c r="AA52" s="273">
        <v>8</v>
      </c>
      <c r="AB52" s="350" t="s">
        <v>135</v>
      </c>
      <c r="AC52" s="61"/>
      <c r="AD52" s="54"/>
      <c r="AE52" s="54"/>
      <c r="AF52" s="54"/>
      <c r="AG52" s="61"/>
      <c r="AH52" s="54"/>
      <c r="AI52" s="54"/>
      <c r="AJ52" s="54"/>
      <c r="AK52" s="57">
        <v>10000000</v>
      </c>
      <c r="AL52" s="55">
        <v>10000000</v>
      </c>
      <c r="AM52" s="55">
        <v>10000000</v>
      </c>
      <c r="AN52" s="58">
        <v>10000000</v>
      </c>
      <c r="AO52" s="62"/>
      <c r="AP52" s="58"/>
      <c r="AQ52" s="58"/>
      <c r="AR52" s="58"/>
      <c r="AS52" s="62"/>
      <c r="AT52" s="58"/>
      <c r="AU52" s="59"/>
      <c r="AV52" s="54"/>
      <c r="AW52" s="61"/>
      <c r="AX52" s="54"/>
      <c r="AY52" s="54"/>
      <c r="AZ52" s="54"/>
      <c r="BA52" s="61"/>
      <c r="BB52" s="54"/>
      <c r="BC52" s="54"/>
      <c r="BD52" s="54"/>
      <c r="BE52" s="61"/>
      <c r="BF52" s="54"/>
      <c r="BG52" s="54"/>
      <c r="BH52" s="54"/>
      <c r="BI52" s="61"/>
      <c r="BJ52" s="54"/>
      <c r="BK52" s="54"/>
      <c r="BL52" s="54"/>
      <c r="BM52" s="53">
        <f>+AC52+AG52+AK52+AO52+AS52+AW52+BA52+BE52+BI52</f>
        <v>10000000</v>
      </c>
      <c r="BN52" s="54">
        <f t="shared" si="90"/>
        <v>10000000</v>
      </c>
      <c r="BO52" s="54">
        <f t="shared" si="90"/>
        <v>10000000</v>
      </c>
      <c r="BP52" s="54">
        <f t="shared" si="90"/>
        <v>10000000</v>
      </c>
      <c r="BQ52" s="83"/>
      <c r="BR52" s="83"/>
      <c r="BS52" s="83"/>
      <c r="BT52" s="83"/>
      <c r="BU52" s="83"/>
      <c r="BV52" s="83"/>
      <c r="BW52" s="83"/>
      <c r="BX52" s="83"/>
      <c r="BY52" s="83"/>
      <c r="BZ52" s="84">
        <v>8600000</v>
      </c>
      <c r="CA52" s="83">
        <v>28600000</v>
      </c>
      <c r="CB52" s="83">
        <v>27930000</v>
      </c>
      <c r="CC52" s="83">
        <v>26930000</v>
      </c>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1">
        <f t="shared" si="66"/>
        <v>8600000</v>
      </c>
      <c r="DF52" s="95">
        <f t="shared" si="91"/>
        <v>28600000</v>
      </c>
      <c r="DG52" s="95">
        <f t="shared" si="91"/>
        <v>27930000</v>
      </c>
      <c r="DH52" s="95">
        <f t="shared" si="91"/>
        <v>26930000</v>
      </c>
      <c r="DI52" s="95"/>
      <c r="DJ52" s="84"/>
      <c r="DK52" s="65"/>
      <c r="DL52" s="84"/>
      <c r="DM52" s="84"/>
      <c r="DN52" s="84"/>
      <c r="DO52" s="84"/>
      <c r="DP52" s="84"/>
      <c r="DQ52" s="84"/>
      <c r="DR52" s="84"/>
      <c r="DS52" s="84">
        <v>2100000</v>
      </c>
      <c r="DT52" s="84">
        <v>28000000</v>
      </c>
      <c r="DU52" s="84">
        <v>28000000</v>
      </c>
      <c r="DV52" s="84">
        <v>28000000</v>
      </c>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3"/>
      <c r="EU52" s="83"/>
      <c r="EV52" s="83"/>
      <c r="EW52" s="81">
        <f t="shared" si="92"/>
        <v>2100000</v>
      </c>
      <c r="EX52" s="86">
        <f t="shared" si="92"/>
        <v>28000000</v>
      </c>
      <c r="EY52" s="86">
        <f t="shared" si="93"/>
        <v>28000000</v>
      </c>
      <c r="EZ52" s="86">
        <f t="shared" si="93"/>
        <v>28000000</v>
      </c>
      <c r="FA52" s="176"/>
      <c r="FB52" s="83"/>
      <c r="FC52" s="84"/>
      <c r="FD52" s="84"/>
      <c r="FE52" s="84"/>
      <c r="FF52" s="140"/>
      <c r="FG52" s="83"/>
      <c r="FH52" s="83"/>
      <c r="FI52" s="83"/>
      <c r="FJ52" s="83"/>
      <c r="FK52" s="83"/>
      <c r="FL52" s="83">
        <v>2500000</v>
      </c>
      <c r="FM52" s="609">
        <v>30000000</v>
      </c>
      <c r="FN52" s="609">
        <v>15125000</v>
      </c>
      <c r="FO52" s="609">
        <v>8300000</v>
      </c>
      <c r="FP52" s="609"/>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1">
        <f>FB52+FG52+FL52+FQ52+FV52+GA52+GF52+GK52+GP52</f>
        <v>2500000</v>
      </c>
      <c r="GV52" s="81">
        <f t="shared" si="94"/>
        <v>30000000</v>
      </c>
      <c r="GW52" s="81">
        <f t="shared" si="94"/>
        <v>15125000</v>
      </c>
      <c r="GX52" s="81">
        <f t="shared" si="94"/>
        <v>8300000</v>
      </c>
      <c r="GY52" s="673">
        <f t="shared" si="94"/>
        <v>0</v>
      </c>
      <c r="GZ52" s="67">
        <f>BM52+DE52+EW52+GU52</f>
        <v>23200000</v>
      </c>
    </row>
    <row r="53" spans="1:208" ht="107.25" customHeight="1" x14ac:dyDescent="0.2">
      <c r="A53" s="326"/>
      <c r="B53" s="326"/>
      <c r="C53" s="277">
        <v>7</v>
      </c>
      <c r="D53" s="722" t="s">
        <v>150</v>
      </c>
      <c r="E53" s="306" t="s">
        <v>132</v>
      </c>
      <c r="F53" s="353">
        <v>0.27</v>
      </c>
      <c r="G53" s="260">
        <v>34</v>
      </c>
      <c r="H53" s="261" t="s">
        <v>165</v>
      </c>
      <c r="I53" s="258" t="s">
        <v>166</v>
      </c>
      <c r="J53" s="262" t="s">
        <v>125</v>
      </c>
      <c r="K53" s="262">
        <v>13</v>
      </c>
      <c r="L53" s="334" t="s">
        <v>73</v>
      </c>
      <c r="M53" s="264" t="s">
        <v>53</v>
      </c>
      <c r="N53" s="352">
        <v>2400</v>
      </c>
      <c r="O53" s="265">
        <v>400</v>
      </c>
      <c r="P53" s="266">
        <v>400</v>
      </c>
      <c r="Q53" s="264">
        <v>800</v>
      </c>
      <c r="R53" s="354"/>
      <c r="S53" s="286">
        <v>800</v>
      </c>
      <c r="T53" s="264">
        <v>600</v>
      </c>
      <c r="U53" s="264"/>
      <c r="V53" s="270">
        <v>800</v>
      </c>
      <c r="W53" s="264">
        <v>600</v>
      </c>
      <c r="X53" s="264"/>
      <c r="Y53" s="656">
        <v>362</v>
      </c>
      <c r="Z53" s="272">
        <f>BM53/$BM$49</f>
        <v>4.3478260869565216E-2</v>
      </c>
      <c r="AA53" s="273">
        <v>8</v>
      </c>
      <c r="AB53" s="350" t="s">
        <v>135</v>
      </c>
      <c r="AC53" s="61"/>
      <c r="AD53" s="54"/>
      <c r="AE53" s="54"/>
      <c r="AF53" s="54"/>
      <c r="AG53" s="61"/>
      <c r="AH53" s="54"/>
      <c r="AI53" s="54"/>
      <c r="AJ53" s="54"/>
      <c r="AK53" s="57">
        <v>10000000</v>
      </c>
      <c r="AL53" s="55">
        <v>10000000</v>
      </c>
      <c r="AM53" s="55">
        <v>10000000</v>
      </c>
      <c r="AN53" s="58">
        <v>10000000</v>
      </c>
      <c r="AO53" s="62"/>
      <c r="AP53" s="58"/>
      <c r="AQ53" s="58"/>
      <c r="AR53" s="58"/>
      <c r="AS53" s="62"/>
      <c r="AT53" s="58"/>
      <c r="AU53" s="59"/>
      <c r="AV53" s="54"/>
      <c r="AW53" s="61"/>
      <c r="AX53" s="54"/>
      <c r="AY53" s="54"/>
      <c r="AZ53" s="54"/>
      <c r="BA53" s="61"/>
      <c r="BB53" s="54"/>
      <c r="BC53" s="54"/>
      <c r="BD53" s="54"/>
      <c r="BE53" s="61"/>
      <c r="BF53" s="54"/>
      <c r="BG53" s="54"/>
      <c r="BH53" s="54"/>
      <c r="BI53" s="61"/>
      <c r="BJ53" s="54"/>
      <c r="BK53" s="54"/>
      <c r="BL53" s="54"/>
      <c r="BM53" s="53">
        <f>+AC53+AG53+AK53+AO53+AS53+AW53+BA53+BE53+BI53</f>
        <v>10000000</v>
      </c>
      <c r="BN53" s="54">
        <f t="shared" si="90"/>
        <v>10000000</v>
      </c>
      <c r="BO53" s="54">
        <f t="shared" si="90"/>
        <v>10000000</v>
      </c>
      <c r="BP53" s="54">
        <f t="shared" si="90"/>
        <v>10000000</v>
      </c>
      <c r="BQ53" s="83"/>
      <c r="BR53" s="83"/>
      <c r="BS53" s="83"/>
      <c r="BT53" s="83"/>
      <c r="BU53" s="83"/>
      <c r="BV53" s="83"/>
      <c r="BW53" s="83"/>
      <c r="BX53" s="83"/>
      <c r="BY53" s="83"/>
      <c r="BZ53" s="84">
        <v>8600000</v>
      </c>
      <c r="CA53" s="83">
        <v>28600000</v>
      </c>
      <c r="CB53" s="83">
        <v>24760000</v>
      </c>
      <c r="CC53" s="83">
        <v>23780000</v>
      </c>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1">
        <f t="shared" si="66"/>
        <v>8600000</v>
      </c>
      <c r="DF53" s="95">
        <f t="shared" si="91"/>
        <v>28600000</v>
      </c>
      <c r="DG53" s="95">
        <f t="shared" si="91"/>
        <v>24760000</v>
      </c>
      <c r="DH53" s="95">
        <f t="shared" si="91"/>
        <v>23780000</v>
      </c>
      <c r="DI53" s="95"/>
      <c r="DJ53" s="84"/>
      <c r="DK53" s="65"/>
      <c r="DL53" s="84"/>
      <c r="DM53" s="84"/>
      <c r="DN53" s="84"/>
      <c r="DO53" s="84"/>
      <c r="DP53" s="84"/>
      <c r="DQ53" s="84"/>
      <c r="DR53" s="84"/>
      <c r="DS53" s="84">
        <v>2300000</v>
      </c>
      <c r="DT53" s="65">
        <v>28000000</v>
      </c>
      <c r="DU53" s="84">
        <v>27500000</v>
      </c>
      <c r="DV53" s="84">
        <v>27500000</v>
      </c>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3"/>
      <c r="EU53" s="83"/>
      <c r="EV53" s="83"/>
      <c r="EW53" s="81">
        <f t="shared" si="92"/>
        <v>2300000</v>
      </c>
      <c r="EX53" s="86">
        <f t="shared" si="92"/>
        <v>28000000</v>
      </c>
      <c r="EY53" s="86">
        <f t="shared" si="93"/>
        <v>27500000</v>
      </c>
      <c r="EZ53" s="86">
        <f t="shared" si="93"/>
        <v>27500000</v>
      </c>
      <c r="FA53" s="176"/>
      <c r="FB53" s="83"/>
      <c r="FC53" s="84"/>
      <c r="FD53" s="84"/>
      <c r="FE53" s="84"/>
      <c r="FF53" s="140"/>
      <c r="FG53" s="83"/>
      <c r="FH53" s="83"/>
      <c r="FI53" s="83"/>
      <c r="FJ53" s="83"/>
      <c r="FK53" s="83"/>
      <c r="FL53" s="83">
        <v>3000000</v>
      </c>
      <c r="FM53" s="83">
        <v>30000000</v>
      </c>
      <c r="FN53" s="83">
        <v>18725000</v>
      </c>
      <c r="FO53" s="83">
        <v>10520000</v>
      </c>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1">
        <f>FB53+FG53+FL53+FQ53+FV53+GA53+GF53+GK53+GP53</f>
        <v>3000000</v>
      </c>
      <c r="GV53" s="81">
        <f t="shared" si="94"/>
        <v>30000000</v>
      </c>
      <c r="GW53" s="81">
        <f t="shared" si="94"/>
        <v>18725000</v>
      </c>
      <c r="GX53" s="81">
        <f t="shared" si="94"/>
        <v>10520000</v>
      </c>
      <c r="GY53" s="673">
        <f t="shared" si="94"/>
        <v>0</v>
      </c>
      <c r="GZ53" s="67">
        <f>BM53+DE53+EW53+GU53</f>
        <v>23900000</v>
      </c>
    </row>
    <row r="54" spans="1:208" ht="24.75" customHeight="1" x14ac:dyDescent="0.2">
      <c r="A54" s="326"/>
      <c r="B54" s="326"/>
      <c r="C54" s="246">
        <v>7</v>
      </c>
      <c r="D54" s="247" t="s">
        <v>167</v>
      </c>
      <c r="E54" s="249"/>
      <c r="F54" s="295"/>
      <c r="G54" s="249"/>
      <c r="H54" s="249"/>
      <c r="I54" s="249"/>
      <c r="J54" s="249"/>
      <c r="K54" s="249"/>
      <c r="L54" s="249"/>
      <c r="M54" s="249"/>
      <c r="N54" s="249"/>
      <c r="O54" s="249"/>
      <c r="P54" s="249"/>
      <c r="Q54" s="249"/>
      <c r="R54" s="249"/>
      <c r="S54" s="249"/>
      <c r="T54" s="249"/>
      <c r="U54" s="249"/>
      <c r="V54" s="249"/>
      <c r="W54" s="249"/>
      <c r="X54" s="663"/>
      <c r="Y54" s="296"/>
      <c r="Z54" s="249"/>
      <c r="AA54" s="249"/>
      <c r="AB54" s="249"/>
      <c r="AC54" s="186">
        <f t="shared" ref="AC54:BL54" si="95">SUM(AC55:AC57)</f>
        <v>0</v>
      </c>
      <c r="AD54" s="186">
        <f t="shared" si="95"/>
        <v>0</v>
      </c>
      <c r="AE54" s="186">
        <f t="shared" si="95"/>
        <v>0</v>
      </c>
      <c r="AF54" s="186">
        <f t="shared" si="95"/>
        <v>0</v>
      </c>
      <c r="AG54" s="186">
        <f t="shared" si="95"/>
        <v>0</v>
      </c>
      <c r="AH54" s="186">
        <f t="shared" si="95"/>
        <v>0</v>
      </c>
      <c r="AI54" s="186">
        <f t="shared" si="95"/>
        <v>0</v>
      </c>
      <c r="AJ54" s="186">
        <f t="shared" si="95"/>
        <v>0</v>
      </c>
      <c r="AK54" s="186">
        <f t="shared" si="95"/>
        <v>90000000</v>
      </c>
      <c r="AL54" s="186">
        <f t="shared" si="95"/>
        <v>140000000</v>
      </c>
      <c r="AM54" s="186">
        <f t="shared" si="95"/>
        <v>132888334</v>
      </c>
      <c r="AN54" s="186">
        <f t="shared" si="95"/>
        <v>132888334</v>
      </c>
      <c r="AO54" s="186">
        <f t="shared" si="95"/>
        <v>0</v>
      </c>
      <c r="AP54" s="186">
        <f t="shared" si="95"/>
        <v>0</v>
      </c>
      <c r="AQ54" s="186">
        <f t="shared" si="95"/>
        <v>0</v>
      </c>
      <c r="AR54" s="186">
        <f t="shared" si="95"/>
        <v>0</v>
      </c>
      <c r="AS54" s="186">
        <f t="shared" si="95"/>
        <v>0</v>
      </c>
      <c r="AT54" s="186">
        <f t="shared" si="95"/>
        <v>0</v>
      </c>
      <c r="AU54" s="186">
        <f t="shared" si="95"/>
        <v>0</v>
      </c>
      <c r="AV54" s="186">
        <f t="shared" si="95"/>
        <v>0</v>
      </c>
      <c r="AW54" s="186">
        <f t="shared" si="95"/>
        <v>0</v>
      </c>
      <c r="AX54" s="186">
        <f t="shared" si="95"/>
        <v>0</v>
      </c>
      <c r="AY54" s="186">
        <f t="shared" si="95"/>
        <v>0</v>
      </c>
      <c r="AZ54" s="186">
        <f t="shared" si="95"/>
        <v>0</v>
      </c>
      <c r="BA54" s="186">
        <f t="shared" si="95"/>
        <v>0</v>
      </c>
      <c r="BB54" s="186">
        <f t="shared" si="95"/>
        <v>0</v>
      </c>
      <c r="BC54" s="186">
        <f t="shared" si="95"/>
        <v>0</v>
      </c>
      <c r="BD54" s="186">
        <f t="shared" si="95"/>
        <v>0</v>
      </c>
      <c r="BE54" s="186">
        <f t="shared" si="95"/>
        <v>0</v>
      </c>
      <c r="BF54" s="186">
        <f t="shared" si="95"/>
        <v>0</v>
      </c>
      <c r="BG54" s="186">
        <f t="shared" si="95"/>
        <v>0</v>
      </c>
      <c r="BH54" s="186">
        <f t="shared" si="95"/>
        <v>0</v>
      </c>
      <c r="BI54" s="186">
        <f t="shared" si="95"/>
        <v>0</v>
      </c>
      <c r="BJ54" s="186">
        <f t="shared" si="95"/>
        <v>0</v>
      </c>
      <c r="BK54" s="186">
        <f t="shared" si="95"/>
        <v>0</v>
      </c>
      <c r="BL54" s="186">
        <f t="shared" si="95"/>
        <v>0</v>
      </c>
      <c r="BM54" s="186">
        <f t="shared" ref="BM54:DX54" si="96">SUM(BM55:BM57)</f>
        <v>90000000</v>
      </c>
      <c r="BN54" s="186">
        <f t="shared" si="96"/>
        <v>140000000</v>
      </c>
      <c r="BO54" s="186">
        <f t="shared" si="96"/>
        <v>132888334</v>
      </c>
      <c r="BP54" s="186">
        <f t="shared" si="96"/>
        <v>132888334</v>
      </c>
      <c r="BQ54" s="186">
        <f t="shared" si="96"/>
        <v>0</v>
      </c>
      <c r="BR54" s="186">
        <f t="shared" si="96"/>
        <v>0</v>
      </c>
      <c r="BS54" s="186">
        <f t="shared" si="96"/>
        <v>0</v>
      </c>
      <c r="BT54" s="186">
        <f t="shared" si="96"/>
        <v>0</v>
      </c>
      <c r="BU54" s="186">
        <f t="shared" si="96"/>
        <v>0</v>
      </c>
      <c r="BV54" s="186">
        <f t="shared" si="96"/>
        <v>30000000</v>
      </c>
      <c r="BW54" s="186">
        <f t="shared" si="96"/>
        <v>18932664</v>
      </c>
      <c r="BX54" s="186">
        <f t="shared" si="96"/>
        <v>18932664</v>
      </c>
      <c r="BY54" s="186">
        <f t="shared" si="96"/>
        <v>0</v>
      </c>
      <c r="BZ54" s="186">
        <f t="shared" si="96"/>
        <v>100000000</v>
      </c>
      <c r="CA54" s="186">
        <f t="shared" si="96"/>
        <v>120000000</v>
      </c>
      <c r="CB54" s="186">
        <f t="shared" si="96"/>
        <v>112460000</v>
      </c>
      <c r="CC54" s="186">
        <f t="shared" si="96"/>
        <v>112307650</v>
      </c>
      <c r="CD54" s="186">
        <f t="shared" si="96"/>
        <v>0</v>
      </c>
      <c r="CE54" s="186">
        <f t="shared" si="96"/>
        <v>0</v>
      </c>
      <c r="CF54" s="186">
        <f t="shared" si="96"/>
        <v>0</v>
      </c>
      <c r="CG54" s="186">
        <f t="shared" si="96"/>
        <v>0</v>
      </c>
      <c r="CH54" s="186">
        <f t="shared" si="96"/>
        <v>0</v>
      </c>
      <c r="CI54" s="186">
        <f t="shared" si="96"/>
        <v>0</v>
      </c>
      <c r="CJ54" s="186">
        <f t="shared" si="96"/>
        <v>0</v>
      </c>
      <c r="CK54" s="186">
        <f t="shared" si="96"/>
        <v>0</v>
      </c>
      <c r="CL54" s="186">
        <f t="shared" si="96"/>
        <v>0</v>
      </c>
      <c r="CM54" s="186">
        <f t="shared" si="96"/>
        <v>0</v>
      </c>
      <c r="CN54" s="186">
        <f t="shared" si="96"/>
        <v>0</v>
      </c>
      <c r="CO54" s="186">
        <f t="shared" si="96"/>
        <v>0</v>
      </c>
      <c r="CP54" s="186">
        <f t="shared" si="96"/>
        <v>0</v>
      </c>
      <c r="CQ54" s="186">
        <f t="shared" si="96"/>
        <v>0</v>
      </c>
      <c r="CR54" s="186">
        <f t="shared" si="96"/>
        <v>0</v>
      </c>
      <c r="CS54" s="186">
        <f t="shared" si="96"/>
        <v>0</v>
      </c>
      <c r="CT54" s="186">
        <f t="shared" si="96"/>
        <v>0</v>
      </c>
      <c r="CU54" s="186">
        <f t="shared" si="96"/>
        <v>0</v>
      </c>
      <c r="CV54" s="186">
        <f t="shared" si="96"/>
        <v>0</v>
      </c>
      <c r="CW54" s="186">
        <f t="shared" si="96"/>
        <v>0</v>
      </c>
      <c r="CX54" s="186">
        <f t="shared" si="96"/>
        <v>0</v>
      </c>
      <c r="CY54" s="186">
        <f t="shared" si="96"/>
        <v>0</v>
      </c>
      <c r="CZ54" s="186">
        <f t="shared" si="96"/>
        <v>0</v>
      </c>
      <c r="DA54" s="186">
        <f t="shared" si="96"/>
        <v>0</v>
      </c>
      <c r="DB54" s="186">
        <f t="shared" si="96"/>
        <v>0</v>
      </c>
      <c r="DC54" s="186">
        <f t="shared" si="96"/>
        <v>0</v>
      </c>
      <c r="DD54" s="186">
        <f t="shared" si="96"/>
        <v>0</v>
      </c>
      <c r="DE54" s="186">
        <f t="shared" si="96"/>
        <v>100000000</v>
      </c>
      <c r="DF54" s="186">
        <f t="shared" si="96"/>
        <v>150000000</v>
      </c>
      <c r="DG54" s="186">
        <f t="shared" si="96"/>
        <v>131392664</v>
      </c>
      <c r="DH54" s="186">
        <f t="shared" si="96"/>
        <v>131240314</v>
      </c>
      <c r="DI54" s="186">
        <f t="shared" si="96"/>
        <v>0</v>
      </c>
      <c r="DJ54" s="186">
        <f t="shared" si="96"/>
        <v>0</v>
      </c>
      <c r="DK54" s="186">
        <f t="shared" si="96"/>
        <v>0</v>
      </c>
      <c r="DL54" s="186">
        <f t="shared" si="96"/>
        <v>0</v>
      </c>
      <c r="DM54" s="186">
        <f t="shared" si="96"/>
        <v>0</v>
      </c>
      <c r="DN54" s="186">
        <f t="shared" si="96"/>
        <v>0</v>
      </c>
      <c r="DO54" s="186">
        <f t="shared" si="96"/>
        <v>0</v>
      </c>
      <c r="DP54" s="186">
        <f t="shared" si="96"/>
        <v>0</v>
      </c>
      <c r="DQ54" s="186">
        <f t="shared" si="96"/>
        <v>0</v>
      </c>
      <c r="DR54" s="186">
        <f t="shared" si="96"/>
        <v>0</v>
      </c>
      <c r="DS54" s="186">
        <f t="shared" si="96"/>
        <v>30000000</v>
      </c>
      <c r="DT54" s="186">
        <f t="shared" si="96"/>
        <v>135000000</v>
      </c>
      <c r="DU54" s="186">
        <f t="shared" si="96"/>
        <v>129359000</v>
      </c>
      <c r="DV54" s="186">
        <f t="shared" si="96"/>
        <v>129359000</v>
      </c>
      <c r="DW54" s="186">
        <f t="shared" si="96"/>
        <v>0</v>
      </c>
      <c r="DX54" s="186">
        <f t="shared" si="96"/>
        <v>0</v>
      </c>
      <c r="DY54" s="186">
        <f t="shared" ref="DY54:EW54" si="97">SUM(DY55:DY57)</f>
        <v>0</v>
      </c>
      <c r="DZ54" s="186">
        <f t="shared" si="97"/>
        <v>0</v>
      </c>
      <c r="EA54" s="186">
        <f t="shared" si="97"/>
        <v>0</v>
      </c>
      <c r="EB54" s="186">
        <f t="shared" si="97"/>
        <v>0</v>
      </c>
      <c r="EC54" s="186">
        <f t="shared" si="97"/>
        <v>0</v>
      </c>
      <c r="ED54" s="186">
        <f t="shared" si="97"/>
        <v>0</v>
      </c>
      <c r="EE54" s="186">
        <f t="shared" si="97"/>
        <v>0</v>
      </c>
      <c r="EF54" s="186">
        <f t="shared" si="97"/>
        <v>0</v>
      </c>
      <c r="EG54" s="186">
        <f t="shared" si="97"/>
        <v>0</v>
      </c>
      <c r="EH54" s="186">
        <f t="shared" si="97"/>
        <v>0</v>
      </c>
      <c r="EI54" s="186">
        <f t="shared" si="97"/>
        <v>0</v>
      </c>
      <c r="EJ54" s="186">
        <f t="shared" si="97"/>
        <v>0</v>
      </c>
      <c r="EK54" s="186">
        <f t="shared" si="97"/>
        <v>0</v>
      </c>
      <c r="EL54" s="186">
        <f t="shared" si="97"/>
        <v>0</v>
      </c>
      <c r="EM54" s="186">
        <f t="shared" si="97"/>
        <v>0</v>
      </c>
      <c r="EN54" s="186">
        <f t="shared" si="97"/>
        <v>0</v>
      </c>
      <c r="EO54" s="186">
        <f t="shared" si="97"/>
        <v>0</v>
      </c>
      <c r="EP54" s="186">
        <f t="shared" si="97"/>
        <v>0</v>
      </c>
      <c r="EQ54" s="186">
        <f t="shared" si="97"/>
        <v>0</v>
      </c>
      <c r="ER54" s="186">
        <f t="shared" si="97"/>
        <v>0</v>
      </c>
      <c r="ES54" s="186">
        <f t="shared" si="97"/>
        <v>0</v>
      </c>
      <c r="ET54" s="186">
        <f t="shared" si="97"/>
        <v>0</v>
      </c>
      <c r="EU54" s="186">
        <f t="shared" si="97"/>
        <v>0</v>
      </c>
      <c r="EV54" s="186">
        <f t="shared" si="97"/>
        <v>0</v>
      </c>
      <c r="EW54" s="186">
        <f t="shared" si="97"/>
        <v>30000000</v>
      </c>
      <c r="EX54" s="186">
        <f t="shared" ref="EX54:GZ54" si="98">SUM(EX55:EX57)</f>
        <v>135000000</v>
      </c>
      <c r="EY54" s="186">
        <f t="shared" si="98"/>
        <v>129359000</v>
      </c>
      <c r="EZ54" s="186">
        <f t="shared" si="98"/>
        <v>129359000</v>
      </c>
      <c r="FA54" s="186">
        <f t="shared" si="98"/>
        <v>0</v>
      </c>
      <c r="FB54" s="601">
        <f t="shared" si="98"/>
        <v>0</v>
      </c>
      <c r="FC54" s="186">
        <f t="shared" si="98"/>
        <v>0</v>
      </c>
      <c r="FD54" s="186">
        <f t="shared" si="98"/>
        <v>0</v>
      </c>
      <c r="FE54" s="186">
        <f t="shared" si="98"/>
        <v>0</v>
      </c>
      <c r="FF54" s="186">
        <f t="shared" si="98"/>
        <v>0</v>
      </c>
      <c r="FG54" s="186">
        <f t="shared" si="98"/>
        <v>0</v>
      </c>
      <c r="FH54" s="186">
        <f t="shared" si="98"/>
        <v>0</v>
      </c>
      <c r="FI54" s="186">
        <f t="shared" si="98"/>
        <v>0</v>
      </c>
      <c r="FJ54" s="186">
        <f t="shared" si="98"/>
        <v>0</v>
      </c>
      <c r="FK54" s="186">
        <f t="shared" si="98"/>
        <v>0</v>
      </c>
      <c r="FL54" s="186">
        <f t="shared" si="98"/>
        <v>20000000</v>
      </c>
      <c r="FM54" s="186">
        <f t="shared" si="98"/>
        <v>197966912</v>
      </c>
      <c r="FN54" s="186">
        <f t="shared" si="98"/>
        <v>80800000</v>
      </c>
      <c r="FO54" s="186">
        <f t="shared" si="98"/>
        <v>52920000</v>
      </c>
      <c r="FP54" s="186">
        <f t="shared" si="98"/>
        <v>0</v>
      </c>
      <c r="FQ54" s="186">
        <f t="shared" si="98"/>
        <v>0</v>
      </c>
      <c r="FR54" s="186">
        <f t="shared" si="98"/>
        <v>0</v>
      </c>
      <c r="FS54" s="186">
        <f t="shared" si="98"/>
        <v>0</v>
      </c>
      <c r="FT54" s="186">
        <f t="shared" si="98"/>
        <v>0</v>
      </c>
      <c r="FU54" s="186">
        <f t="shared" si="98"/>
        <v>0</v>
      </c>
      <c r="FV54" s="186">
        <f t="shared" si="98"/>
        <v>0</v>
      </c>
      <c r="FW54" s="186">
        <f t="shared" si="98"/>
        <v>0</v>
      </c>
      <c r="FX54" s="186">
        <f t="shared" si="98"/>
        <v>0</v>
      </c>
      <c r="FY54" s="186">
        <f t="shared" si="98"/>
        <v>0</v>
      </c>
      <c r="FZ54" s="186">
        <f t="shared" si="98"/>
        <v>0</v>
      </c>
      <c r="GA54" s="186">
        <f t="shared" si="98"/>
        <v>0</v>
      </c>
      <c r="GB54" s="186">
        <f t="shared" si="98"/>
        <v>0</v>
      </c>
      <c r="GC54" s="186">
        <f t="shared" si="98"/>
        <v>0</v>
      </c>
      <c r="GD54" s="186">
        <f t="shared" si="98"/>
        <v>0</v>
      </c>
      <c r="GE54" s="186">
        <f t="shared" si="98"/>
        <v>0</v>
      </c>
      <c r="GF54" s="186">
        <f t="shared" si="98"/>
        <v>0</v>
      </c>
      <c r="GG54" s="186">
        <f t="shared" si="98"/>
        <v>0</v>
      </c>
      <c r="GH54" s="186">
        <f t="shared" si="98"/>
        <v>0</v>
      </c>
      <c r="GI54" s="186">
        <f t="shared" si="98"/>
        <v>0</v>
      </c>
      <c r="GJ54" s="186">
        <f t="shared" si="98"/>
        <v>0</v>
      </c>
      <c r="GK54" s="186">
        <f t="shared" si="98"/>
        <v>0</v>
      </c>
      <c r="GL54" s="186">
        <f t="shared" si="98"/>
        <v>0</v>
      </c>
      <c r="GM54" s="186">
        <f t="shared" si="98"/>
        <v>0</v>
      </c>
      <c r="GN54" s="186">
        <f t="shared" si="98"/>
        <v>0</v>
      </c>
      <c r="GO54" s="186">
        <f t="shared" si="98"/>
        <v>0</v>
      </c>
      <c r="GP54" s="186">
        <f t="shared" si="98"/>
        <v>0</v>
      </c>
      <c r="GQ54" s="186">
        <f t="shared" si="98"/>
        <v>0</v>
      </c>
      <c r="GR54" s="186">
        <f t="shared" si="98"/>
        <v>0</v>
      </c>
      <c r="GS54" s="186">
        <f t="shared" si="98"/>
        <v>0</v>
      </c>
      <c r="GT54" s="186">
        <f t="shared" si="98"/>
        <v>0</v>
      </c>
      <c r="GU54" s="186">
        <f t="shared" si="98"/>
        <v>20000000</v>
      </c>
      <c r="GV54" s="186">
        <f t="shared" si="98"/>
        <v>197966912</v>
      </c>
      <c r="GW54" s="186">
        <f t="shared" si="98"/>
        <v>80800000</v>
      </c>
      <c r="GX54" s="186">
        <f t="shared" si="98"/>
        <v>52920000</v>
      </c>
      <c r="GY54" s="186">
        <f t="shared" si="98"/>
        <v>0</v>
      </c>
      <c r="GZ54" s="186">
        <f t="shared" si="98"/>
        <v>240000000</v>
      </c>
    </row>
    <row r="55" spans="1:208" ht="114.75" customHeight="1" x14ac:dyDescent="0.2">
      <c r="A55" s="326"/>
      <c r="B55" s="326"/>
      <c r="C55" s="288">
        <v>5</v>
      </c>
      <c r="D55" s="258" t="s">
        <v>120</v>
      </c>
      <c r="E55" s="355" t="s">
        <v>121</v>
      </c>
      <c r="F55" s="355" t="s">
        <v>122</v>
      </c>
      <c r="G55" s="260">
        <v>35</v>
      </c>
      <c r="H55" s="261" t="s">
        <v>168</v>
      </c>
      <c r="I55" s="258" t="s">
        <v>144</v>
      </c>
      <c r="J55" s="262" t="s">
        <v>125</v>
      </c>
      <c r="K55" s="262">
        <v>13</v>
      </c>
      <c r="L55" s="345" t="s">
        <v>58</v>
      </c>
      <c r="M55" s="265">
        <v>0</v>
      </c>
      <c r="N55" s="265">
        <v>5</v>
      </c>
      <c r="O55" s="724">
        <v>5</v>
      </c>
      <c r="P55" s="356">
        <v>5</v>
      </c>
      <c r="Q55" s="724">
        <v>5</v>
      </c>
      <c r="R55" s="268"/>
      <c r="S55" s="348">
        <v>5</v>
      </c>
      <c r="T55" s="724">
        <v>5</v>
      </c>
      <c r="U55" s="724"/>
      <c r="V55" s="356">
        <v>5</v>
      </c>
      <c r="W55" s="724">
        <v>5</v>
      </c>
      <c r="X55" s="724"/>
      <c r="Y55" s="660">
        <v>2</v>
      </c>
      <c r="Z55" s="357">
        <f>BM55/$BM$54</f>
        <v>0.96666666666666667</v>
      </c>
      <c r="AA55" s="265">
        <v>8</v>
      </c>
      <c r="AB55" s="345" t="s">
        <v>135</v>
      </c>
      <c r="AC55" s="61"/>
      <c r="AD55" s="54"/>
      <c r="AE55" s="54"/>
      <c r="AF55" s="54"/>
      <c r="AG55" s="61"/>
      <c r="AH55" s="54"/>
      <c r="AI55" s="54"/>
      <c r="AJ55" s="54"/>
      <c r="AK55" s="57">
        <v>87000000</v>
      </c>
      <c r="AL55" s="58">
        <v>112000000</v>
      </c>
      <c r="AM55" s="55">
        <v>106577500</v>
      </c>
      <c r="AN55" s="55">
        <v>106577500</v>
      </c>
      <c r="AO55" s="62"/>
      <c r="AP55" s="58"/>
      <c r="AQ55" s="58"/>
      <c r="AR55" s="58"/>
      <c r="AS55" s="62"/>
      <c r="AT55" s="58"/>
      <c r="AU55" s="59"/>
      <c r="AV55" s="54"/>
      <c r="AW55" s="61"/>
      <c r="AX55" s="54"/>
      <c r="AY55" s="54"/>
      <c r="AZ55" s="54"/>
      <c r="BA55" s="61"/>
      <c r="BB55" s="54"/>
      <c r="BC55" s="54"/>
      <c r="BD55" s="54"/>
      <c r="BE55" s="61"/>
      <c r="BF55" s="54"/>
      <c r="BG55" s="54"/>
      <c r="BH55" s="54"/>
      <c r="BI55" s="61"/>
      <c r="BJ55" s="54"/>
      <c r="BK55" s="54"/>
      <c r="BL55" s="54"/>
      <c r="BM55" s="53">
        <f>+AC55+AG55+AK55+AO55+AS55+AW55+BA55+BE55+BI55</f>
        <v>87000000</v>
      </c>
      <c r="BN55" s="54">
        <f t="shared" ref="BN55:BP57" si="99">AD55+AH55+AL55+AP55+AT55+AX55+BB55+BF55+BJ55</f>
        <v>112000000</v>
      </c>
      <c r="BO55" s="54">
        <f t="shared" si="99"/>
        <v>106577500</v>
      </c>
      <c r="BP55" s="54">
        <f t="shared" si="99"/>
        <v>106577500</v>
      </c>
      <c r="BQ55" s="83"/>
      <c r="BR55" s="83"/>
      <c r="BS55" s="83"/>
      <c r="BT55" s="83"/>
      <c r="BU55" s="83"/>
      <c r="BV55" s="83">
        <v>17340000</v>
      </c>
      <c r="BW55" s="83">
        <v>14600331</v>
      </c>
      <c r="BX55" s="83">
        <v>14600331</v>
      </c>
      <c r="BY55" s="83"/>
      <c r="BZ55" s="84">
        <v>90000000</v>
      </c>
      <c r="CA55" s="83">
        <v>42660000</v>
      </c>
      <c r="CB55" s="83">
        <v>35211667</v>
      </c>
      <c r="CC55" s="83">
        <v>35211667</v>
      </c>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1">
        <f t="shared" si="66"/>
        <v>90000000</v>
      </c>
      <c r="DF55" s="95">
        <f t="shared" ref="DF55:DH57" si="100">BR55+BV55+CA55+CF55+CJ55+CN55+CR55+CW55+DB55</f>
        <v>60000000</v>
      </c>
      <c r="DG55" s="95">
        <f t="shared" si="100"/>
        <v>49811998</v>
      </c>
      <c r="DH55" s="95">
        <f t="shared" si="100"/>
        <v>49811998</v>
      </c>
      <c r="DI55" s="95"/>
      <c r="DJ55" s="84"/>
      <c r="DK55" s="65"/>
      <c r="DL55" s="84"/>
      <c r="DM55" s="84"/>
      <c r="DN55" s="84"/>
      <c r="DO55" s="84"/>
      <c r="DP55" s="84"/>
      <c r="DQ55" s="84"/>
      <c r="DR55" s="84"/>
      <c r="DS55" s="84">
        <v>23000000</v>
      </c>
      <c r="DT55" s="84">
        <v>44000000</v>
      </c>
      <c r="DU55" s="84">
        <v>43025667</v>
      </c>
      <c r="DV55" s="84">
        <v>43025667</v>
      </c>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3"/>
      <c r="EU55" s="83"/>
      <c r="EV55" s="83"/>
      <c r="EW55" s="81">
        <f t="shared" ref="EW55:EX57" si="101">DJ55+DN55+DS55+DX55+EB55+EF55+EJ55+EN55+ES55</f>
        <v>23000000</v>
      </c>
      <c r="EX55" s="86">
        <f t="shared" si="101"/>
        <v>44000000</v>
      </c>
      <c r="EY55" s="86">
        <f t="shared" ref="EY55:EZ57" si="102">DL55+DP55+DU55+DZ55+ED55+EH55+EL55+EP55+EU55</f>
        <v>43025667</v>
      </c>
      <c r="EZ55" s="86">
        <f t="shared" si="102"/>
        <v>43025667</v>
      </c>
      <c r="FA55" s="176"/>
      <c r="FB55" s="83"/>
      <c r="FC55" s="84"/>
      <c r="FD55" s="84"/>
      <c r="FE55" s="84"/>
      <c r="FF55" s="140"/>
      <c r="FG55" s="83"/>
      <c r="FH55" s="83"/>
      <c r="FI55" s="83"/>
      <c r="FJ55" s="83"/>
      <c r="FK55" s="83"/>
      <c r="FL55" s="83">
        <v>17000000</v>
      </c>
      <c r="FM55" s="83">
        <v>69684000</v>
      </c>
      <c r="FN55" s="83">
        <v>4200000</v>
      </c>
      <c r="FO55" s="83">
        <v>3840000</v>
      </c>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1">
        <f>FB55+FG55+FL55+FQ55+FV55+GA55+GF55+GK55+GP55</f>
        <v>17000000</v>
      </c>
      <c r="GV55" s="81">
        <f t="shared" ref="GV55:GY57" si="103">GQ55+GL55+GG55+GB55+FW55+FR55+FM55+FH55</f>
        <v>69684000</v>
      </c>
      <c r="GW55" s="81">
        <f t="shared" si="103"/>
        <v>4200000</v>
      </c>
      <c r="GX55" s="81">
        <f t="shared" si="103"/>
        <v>3840000</v>
      </c>
      <c r="GY55" s="673">
        <f t="shared" si="103"/>
        <v>0</v>
      </c>
      <c r="GZ55" s="67">
        <f>BM55+DE55+EW55+GU55</f>
        <v>217000000</v>
      </c>
    </row>
    <row r="56" spans="1:208" ht="93.75" customHeight="1" x14ac:dyDescent="0.2">
      <c r="A56" s="326"/>
      <c r="B56" s="326"/>
      <c r="C56" s="288">
        <v>6</v>
      </c>
      <c r="D56" s="258" t="s">
        <v>162</v>
      </c>
      <c r="E56" s="265" t="s">
        <v>127</v>
      </c>
      <c r="F56" s="265" t="s">
        <v>128</v>
      </c>
      <c r="G56" s="265">
        <v>36</v>
      </c>
      <c r="H56" s="261" t="s">
        <v>169</v>
      </c>
      <c r="I56" s="261" t="s">
        <v>170</v>
      </c>
      <c r="J56" s="262" t="s">
        <v>125</v>
      </c>
      <c r="K56" s="262">
        <v>13</v>
      </c>
      <c r="L56" s="345" t="s">
        <v>73</v>
      </c>
      <c r="M56" s="265">
        <v>0</v>
      </c>
      <c r="N56" s="265">
        <v>3</v>
      </c>
      <c r="O56" s="265">
        <v>1</v>
      </c>
      <c r="P56" s="266">
        <v>1</v>
      </c>
      <c r="Q56" s="264">
        <v>1</v>
      </c>
      <c r="R56" s="268"/>
      <c r="S56" s="286">
        <v>1</v>
      </c>
      <c r="T56" s="264">
        <v>1</v>
      </c>
      <c r="U56" s="264"/>
      <c r="V56" s="270">
        <v>2</v>
      </c>
      <c r="W56" s="264">
        <v>0</v>
      </c>
      <c r="X56" s="718"/>
      <c r="Y56" s="661"/>
      <c r="Z56" s="357">
        <f>BM56/$BM$54</f>
        <v>3.3333333333333333E-2</v>
      </c>
      <c r="AA56" s="265">
        <v>12</v>
      </c>
      <c r="AB56" s="345" t="s">
        <v>74</v>
      </c>
      <c r="AC56" s="61"/>
      <c r="AD56" s="54"/>
      <c r="AE56" s="54"/>
      <c r="AF56" s="54"/>
      <c r="AG56" s="61"/>
      <c r="AH56" s="54"/>
      <c r="AI56" s="54"/>
      <c r="AJ56" s="54"/>
      <c r="AK56" s="57">
        <v>3000000</v>
      </c>
      <c r="AL56" s="55">
        <v>28000000</v>
      </c>
      <c r="AM56" s="55">
        <v>26310834</v>
      </c>
      <c r="AN56" s="55">
        <v>26310834</v>
      </c>
      <c r="AO56" s="62"/>
      <c r="AP56" s="58"/>
      <c r="AQ56" s="58"/>
      <c r="AR56" s="58"/>
      <c r="AS56" s="62"/>
      <c r="AT56" s="58"/>
      <c r="AU56" s="59"/>
      <c r="AV56" s="54"/>
      <c r="AW56" s="61"/>
      <c r="AX56" s="54"/>
      <c r="AY56" s="54"/>
      <c r="AZ56" s="54"/>
      <c r="BA56" s="61"/>
      <c r="BB56" s="54"/>
      <c r="BC56" s="54"/>
      <c r="BD56" s="54"/>
      <c r="BE56" s="61"/>
      <c r="BF56" s="54"/>
      <c r="BG56" s="54"/>
      <c r="BH56" s="54"/>
      <c r="BI56" s="61"/>
      <c r="BJ56" s="54"/>
      <c r="BK56" s="54"/>
      <c r="BL56" s="54"/>
      <c r="BM56" s="53">
        <f>+AC56+AG56+AK56+AO56+AS56+AW56+BA56+BE56+BI56</f>
        <v>3000000</v>
      </c>
      <c r="BN56" s="54">
        <f t="shared" si="99"/>
        <v>28000000</v>
      </c>
      <c r="BO56" s="54">
        <f t="shared" si="99"/>
        <v>26310834</v>
      </c>
      <c r="BP56" s="54">
        <f t="shared" si="99"/>
        <v>26310834</v>
      </c>
      <c r="BQ56" s="83"/>
      <c r="BR56" s="83"/>
      <c r="BS56" s="83"/>
      <c r="BT56" s="83"/>
      <c r="BU56" s="83"/>
      <c r="BV56" s="83">
        <v>10990000</v>
      </c>
      <c r="BW56" s="83">
        <v>4332333</v>
      </c>
      <c r="BX56" s="83">
        <v>4332333</v>
      </c>
      <c r="BY56" s="83"/>
      <c r="BZ56" s="84">
        <v>3500000</v>
      </c>
      <c r="CA56" s="83">
        <v>22510000</v>
      </c>
      <c r="CB56" s="83">
        <v>22418333</v>
      </c>
      <c r="CC56" s="83">
        <v>22265983</v>
      </c>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1">
        <f t="shared" si="66"/>
        <v>3500000</v>
      </c>
      <c r="DF56" s="95">
        <f t="shared" si="100"/>
        <v>33500000</v>
      </c>
      <c r="DG56" s="95">
        <f t="shared" si="100"/>
        <v>26750666</v>
      </c>
      <c r="DH56" s="95">
        <f t="shared" si="100"/>
        <v>26598316</v>
      </c>
      <c r="DI56" s="95"/>
      <c r="DJ56" s="84"/>
      <c r="DK56" s="65"/>
      <c r="DL56" s="84"/>
      <c r="DM56" s="84"/>
      <c r="DN56" s="84"/>
      <c r="DO56" s="84"/>
      <c r="DP56" s="84"/>
      <c r="DQ56" s="84"/>
      <c r="DR56" s="84"/>
      <c r="DS56" s="84">
        <v>3000000</v>
      </c>
      <c r="DT56" s="84">
        <v>29000000</v>
      </c>
      <c r="DU56" s="84">
        <v>29000000</v>
      </c>
      <c r="DV56" s="84">
        <v>29000000</v>
      </c>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3"/>
      <c r="EU56" s="83"/>
      <c r="EV56" s="83"/>
      <c r="EW56" s="81">
        <f t="shared" si="101"/>
        <v>3000000</v>
      </c>
      <c r="EX56" s="86">
        <f t="shared" si="101"/>
        <v>29000000</v>
      </c>
      <c r="EY56" s="86">
        <f t="shared" si="102"/>
        <v>29000000</v>
      </c>
      <c r="EZ56" s="86">
        <f t="shared" si="102"/>
        <v>29000000</v>
      </c>
      <c r="FA56" s="176"/>
      <c r="FB56" s="83"/>
      <c r="FC56" s="84"/>
      <c r="FD56" s="84"/>
      <c r="FE56" s="84"/>
      <c r="FF56" s="140"/>
      <c r="FG56" s="83">
        <v>0</v>
      </c>
      <c r="FH56" s="83"/>
      <c r="FI56" s="83"/>
      <c r="FJ56" s="83"/>
      <c r="FK56" s="83"/>
      <c r="FL56" s="83">
        <v>0</v>
      </c>
      <c r="FM56" s="83"/>
      <c r="FN56" s="83"/>
      <c r="FO56" s="83"/>
      <c r="FP56" s="83"/>
      <c r="FQ56" s="83">
        <v>0</v>
      </c>
      <c r="FR56" s="83"/>
      <c r="FS56" s="83"/>
      <c r="FT56" s="83"/>
      <c r="FU56" s="83"/>
      <c r="FV56" s="83">
        <v>0</v>
      </c>
      <c r="FW56" s="83"/>
      <c r="FX56" s="83"/>
      <c r="FY56" s="83"/>
      <c r="FZ56" s="83"/>
      <c r="GA56" s="83">
        <v>0</v>
      </c>
      <c r="GB56" s="83"/>
      <c r="GC56" s="83"/>
      <c r="GD56" s="83"/>
      <c r="GE56" s="83"/>
      <c r="GF56" s="83">
        <v>0</v>
      </c>
      <c r="GG56" s="83"/>
      <c r="GH56" s="83"/>
      <c r="GI56" s="83"/>
      <c r="GJ56" s="83"/>
      <c r="GK56" s="83">
        <v>0</v>
      </c>
      <c r="GL56" s="83"/>
      <c r="GM56" s="83"/>
      <c r="GN56" s="83"/>
      <c r="GO56" s="83"/>
      <c r="GP56" s="83">
        <v>0</v>
      </c>
      <c r="GQ56" s="83"/>
      <c r="GR56" s="83"/>
      <c r="GS56" s="83"/>
      <c r="GT56" s="83"/>
      <c r="GU56" s="81">
        <f>FB56+FG56+FL56+FQ56+FV56+GA56+GF56+GK56+GP56</f>
        <v>0</v>
      </c>
      <c r="GV56" s="81">
        <f t="shared" si="103"/>
        <v>0</v>
      </c>
      <c r="GW56" s="81">
        <f t="shared" si="103"/>
        <v>0</v>
      </c>
      <c r="GX56" s="81">
        <f t="shared" si="103"/>
        <v>0</v>
      </c>
      <c r="GY56" s="673">
        <f t="shared" si="103"/>
        <v>0</v>
      </c>
      <c r="GZ56" s="67">
        <f>BM56+DE56+EW56+GU56</f>
        <v>9500000</v>
      </c>
    </row>
    <row r="57" spans="1:208" ht="93.75" customHeight="1" x14ac:dyDescent="0.2">
      <c r="A57" s="326"/>
      <c r="B57" s="326"/>
      <c r="C57" s="277">
        <v>7</v>
      </c>
      <c r="D57" s="722" t="s">
        <v>150</v>
      </c>
      <c r="E57" s="306" t="s">
        <v>132</v>
      </c>
      <c r="F57" s="353">
        <v>0.27</v>
      </c>
      <c r="G57" s="265">
        <v>37</v>
      </c>
      <c r="H57" s="261" t="s">
        <v>171</v>
      </c>
      <c r="I57" s="258" t="s">
        <v>172</v>
      </c>
      <c r="J57" s="262" t="s">
        <v>125</v>
      </c>
      <c r="K57" s="262">
        <v>13</v>
      </c>
      <c r="L57" s="347" t="s">
        <v>58</v>
      </c>
      <c r="M57" s="264">
        <v>0</v>
      </c>
      <c r="N57" s="264">
        <v>1</v>
      </c>
      <c r="O57" s="265">
        <v>0</v>
      </c>
      <c r="P57" s="266"/>
      <c r="Q57" s="264">
        <v>1</v>
      </c>
      <c r="R57" s="268"/>
      <c r="S57" s="286">
        <v>1</v>
      </c>
      <c r="T57" s="264">
        <v>1</v>
      </c>
      <c r="U57" s="264"/>
      <c r="V57" s="270">
        <v>1</v>
      </c>
      <c r="W57" s="264">
        <v>1</v>
      </c>
      <c r="X57" s="718"/>
      <c r="Y57" s="661">
        <v>0.4</v>
      </c>
      <c r="Z57" s="357">
        <f>BM57/$BM$54</f>
        <v>0</v>
      </c>
      <c r="AA57" s="265">
        <v>2</v>
      </c>
      <c r="AB57" s="345" t="s">
        <v>141</v>
      </c>
      <c r="AC57" s="61"/>
      <c r="AD57" s="54"/>
      <c r="AE57" s="54"/>
      <c r="AF57" s="54"/>
      <c r="AG57" s="61"/>
      <c r="AH57" s="54"/>
      <c r="AI57" s="54"/>
      <c r="AJ57" s="54"/>
      <c r="AK57" s="61"/>
      <c r="AL57" s="54"/>
      <c r="AM57" s="54"/>
      <c r="AN57" s="54"/>
      <c r="AO57" s="61"/>
      <c r="AP57" s="54"/>
      <c r="AQ57" s="54"/>
      <c r="AR57" s="54"/>
      <c r="AS57" s="61"/>
      <c r="AT57" s="54"/>
      <c r="AU57" s="54"/>
      <c r="AV57" s="54"/>
      <c r="AW57" s="61"/>
      <c r="AX57" s="54"/>
      <c r="AY57" s="54"/>
      <c r="AZ57" s="54"/>
      <c r="BA57" s="61"/>
      <c r="BB57" s="54"/>
      <c r="BC57" s="54"/>
      <c r="BD57" s="54"/>
      <c r="BE57" s="61"/>
      <c r="BF57" s="54"/>
      <c r="BG57" s="54"/>
      <c r="BH57" s="54"/>
      <c r="BI57" s="61"/>
      <c r="BJ57" s="54"/>
      <c r="BK57" s="54"/>
      <c r="BL57" s="54"/>
      <c r="BM57" s="53">
        <f>+AC57+AG57+AK57+AO57+AS57+AW57+BA57+BE57+BI57</f>
        <v>0</v>
      </c>
      <c r="BN57" s="54">
        <f t="shared" si="99"/>
        <v>0</v>
      </c>
      <c r="BO57" s="54">
        <f t="shared" si="99"/>
        <v>0</v>
      </c>
      <c r="BP57" s="54">
        <f t="shared" si="99"/>
        <v>0</v>
      </c>
      <c r="BQ57" s="83"/>
      <c r="BR57" s="83"/>
      <c r="BS57" s="83"/>
      <c r="BT57" s="83"/>
      <c r="BU57" s="83"/>
      <c r="BV57" s="83">
        <v>1670000</v>
      </c>
      <c r="BW57" s="83">
        <v>0</v>
      </c>
      <c r="BX57" s="83">
        <v>0</v>
      </c>
      <c r="BY57" s="83"/>
      <c r="BZ57" s="84">
        <v>6500000</v>
      </c>
      <c r="CA57" s="83">
        <v>54830000</v>
      </c>
      <c r="CB57" s="83">
        <v>54830000</v>
      </c>
      <c r="CC57" s="83">
        <v>54830000</v>
      </c>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1">
        <f t="shared" si="66"/>
        <v>6500000</v>
      </c>
      <c r="DF57" s="95">
        <f t="shared" si="100"/>
        <v>56500000</v>
      </c>
      <c r="DG57" s="95">
        <f t="shared" si="100"/>
        <v>54830000</v>
      </c>
      <c r="DH57" s="95">
        <f t="shared" si="100"/>
        <v>54830000</v>
      </c>
      <c r="DI57" s="95"/>
      <c r="DJ57" s="84"/>
      <c r="DK57" s="65"/>
      <c r="DL57" s="84"/>
      <c r="DM57" s="84"/>
      <c r="DN57" s="84"/>
      <c r="DO57" s="84"/>
      <c r="DP57" s="84"/>
      <c r="DQ57" s="84"/>
      <c r="DR57" s="84"/>
      <c r="DS57" s="84">
        <v>4000000</v>
      </c>
      <c r="DT57" s="84">
        <v>62000000</v>
      </c>
      <c r="DU57" s="84">
        <v>57333333</v>
      </c>
      <c r="DV57" s="84">
        <v>57333333</v>
      </c>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3"/>
      <c r="EU57" s="83"/>
      <c r="EV57" s="83"/>
      <c r="EW57" s="81">
        <f t="shared" si="101"/>
        <v>4000000</v>
      </c>
      <c r="EX57" s="86">
        <f t="shared" si="101"/>
        <v>62000000</v>
      </c>
      <c r="EY57" s="86">
        <f t="shared" si="102"/>
        <v>57333333</v>
      </c>
      <c r="EZ57" s="86">
        <f t="shared" si="102"/>
        <v>57333333</v>
      </c>
      <c r="FA57" s="176"/>
      <c r="FB57" s="83"/>
      <c r="FC57" s="84"/>
      <c r="FD57" s="84"/>
      <c r="FE57" s="84"/>
      <c r="FF57" s="140"/>
      <c r="FG57" s="83"/>
      <c r="FH57" s="83"/>
      <c r="FI57" s="83"/>
      <c r="FJ57" s="83"/>
      <c r="FK57" s="83"/>
      <c r="FL57" s="83">
        <v>3000000</v>
      </c>
      <c r="FM57" s="83">
        <v>128282912</v>
      </c>
      <c r="FN57" s="83">
        <v>76600000</v>
      </c>
      <c r="FO57" s="83">
        <v>49080000</v>
      </c>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1">
        <f>FB57+FG57+FL57+FQ57+FV57+GA57+GF57+GK57+GP57</f>
        <v>3000000</v>
      </c>
      <c r="GV57" s="81">
        <f t="shared" si="103"/>
        <v>128282912</v>
      </c>
      <c r="GW57" s="81">
        <f t="shared" si="103"/>
        <v>76600000</v>
      </c>
      <c r="GX57" s="81">
        <f t="shared" si="103"/>
        <v>49080000</v>
      </c>
      <c r="GY57" s="673">
        <f t="shared" si="103"/>
        <v>0</v>
      </c>
      <c r="GZ57" s="67">
        <f>BM57+DE57+EW57+GU57</f>
        <v>13500000</v>
      </c>
    </row>
    <row r="58" spans="1:208" ht="24.75" customHeight="1" x14ac:dyDescent="0.2">
      <c r="A58" s="326"/>
      <c r="B58" s="326"/>
      <c r="C58" s="246">
        <v>8</v>
      </c>
      <c r="D58" s="247" t="s">
        <v>173</v>
      </c>
      <c r="E58" s="249"/>
      <c r="F58" s="295"/>
      <c r="G58" s="249"/>
      <c r="H58" s="249"/>
      <c r="I58" s="249"/>
      <c r="J58" s="249"/>
      <c r="K58" s="249"/>
      <c r="L58" s="249"/>
      <c r="M58" s="249"/>
      <c r="N58" s="249"/>
      <c r="O58" s="249"/>
      <c r="P58" s="249"/>
      <c r="Q58" s="249"/>
      <c r="R58" s="249"/>
      <c r="S58" s="249"/>
      <c r="T58" s="249"/>
      <c r="U58" s="249"/>
      <c r="V58" s="249"/>
      <c r="W58" s="249"/>
      <c r="X58" s="663"/>
      <c r="Y58" s="296"/>
      <c r="Z58" s="249"/>
      <c r="AA58" s="249"/>
      <c r="AB58" s="249"/>
      <c r="AC58" s="186">
        <f t="shared" ref="AC58:BL58" si="104">SUM(AC59:AC63)</f>
        <v>0</v>
      </c>
      <c r="AD58" s="186">
        <f t="shared" si="104"/>
        <v>0</v>
      </c>
      <c r="AE58" s="186">
        <f t="shared" si="104"/>
        <v>0</v>
      </c>
      <c r="AF58" s="186">
        <f t="shared" si="104"/>
        <v>0</v>
      </c>
      <c r="AG58" s="186">
        <f t="shared" si="104"/>
        <v>0</v>
      </c>
      <c r="AH58" s="186">
        <f t="shared" si="104"/>
        <v>0</v>
      </c>
      <c r="AI58" s="186">
        <f t="shared" si="104"/>
        <v>0</v>
      </c>
      <c r="AJ58" s="186">
        <f t="shared" si="104"/>
        <v>0</v>
      </c>
      <c r="AK58" s="186">
        <f t="shared" si="104"/>
        <v>50000000</v>
      </c>
      <c r="AL58" s="186">
        <f t="shared" si="104"/>
        <v>50000000</v>
      </c>
      <c r="AM58" s="186">
        <f t="shared" si="104"/>
        <v>27750000</v>
      </c>
      <c r="AN58" s="186">
        <f t="shared" si="104"/>
        <v>20250000</v>
      </c>
      <c r="AO58" s="186">
        <f t="shared" si="104"/>
        <v>0</v>
      </c>
      <c r="AP58" s="186">
        <f t="shared" si="104"/>
        <v>0</v>
      </c>
      <c r="AQ58" s="186">
        <f t="shared" si="104"/>
        <v>0</v>
      </c>
      <c r="AR58" s="186">
        <f t="shared" si="104"/>
        <v>0</v>
      </c>
      <c r="AS58" s="186">
        <f t="shared" si="104"/>
        <v>0</v>
      </c>
      <c r="AT58" s="186">
        <f t="shared" si="104"/>
        <v>0</v>
      </c>
      <c r="AU58" s="186">
        <f t="shared" si="104"/>
        <v>0</v>
      </c>
      <c r="AV58" s="186">
        <f t="shared" si="104"/>
        <v>0</v>
      </c>
      <c r="AW58" s="186">
        <f t="shared" si="104"/>
        <v>0</v>
      </c>
      <c r="AX58" s="186">
        <f t="shared" si="104"/>
        <v>0</v>
      </c>
      <c r="AY58" s="186">
        <f t="shared" si="104"/>
        <v>0</v>
      </c>
      <c r="AZ58" s="186">
        <f t="shared" si="104"/>
        <v>0</v>
      </c>
      <c r="BA58" s="186">
        <f t="shared" si="104"/>
        <v>0</v>
      </c>
      <c r="BB58" s="186">
        <f t="shared" si="104"/>
        <v>0</v>
      </c>
      <c r="BC58" s="186">
        <f t="shared" si="104"/>
        <v>0</v>
      </c>
      <c r="BD58" s="186">
        <f t="shared" si="104"/>
        <v>0</v>
      </c>
      <c r="BE58" s="186">
        <f t="shared" si="104"/>
        <v>0</v>
      </c>
      <c r="BF58" s="186">
        <f t="shared" si="104"/>
        <v>0</v>
      </c>
      <c r="BG58" s="186">
        <f t="shared" si="104"/>
        <v>0</v>
      </c>
      <c r="BH58" s="186">
        <f t="shared" si="104"/>
        <v>0</v>
      </c>
      <c r="BI58" s="186">
        <f t="shared" si="104"/>
        <v>1250000000</v>
      </c>
      <c r="BJ58" s="186">
        <f t="shared" si="104"/>
        <v>0</v>
      </c>
      <c r="BK58" s="186">
        <f t="shared" si="104"/>
        <v>0</v>
      </c>
      <c r="BL58" s="186">
        <f t="shared" si="104"/>
        <v>0</v>
      </c>
      <c r="BM58" s="186">
        <f t="shared" ref="BM58:DX58" si="105">SUM(BM59:BM63)</f>
        <v>1300000000</v>
      </c>
      <c r="BN58" s="186">
        <f t="shared" si="105"/>
        <v>50000000</v>
      </c>
      <c r="BO58" s="186">
        <f t="shared" si="105"/>
        <v>27750000</v>
      </c>
      <c r="BP58" s="186">
        <f t="shared" si="105"/>
        <v>20250000</v>
      </c>
      <c r="BQ58" s="186">
        <f t="shared" si="105"/>
        <v>0</v>
      </c>
      <c r="BR58" s="186">
        <f t="shared" si="105"/>
        <v>0</v>
      </c>
      <c r="BS58" s="186">
        <f t="shared" si="105"/>
        <v>0</v>
      </c>
      <c r="BT58" s="186">
        <f t="shared" si="105"/>
        <v>0</v>
      </c>
      <c r="BU58" s="186">
        <f t="shared" si="105"/>
        <v>0</v>
      </c>
      <c r="BV58" s="186">
        <f t="shared" si="105"/>
        <v>77460000</v>
      </c>
      <c r="BW58" s="186">
        <f t="shared" si="105"/>
        <v>32440000</v>
      </c>
      <c r="BX58" s="186">
        <f t="shared" si="105"/>
        <v>32440000</v>
      </c>
      <c r="BY58" s="186">
        <f t="shared" si="105"/>
        <v>0</v>
      </c>
      <c r="BZ58" s="186">
        <f t="shared" si="105"/>
        <v>50000000</v>
      </c>
      <c r="CA58" s="186">
        <f t="shared" si="105"/>
        <v>132000000</v>
      </c>
      <c r="CB58" s="186">
        <f t="shared" si="105"/>
        <v>51893570</v>
      </c>
      <c r="CC58" s="186">
        <f t="shared" si="105"/>
        <v>51862820</v>
      </c>
      <c r="CD58" s="186">
        <f t="shared" si="105"/>
        <v>0</v>
      </c>
      <c r="CE58" s="186">
        <f t="shared" si="105"/>
        <v>0</v>
      </c>
      <c r="CF58" s="186">
        <f t="shared" si="105"/>
        <v>0</v>
      </c>
      <c r="CG58" s="186">
        <f t="shared" si="105"/>
        <v>0</v>
      </c>
      <c r="CH58" s="186">
        <f t="shared" si="105"/>
        <v>0</v>
      </c>
      <c r="CI58" s="186">
        <f t="shared" si="105"/>
        <v>0</v>
      </c>
      <c r="CJ58" s="186">
        <f t="shared" si="105"/>
        <v>0</v>
      </c>
      <c r="CK58" s="186">
        <f t="shared" si="105"/>
        <v>0</v>
      </c>
      <c r="CL58" s="186">
        <f t="shared" si="105"/>
        <v>0</v>
      </c>
      <c r="CM58" s="186">
        <f t="shared" si="105"/>
        <v>0</v>
      </c>
      <c r="CN58" s="186">
        <f t="shared" si="105"/>
        <v>0</v>
      </c>
      <c r="CO58" s="186">
        <f t="shared" si="105"/>
        <v>0</v>
      </c>
      <c r="CP58" s="186">
        <f t="shared" si="105"/>
        <v>0</v>
      </c>
      <c r="CQ58" s="186">
        <f t="shared" si="105"/>
        <v>0</v>
      </c>
      <c r="CR58" s="186">
        <f t="shared" si="105"/>
        <v>0</v>
      </c>
      <c r="CS58" s="186">
        <f t="shared" si="105"/>
        <v>0</v>
      </c>
      <c r="CT58" s="186">
        <f t="shared" si="105"/>
        <v>0</v>
      </c>
      <c r="CU58" s="186">
        <f t="shared" si="105"/>
        <v>0</v>
      </c>
      <c r="CV58" s="186">
        <f t="shared" si="105"/>
        <v>0</v>
      </c>
      <c r="CW58" s="186">
        <f t="shared" si="105"/>
        <v>0</v>
      </c>
      <c r="CX58" s="186">
        <f t="shared" si="105"/>
        <v>0</v>
      </c>
      <c r="CY58" s="186">
        <f t="shared" si="105"/>
        <v>0</v>
      </c>
      <c r="CZ58" s="186">
        <f t="shared" si="105"/>
        <v>0</v>
      </c>
      <c r="DA58" s="186">
        <f t="shared" si="105"/>
        <v>0</v>
      </c>
      <c r="DB58" s="186">
        <f t="shared" si="105"/>
        <v>0</v>
      </c>
      <c r="DC58" s="186">
        <f t="shared" si="105"/>
        <v>0</v>
      </c>
      <c r="DD58" s="186">
        <f t="shared" si="105"/>
        <v>0</v>
      </c>
      <c r="DE58" s="186">
        <f t="shared" si="105"/>
        <v>50000000</v>
      </c>
      <c r="DF58" s="186">
        <f t="shared" si="105"/>
        <v>209460000</v>
      </c>
      <c r="DG58" s="186">
        <f t="shared" si="105"/>
        <v>84333570</v>
      </c>
      <c r="DH58" s="186">
        <f t="shared" si="105"/>
        <v>84302820</v>
      </c>
      <c r="DI58" s="186">
        <f t="shared" si="105"/>
        <v>0</v>
      </c>
      <c r="DJ58" s="186">
        <f t="shared" si="105"/>
        <v>0</v>
      </c>
      <c r="DK58" s="186">
        <f t="shared" si="105"/>
        <v>0</v>
      </c>
      <c r="DL58" s="186">
        <f t="shared" si="105"/>
        <v>0</v>
      </c>
      <c r="DM58" s="186">
        <f t="shared" si="105"/>
        <v>0</v>
      </c>
      <c r="DN58" s="186">
        <f t="shared" si="105"/>
        <v>0</v>
      </c>
      <c r="DO58" s="186">
        <f t="shared" si="105"/>
        <v>153000000</v>
      </c>
      <c r="DP58" s="186">
        <f t="shared" si="105"/>
        <v>61086700</v>
      </c>
      <c r="DQ58" s="186">
        <f t="shared" si="105"/>
        <v>61086700</v>
      </c>
      <c r="DR58" s="186">
        <f t="shared" si="105"/>
        <v>0</v>
      </c>
      <c r="DS58" s="186">
        <f t="shared" si="105"/>
        <v>20000000</v>
      </c>
      <c r="DT58" s="186">
        <f t="shared" si="105"/>
        <v>140000000</v>
      </c>
      <c r="DU58" s="186">
        <f t="shared" si="105"/>
        <v>102412667</v>
      </c>
      <c r="DV58" s="186">
        <f t="shared" si="105"/>
        <v>102412667</v>
      </c>
      <c r="DW58" s="186">
        <f t="shared" si="105"/>
        <v>0</v>
      </c>
      <c r="DX58" s="186">
        <f t="shared" si="105"/>
        <v>0</v>
      </c>
      <c r="DY58" s="186">
        <f t="shared" ref="DY58:EW58" si="106">SUM(DY59:DY63)</f>
        <v>0</v>
      </c>
      <c r="DZ58" s="186">
        <f t="shared" si="106"/>
        <v>0</v>
      </c>
      <c r="EA58" s="186">
        <f t="shared" si="106"/>
        <v>0</v>
      </c>
      <c r="EB58" s="186">
        <f t="shared" si="106"/>
        <v>0</v>
      </c>
      <c r="EC58" s="186">
        <f t="shared" si="106"/>
        <v>0</v>
      </c>
      <c r="ED58" s="186">
        <f t="shared" si="106"/>
        <v>0</v>
      </c>
      <c r="EE58" s="186">
        <f t="shared" si="106"/>
        <v>0</v>
      </c>
      <c r="EF58" s="186">
        <f t="shared" si="106"/>
        <v>0</v>
      </c>
      <c r="EG58" s="186">
        <f t="shared" si="106"/>
        <v>0</v>
      </c>
      <c r="EH58" s="186">
        <f t="shared" si="106"/>
        <v>0</v>
      </c>
      <c r="EI58" s="186">
        <f t="shared" si="106"/>
        <v>0</v>
      </c>
      <c r="EJ58" s="186">
        <f t="shared" si="106"/>
        <v>0</v>
      </c>
      <c r="EK58" s="186">
        <f t="shared" si="106"/>
        <v>0</v>
      </c>
      <c r="EL58" s="186">
        <f t="shared" si="106"/>
        <v>0</v>
      </c>
      <c r="EM58" s="186">
        <f t="shared" si="106"/>
        <v>0</v>
      </c>
      <c r="EN58" s="186">
        <f t="shared" si="106"/>
        <v>0</v>
      </c>
      <c r="EO58" s="186">
        <f t="shared" si="106"/>
        <v>0</v>
      </c>
      <c r="EP58" s="186">
        <f t="shared" si="106"/>
        <v>0</v>
      </c>
      <c r="EQ58" s="186">
        <f t="shared" si="106"/>
        <v>0</v>
      </c>
      <c r="ER58" s="186">
        <f t="shared" si="106"/>
        <v>0</v>
      </c>
      <c r="ES58" s="186">
        <f t="shared" si="106"/>
        <v>0</v>
      </c>
      <c r="ET58" s="186">
        <f t="shared" si="106"/>
        <v>0</v>
      </c>
      <c r="EU58" s="186">
        <f t="shared" si="106"/>
        <v>0</v>
      </c>
      <c r="EV58" s="186">
        <f t="shared" si="106"/>
        <v>0</v>
      </c>
      <c r="EW58" s="186">
        <f t="shared" si="106"/>
        <v>20000000</v>
      </c>
      <c r="EX58" s="186">
        <f t="shared" ref="EX58:GZ58" si="107">SUM(EX59:EX63)</f>
        <v>293000000</v>
      </c>
      <c r="EY58" s="186">
        <f t="shared" si="107"/>
        <v>163499367</v>
      </c>
      <c r="EZ58" s="186">
        <f t="shared" si="107"/>
        <v>163499367</v>
      </c>
      <c r="FA58" s="186">
        <f t="shared" si="107"/>
        <v>0</v>
      </c>
      <c r="FB58" s="601">
        <f t="shared" si="107"/>
        <v>0</v>
      </c>
      <c r="FC58" s="186">
        <f t="shared" si="107"/>
        <v>0</v>
      </c>
      <c r="FD58" s="186">
        <f t="shared" si="107"/>
        <v>0</v>
      </c>
      <c r="FE58" s="186">
        <f t="shared" si="107"/>
        <v>0</v>
      </c>
      <c r="FF58" s="186">
        <f t="shared" si="107"/>
        <v>0</v>
      </c>
      <c r="FG58" s="186">
        <f t="shared" si="107"/>
        <v>0</v>
      </c>
      <c r="FH58" s="186">
        <f t="shared" si="107"/>
        <v>110000000</v>
      </c>
      <c r="FI58" s="186">
        <f t="shared" si="107"/>
        <v>50000000</v>
      </c>
      <c r="FJ58" s="186">
        <f t="shared" si="107"/>
        <v>15075000</v>
      </c>
      <c r="FK58" s="186">
        <f t="shared" si="107"/>
        <v>0</v>
      </c>
      <c r="FL58" s="186">
        <f t="shared" si="107"/>
        <v>10000000</v>
      </c>
      <c r="FM58" s="186">
        <f t="shared" si="107"/>
        <v>139050000</v>
      </c>
      <c r="FN58" s="186">
        <f t="shared" si="107"/>
        <v>70595000</v>
      </c>
      <c r="FO58" s="186">
        <f t="shared" si="107"/>
        <v>56566000</v>
      </c>
      <c r="FP58" s="186">
        <f t="shared" si="107"/>
        <v>0</v>
      </c>
      <c r="FQ58" s="186">
        <f t="shared" si="107"/>
        <v>0</v>
      </c>
      <c r="FR58" s="186">
        <f t="shared" si="107"/>
        <v>0</v>
      </c>
      <c r="FS58" s="186">
        <f t="shared" si="107"/>
        <v>0</v>
      </c>
      <c r="FT58" s="186">
        <f t="shared" si="107"/>
        <v>0</v>
      </c>
      <c r="FU58" s="186">
        <f t="shared" si="107"/>
        <v>0</v>
      </c>
      <c r="FV58" s="186">
        <f t="shared" si="107"/>
        <v>0</v>
      </c>
      <c r="FW58" s="186">
        <f t="shared" si="107"/>
        <v>0</v>
      </c>
      <c r="FX58" s="186">
        <f t="shared" si="107"/>
        <v>0</v>
      </c>
      <c r="FY58" s="186">
        <f t="shared" si="107"/>
        <v>0</v>
      </c>
      <c r="FZ58" s="186">
        <f t="shared" si="107"/>
        <v>0</v>
      </c>
      <c r="GA58" s="186">
        <f t="shared" si="107"/>
        <v>0</v>
      </c>
      <c r="GB58" s="186">
        <f t="shared" si="107"/>
        <v>0</v>
      </c>
      <c r="GC58" s="186">
        <f t="shared" si="107"/>
        <v>0</v>
      </c>
      <c r="GD58" s="186">
        <f t="shared" si="107"/>
        <v>0</v>
      </c>
      <c r="GE58" s="186">
        <f t="shared" si="107"/>
        <v>0</v>
      </c>
      <c r="GF58" s="186">
        <f t="shared" si="107"/>
        <v>0</v>
      </c>
      <c r="GG58" s="186">
        <f t="shared" si="107"/>
        <v>0</v>
      </c>
      <c r="GH58" s="186">
        <f t="shared" si="107"/>
        <v>0</v>
      </c>
      <c r="GI58" s="186">
        <f t="shared" si="107"/>
        <v>0</v>
      </c>
      <c r="GJ58" s="186">
        <f t="shared" si="107"/>
        <v>0</v>
      </c>
      <c r="GK58" s="186">
        <f t="shared" si="107"/>
        <v>0</v>
      </c>
      <c r="GL58" s="186">
        <f t="shared" si="107"/>
        <v>0</v>
      </c>
      <c r="GM58" s="186">
        <f t="shared" si="107"/>
        <v>0</v>
      </c>
      <c r="GN58" s="186">
        <f t="shared" si="107"/>
        <v>0</v>
      </c>
      <c r="GO58" s="186">
        <f t="shared" si="107"/>
        <v>0</v>
      </c>
      <c r="GP58" s="186">
        <f t="shared" si="107"/>
        <v>0</v>
      </c>
      <c r="GQ58" s="186">
        <f t="shared" si="107"/>
        <v>0</v>
      </c>
      <c r="GR58" s="186">
        <f t="shared" si="107"/>
        <v>0</v>
      </c>
      <c r="GS58" s="186">
        <f t="shared" si="107"/>
        <v>0</v>
      </c>
      <c r="GT58" s="186">
        <f t="shared" si="107"/>
        <v>0</v>
      </c>
      <c r="GU58" s="186">
        <f t="shared" si="107"/>
        <v>10000000</v>
      </c>
      <c r="GV58" s="186">
        <f t="shared" si="107"/>
        <v>249050000</v>
      </c>
      <c r="GW58" s="186">
        <f t="shared" si="107"/>
        <v>120595000</v>
      </c>
      <c r="GX58" s="186">
        <f t="shared" si="107"/>
        <v>71641000</v>
      </c>
      <c r="GY58" s="186">
        <f t="shared" si="107"/>
        <v>0</v>
      </c>
      <c r="GZ58" s="186">
        <f t="shared" si="107"/>
        <v>1380000000</v>
      </c>
    </row>
    <row r="59" spans="1:208" s="711" customFormat="1" ht="89.25" customHeight="1" x14ac:dyDescent="0.2">
      <c r="A59" s="703"/>
      <c r="B59" s="703"/>
      <c r="C59" s="995"/>
      <c r="D59" s="829" t="s">
        <v>120</v>
      </c>
      <c r="E59" s="897"/>
      <c r="F59" s="897"/>
      <c r="G59" s="684">
        <v>38</v>
      </c>
      <c r="H59" s="676" t="s">
        <v>174</v>
      </c>
      <c r="I59" s="676" t="s">
        <v>175</v>
      </c>
      <c r="J59" s="813" t="s">
        <v>125</v>
      </c>
      <c r="K59" s="813">
        <v>13</v>
      </c>
      <c r="L59" s="813" t="s">
        <v>58</v>
      </c>
      <c r="M59" s="682">
        <v>3</v>
      </c>
      <c r="N59" s="682">
        <v>4</v>
      </c>
      <c r="O59" s="682">
        <v>4</v>
      </c>
      <c r="P59" s="810">
        <v>3</v>
      </c>
      <c r="Q59" s="682">
        <v>4</v>
      </c>
      <c r="R59" s="814"/>
      <c r="S59" s="815">
        <v>4</v>
      </c>
      <c r="T59" s="682">
        <v>4</v>
      </c>
      <c r="U59" s="682"/>
      <c r="V59" s="810">
        <v>4</v>
      </c>
      <c r="W59" s="682">
        <v>4</v>
      </c>
      <c r="X59" s="682"/>
      <c r="Y59" s="808">
        <v>1</v>
      </c>
      <c r="Z59" s="809">
        <f>BM59/$BM$58</f>
        <v>5.7692307692307696E-3</v>
      </c>
      <c r="AA59" s="682">
        <v>12</v>
      </c>
      <c r="AB59" s="813" t="s">
        <v>74</v>
      </c>
      <c r="AC59" s="817"/>
      <c r="AD59" s="818"/>
      <c r="AE59" s="818"/>
      <c r="AF59" s="818"/>
      <c r="AG59" s="817"/>
      <c r="AH59" s="818"/>
      <c r="AI59" s="818"/>
      <c r="AJ59" s="818"/>
      <c r="AK59" s="830">
        <v>7500000</v>
      </c>
      <c r="AL59" s="831">
        <v>7500000</v>
      </c>
      <c r="AM59" s="831">
        <v>7500000</v>
      </c>
      <c r="AN59" s="831">
        <v>7500000</v>
      </c>
      <c r="AO59" s="830"/>
      <c r="AP59" s="831"/>
      <c r="AQ59" s="831"/>
      <c r="AR59" s="831"/>
      <c r="AS59" s="830"/>
      <c r="AT59" s="831"/>
      <c r="AU59" s="818"/>
      <c r="AV59" s="818"/>
      <c r="AW59" s="817"/>
      <c r="AX59" s="818"/>
      <c r="AY59" s="818"/>
      <c r="AZ59" s="818"/>
      <c r="BA59" s="817"/>
      <c r="BB59" s="818"/>
      <c r="BC59" s="818"/>
      <c r="BD59" s="818"/>
      <c r="BE59" s="817"/>
      <c r="BF59" s="818"/>
      <c r="BG59" s="818"/>
      <c r="BH59" s="818"/>
      <c r="BI59" s="817"/>
      <c r="BJ59" s="818"/>
      <c r="BK59" s="818"/>
      <c r="BL59" s="818"/>
      <c r="BM59" s="817">
        <f>+AC59+AG59+AK59+AO59+AS59+AW59+BA59+BE59+BI59</f>
        <v>7500000</v>
      </c>
      <c r="BN59" s="818">
        <f t="shared" ref="BN59:BP63" si="108">AD59+AH59+AL59+AP59+AT59+AX59+BB59+BF59+BJ59</f>
        <v>7500000</v>
      </c>
      <c r="BO59" s="818">
        <f t="shared" si="108"/>
        <v>7500000</v>
      </c>
      <c r="BP59" s="818">
        <f t="shared" si="108"/>
        <v>7500000</v>
      </c>
      <c r="BQ59" s="667"/>
      <c r="BR59" s="667"/>
      <c r="BS59" s="667"/>
      <c r="BT59" s="667"/>
      <c r="BU59" s="667"/>
      <c r="BV59" s="667">
        <v>9000000</v>
      </c>
      <c r="BW59" s="667"/>
      <c r="BX59" s="667"/>
      <c r="BY59" s="667"/>
      <c r="BZ59" s="667">
        <v>7500000</v>
      </c>
      <c r="CA59" s="667">
        <v>27500000</v>
      </c>
      <c r="CB59" s="667">
        <v>19467208</v>
      </c>
      <c r="CC59" s="667">
        <v>19436458</v>
      </c>
      <c r="CD59" s="667"/>
      <c r="CE59" s="667"/>
      <c r="CF59" s="667"/>
      <c r="CG59" s="667"/>
      <c r="CH59" s="667"/>
      <c r="CI59" s="667"/>
      <c r="CJ59" s="667"/>
      <c r="CK59" s="667"/>
      <c r="CL59" s="667"/>
      <c r="CM59" s="667"/>
      <c r="CN59" s="667"/>
      <c r="CO59" s="667"/>
      <c r="CP59" s="667"/>
      <c r="CQ59" s="667"/>
      <c r="CR59" s="667"/>
      <c r="CS59" s="667"/>
      <c r="CT59" s="667"/>
      <c r="CU59" s="667"/>
      <c r="CV59" s="667"/>
      <c r="CW59" s="667"/>
      <c r="CX59" s="667"/>
      <c r="CY59" s="667"/>
      <c r="CZ59" s="667"/>
      <c r="DA59" s="667"/>
      <c r="DB59" s="667"/>
      <c r="DC59" s="667"/>
      <c r="DD59" s="667"/>
      <c r="DE59" s="708">
        <f t="shared" si="66"/>
        <v>7500000</v>
      </c>
      <c r="DF59" s="708">
        <f t="shared" ref="DF59:DH63" si="109">BR59+BV59+CA59+CF59+CJ59+CN59+CR59+CW59+DB59</f>
        <v>36500000</v>
      </c>
      <c r="DG59" s="708">
        <f t="shared" si="109"/>
        <v>19467208</v>
      </c>
      <c r="DH59" s="708">
        <f t="shared" si="109"/>
        <v>19436458</v>
      </c>
      <c r="DI59" s="708"/>
      <c r="DJ59" s="706"/>
      <c r="DK59" s="706"/>
      <c r="DL59" s="706"/>
      <c r="DM59" s="706"/>
      <c r="DN59" s="706"/>
      <c r="DO59" s="706"/>
      <c r="DP59" s="706"/>
      <c r="DQ59" s="706"/>
      <c r="DR59" s="706"/>
      <c r="DS59" s="706">
        <v>3000000</v>
      </c>
      <c r="DT59" s="706">
        <v>20000000</v>
      </c>
      <c r="DU59" s="706">
        <v>16540000</v>
      </c>
      <c r="DV59" s="706">
        <v>16540000</v>
      </c>
      <c r="DW59" s="706"/>
      <c r="DX59" s="706"/>
      <c r="DY59" s="706"/>
      <c r="DZ59" s="706"/>
      <c r="EA59" s="706"/>
      <c r="EB59" s="706"/>
      <c r="EC59" s="706"/>
      <c r="ED59" s="706"/>
      <c r="EE59" s="706"/>
      <c r="EF59" s="706"/>
      <c r="EG59" s="706"/>
      <c r="EH59" s="706"/>
      <c r="EI59" s="706"/>
      <c r="EJ59" s="706"/>
      <c r="EK59" s="706"/>
      <c r="EL59" s="706"/>
      <c r="EM59" s="706"/>
      <c r="EN59" s="706"/>
      <c r="EO59" s="706"/>
      <c r="EP59" s="706"/>
      <c r="EQ59" s="706"/>
      <c r="ER59" s="706"/>
      <c r="ES59" s="706"/>
      <c r="ET59" s="667"/>
      <c r="EU59" s="667"/>
      <c r="EV59" s="667"/>
      <c r="EW59" s="708">
        <f t="shared" ref="EW59:EX63" si="110">DJ59+DN59+DS59+DX59+EB59+EF59+EJ59+EN59+ES59</f>
        <v>3000000</v>
      </c>
      <c r="EX59" s="819">
        <f t="shared" si="110"/>
        <v>20000000</v>
      </c>
      <c r="EY59" s="819">
        <f t="shared" ref="EY59:EZ63" si="111">DL59+DP59+DU59+DZ59+ED59+EH59+EL59+EP59+EU59</f>
        <v>16540000</v>
      </c>
      <c r="EZ59" s="819">
        <f t="shared" si="111"/>
        <v>16540000</v>
      </c>
      <c r="FA59" s="820"/>
      <c r="FB59" s="667"/>
      <c r="FC59" s="706"/>
      <c r="FD59" s="706"/>
      <c r="FE59" s="706"/>
      <c r="FF59" s="707"/>
      <c r="FG59" s="667"/>
      <c r="FH59" s="667">
        <v>60000000</v>
      </c>
      <c r="FI59" s="667"/>
      <c r="FJ59" s="667"/>
      <c r="FK59" s="667"/>
      <c r="FL59" s="667">
        <v>57692.307692307695</v>
      </c>
      <c r="FM59" s="667">
        <v>19850000</v>
      </c>
      <c r="FN59" s="667">
        <v>4850000</v>
      </c>
      <c r="FO59" s="667"/>
      <c r="FP59" s="667"/>
      <c r="FQ59" s="667"/>
      <c r="FR59" s="667"/>
      <c r="FS59" s="667"/>
      <c r="FT59" s="667"/>
      <c r="FU59" s="667"/>
      <c r="FV59" s="667"/>
      <c r="FW59" s="667"/>
      <c r="FX59" s="667"/>
      <c r="FY59" s="667"/>
      <c r="FZ59" s="667"/>
      <c r="GA59" s="667"/>
      <c r="GB59" s="667"/>
      <c r="GC59" s="667"/>
      <c r="GD59" s="667"/>
      <c r="GE59" s="667"/>
      <c r="GF59" s="667"/>
      <c r="GG59" s="667"/>
      <c r="GH59" s="667"/>
      <c r="GI59" s="667"/>
      <c r="GJ59" s="667"/>
      <c r="GK59" s="667"/>
      <c r="GL59" s="667"/>
      <c r="GM59" s="667"/>
      <c r="GN59" s="667"/>
      <c r="GO59" s="667"/>
      <c r="GP59" s="667"/>
      <c r="GQ59" s="667"/>
      <c r="GR59" s="667"/>
      <c r="GS59" s="667"/>
      <c r="GT59" s="667"/>
      <c r="GU59" s="708">
        <f>FB59+FG59+FL59+FQ59+FV59+GA59+GF59+GK59+GP59</f>
        <v>57692.307692307695</v>
      </c>
      <c r="GV59" s="708">
        <f t="shared" ref="GV59:GY63" si="112">GQ59+GL59+GG59+GB59+FW59+FR59+FM59+FH59+FC59</f>
        <v>79850000</v>
      </c>
      <c r="GW59" s="708">
        <f t="shared" si="112"/>
        <v>4850000</v>
      </c>
      <c r="GX59" s="708">
        <f t="shared" si="112"/>
        <v>0</v>
      </c>
      <c r="GY59" s="709">
        <f t="shared" si="112"/>
        <v>0</v>
      </c>
      <c r="GZ59" s="710">
        <f>BM59+DE59+EW59+GU59</f>
        <v>18057692.307692308</v>
      </c>
    </row>
    <row r="60" spans="1:208" s="711" customFormat="1" ht="67.5" customHeight="1" x14ac:dyDescent="0.2">
      <c r="A60" s="703"/>
      <c r="B60" s="703"/>
      <c r="C60" s="715">
        <v>5</v>
      </c>
      <c r="D60" s="832"/>
      <c r="E60" s="833" t="s">
        <v>121</v>
      </c>
      <c r="F60" s="833" t="s">
        <v>122</v>
      </c>
      <c r="G60" s="684">
        <v>39</v>
      </c>
      <c r="H60" s="676" t="s">
        <v>176</v>
      </c>
      <c r="I60" s="676" t="s">
        <v>177</v>
      </c>
      <c r="J60" s="813" t="s">
        <v>125</v>
      </c>
      <c r="K60" s="813">
        <v>13</v>
      </c>
      <c r="L60" s="813" t="s">
        <v>58</v>
      </c>
      <c r="M60" s="682">
        <v>0</v>
      </c>
      <c r="N60" s="682">
        <v>3</v>
      </c>
      <c r="O60" s="682">
        <v>3</v>
      </c>
      <c r="P60" s="810">
        <v>3</v>
      </c>
      <c r="Q60" s="682">
        <v>3</v>
      </c>
      <c r="R60" s="814"/>
      <c r="S60" s="815">
        <v>3</v>
      </c>
      <c r="T60" s="682">
        <v>3</v>
      </c>
      <c r="U60" s="682"/>
      <c r="V60" s="810">
        <v>3</v>
      </c>
      <c r="W60" s="682">
        <v>3</v>
      </c>
      <c r="X60" s="682"/>
      <c r="Y60" s="808">
        <v>2</v>
      </c>
      <c r="Z60" s="809">
        <f>BM60/$BM$58</f>
        <v>5.7692307692307696E-3</v>
      </c>
      <c r="AA60" s="682">
        <v>12</v>
      </c>
      <c r="AB60" s="813" t="s">
        <v>74</v>
      </c>
      <c r="AC60" s="817"/>
      <c r="AD60" s="818"/>
      <c r="AE60" s="818"/>
      <c r="AF60" s="818"/>
      <c r="AG60" s="817"/>
      <c r="AH60" s="818"/>
      <c r="AI60" s="818"/>
      <c r="AJ60" s="818"/>
      <c r="AK60" s="830">
        <v>7500000</v>
      </c>
      <c r="AL60" s="831">
        <v>7500000</v>
      </c>
      <c r="AM60" s="831">
        <v>7500000</v>
      </c>
      <c r="AN60" s="831">
        <v>7500000</v>
      </c>
      <c r="AO60" s="830"/>
      <c r="AP60" s="831"/>
      <c r="AQ60" s="831"/>
      <c r="AR60" s="831"/>
      <c r="AS60" s="830"/>
      <c r="AT60" s="831"/>
      <c r="AU60" s="818"/>
      <c r="AV60" s="818"/>
      <c r="AW60" s="817"/>
      <c r="AX60" s="818"/>
      <c r="AY60" s="818"/>
      <c r="AZ60" s="818"/>
      <c r="BA60" s="817"/>
      <c r="BB60" s="818"/>
      <c r="BC60" s="818"/>
      <c r="BD60" s="818"/>
      <c r="BE60" s="817"/>
      <c r="BF60" s="818"/>
      <c r="BG60" s="818"/>
      <c r="BH60" s="818"/>
      <c r="BI60" s="817"/>
      <c r="BJ60" s="818"/>
      <c r="BK60" s="818"/>
      <c r="BL60" s="818"/>
      <c r="BM60" s="817">
        <f>+AC60+AG60+AK60+AO60+AS60+AW60+BA60+BE60+BI60</f>
        <v>7500000</v>
      </c>
      <c r="BN60" s="818">
        <f t="shared" si="108"/>
        <v>7500000</v>
      </c>
      <c r="BO60" s="818">
        <f t="shared" si="108"/>
        <v>7500000</v>
      </c>
      <c r="BP60" s="818">
        <f t="shared" si="108"/>
        <v>7500000</v>
      </c>
      <c r="BQ60" s="667"/>
      <c r="BR60" s="667"/>
      <c r="BS60" s="667"/>
      <c r="BT60" s="667"/>
      <c r="BU60" s="667"/>
      <c r="BV60" s="667">
        <v>10160000</v>
      </c>
      <c r="BW60" s="667">
        <v>6600000</v>
      </c>
      <c r="BX60" s="667">
        <v>6600000</v>
      </c>
      <c r="BY60" s="667"/>
      <c r="BZ60" s="667">
        <v>7500000</v>
      </c>
      <c r="CA60" s="667">
        <v>27500000</v>
      </c>
      <c r="CB60" s="667">
        <v>22964000</v>
      </c>
      <c r="CC60" s="667">
        <v>22964000</v>
      </c>
      <c r="CD60" s="667"/>
      <c r="CE60" s="667"/>
      <c r="CF60" s="667"/>
      <c r="CG60" s="667"/>
      <c r="CH60" s="667"/>
      <c r="CI60" s="667"/>
      <c r="CJ60" s="667"/>
      <c r="CK60" s="667"/>
      <c r="CL60" s="667"/>
      <c r="CM60" s="667"/>
      <c r="CN60" s="667"/>
      <c r="CO60" s="667"/>
      <c r="CP60" s="667"/>
      <c r="CQ60" s="667"/>
      <c r="CR60" s="667"/>
      <c r="CS60" s="667"/>
      <c r="CT60" s="667"/>
      <c r="CU60" s="667"/>
      <c r="CV60" s="667"/>
      <c r="CW60" s="667"/>
      <c r="CX60" s="667"/>
      <c r="CY60" s="667"/>
      <c r="CZ60" s="667"/>
      <c r="DA60" s="667"/>
      <c r="DB60" s="667"/>
      <c r="DC60" s="667"/>
      <c r="DD60" s="667"/>
      <c r="DE60" s="708">
        <f t="shared" si="66"/>
        <v>7500000</v>
      </c>
      <c r="DF60" s="708">
        <f t="shared" si="109"/>
        <v>37660000</v>
      </c>
      <c r="DG60" s="708">
        <f t="shared" si="109"/>
        <v>29564000</v>
      </c>
      <c r="DH60" s="708">
        <f t="shared" si="109"/>
        <v>29564000</v>
      </c>
      <c r="DI60" s="708"/>
      <c r="DJ60" s="706"/>
      <c r="DK60" s="706"/>
      <c r="DL60" s="706"/>
      <c r="DM60" s="706"/>
      <c r="DN60" s="706"/>
      <c r="DO60" s="706">
        <v>50000000</v>
      </c>
      <c r="DP60" s="706">
        <v>50000000</v>
      </c>
      <c r="DQ60" s="706">
        <v>50000000</v>
      </c>
      <c r="DR60" s="706"/>
      <c r="DS60" s="706">
        <v>3000000</v>
      </c>
      <c r="DT60" s="706">
        <v>40000000</v>
      </c>
      <c r="DU60" s="706">
        <v>36056667</v>
      </c>
      <c r="DV60" s="706">
        <v>36056667</v>
      </c>
      <c r="DW60" s="706"/>
      <c r="DX60" s="706"/>
      <c r="DY60" s="706"/>
      <c r="DZ60" s="706"/>
      <c r="EA60" s="706"/>
      <c r="EB60" s="706"/>
      <c r="EC60" s="706"/>
      <c r="ED60" s="706"/>
      <c r="EE60" s="706"/>
      <c r="EF60" s="706"/>
      <c r="EG60" s="706"/>
      <c r="EH60" s="706"/>
      <c r="EI60" s="706"/>
      <c r="EJ60" s="706"/>
      <c r="EK60" s="706"/>
      <c r="EL60" s="706"/>
      <c r="EM60" s="706"/>
      <c r="EN60" s="706"/>
      <c r="EO60" s="706"/>
      <c r="EP60" s="706"/>
      <c r="EQ60" s="706"/>
      <c r="ER60" s="706"/>
      <c r="ES60" s="706"/>
      <c r="ET60" s="667"/>
      <c r="EU60" s="667"/>
      <c r="EV60" s="667"/>
      <c r="EW60" s="708">
        <f t="shared" si="110"/>
        <v>3000000</v>
      </c>
      <c r="EX60" s="819">
        <f t="shared" si="110"/>
        <v>90000000</v>
      </c>
      <c r="EY60" s="819">
        <f t="shared" si="111"/>
        <v>86056667</v>
      </c>
      <c r="EZ60" s="819">
        <f t="shared" si="111"/>
        <v>86056667</v>
      </c>
      <c r="FA60" s="820"/>
      <c r="FB60" s="667"/>
      <c r="FC60" s="706"/>
      <c r="FD60" s="706"/>
      <c r="FE60" s="706"/>
      <c r="FF60" s="707"/>
      <c r="FG60" s="667"/>
      <c r="FH60" s="667"/>
      <c r="FI60" s="667"/>
      <c r="FJ60" s="667"/>
      <c r="FK60" s="667"/>
      <c r="FL60" s="667">
        <v>57692.307692307695</v>
      </c>
      <c r="FM60" s="667">
        <v>39750000</v>
      </c>
      <c r="FN60" s="667">
        <v>13990000</v>
      </c>
      <c r="FO60" s="667">
        <v>8394000</v>
      </c>
      <c r="FP60" s="667"/>
      <c r="FQ60" s="667"/>
      <c r="FR60" s="667"/>
      <c r="FS60" s="667"/>
      <c r="FT60" s="667"/>
      <c r="FU60" s="667"/>
      <c r="FV60" s="667"/>
      <c r="FW60" s="667"/>
      <c r="FX60" s="667"/>
      <c r="FY60" s="667"/>
      <c r="FZ60" s="667"/>
      <c r="GA60" s="667"/>
      <c r="GB60" s="667"/>
      <c r="GC60" s="667"/>
      <c r="GD60" s="667"/>
      <c r="GE60" s="667"/>
      <c r="GF60" s="667"/>
      <c r="GG60" s="667"/>
      <c r="GH60" s="667"/>
      <c r="GI60" s="667"/>
      <c r="GJ60" s="667"/>
      <c r="GK60" s="667"/>
      <c r="GL60" s="667"/>
      <c r="GM60" s="667"/>
      <c r="GN60" s="667"/>
      <c r="GO60" s="667"/>
      <c r="GP60" s="667"/>
      <c r="GQ60" s="667"/>
      <c r="GR60" s="667"/>
      <c r="GS60" s="667"/>
      <c r="GT60" s="667"/>
      <c r="GU60" s="708">
        <f>FB60+FG60+FL60+FQ60+FV60+GA60+GF60+GK60+GP60</f>
        <v>57692.307692307695</v>
      </c>
      <c r="GV60" s="708">
        <f t="shared" si="112"/>
        <v>39750000</v>
      </c>
      <c r="GW60" s="708">
        <f t="shared" si="112"/>
        <v>13990000</v>
      </c>
      <c r="GX60" s="708">
        <f t="shared" si="112"/>
        <v>8394000</v>
      </c>
      <c r="GY60" s="709">
        <f t="shared" si="112"/>
        <v>0</v>
      </c>
      <c r="GZ60" s="710">
        <f>BM60+DE60+EW60+GU60</f>
        <v>18057692.307692308</v>
      </c>
    </row>
    <row r="61" spans="1:208" s="711" customFormat="1" ht="96" customHeight="1" x14ac:dyDescent="0.2">
      <c r="A61" s="703"/>
      <c r="B61" s="703"/>
      <c r="C61" s="621">
        <v>6</v>
      </c>
      <c r="D61" s="676" t="s">
        <v>162</v>
      </c>
      <c r="E61" s="682" t="s">
        <v>127</v>
      </c>
      <c r="F61" s="682" t="s">
        <v>128</v>
      </c>
      <c r="G61" s="684">
        <v>40</v>
      </c>
      <c r="H61" s="676" t="s">
        <v>178</v>
      </c>
      <c r="I61" s="676" t="s">
        <v>179</v>
      </c>
      <c r="J61" s="813" t="s">
        <v>125</v>
      </c>
      <c r="K61" s="813">
        <v>13</v>
      </c>
      <c r="L61" s="813" t="s">
        <v>73</v>
      </c>
      <c r="M61" s="682">
        <v>0</v>
      </c>
      <c r="N61" s="682">
        <v>1</v>
      </c>
      <c r="O61" s="834">
        <v>0.05</v>
      </c>
      <c r="P61" s="810">
        <v>0</v>
      </c>
      <c r="Q61" s="682">
        <v>0.35</v>
      </c>
      <c r="R61" s="814"/>
      <c r="S61" s="835">
        <v>0.04</v>
      </c>
      <c r="T61" s="682">
        <v>0.4</v>
      </c>
      <c r="U61" s="682"/>
      <c r="V61" s="810">
        <v>0.04</v>
      </c>
      <c r="W61" s="682">
        <v>0.2</v>
      </c>
      <c r="X61" s="682">
        <f>0.25+0.31</f>
        <v>0.56000000000000005</v>
      </c>
      <c r="Y61" s="808">
        <v>0.28000000000000003</v>
      </c>
      <c r="Z61" s="809">
        <f>BM61/$BM$58</f>
        <v>1.5384615384615385E-2</v>
      </c>
      <c r="AA61" s="682">
        <v>9</v>
      </c>
      <c r="AB61" s="682" t="s">
        <v>180</v>
      </c>
      <c r="AC61" s="818"/>
      <c r="AD61" s="818"/>
      <c r="AE61" s="818"/>
      <c r="AF61" s="818"/>
      <c r="AG61" s="817"/>
      <c r="AH61" s="818"/>
      <c r="AI61" s="818"/>
      <c r="AJ61" s="818"/>
      <c r="AK61" s="830">
        <v>20000000</v>
      </c>
      <c r="AL61" s="831">
        <v>20000000</v>
      </c>
      <c r="AM61" s="831">
        <v>0</v>
      </c>
      <c r="AN61" s="831">
        <v>0</v>
      </c>
      <c r="AO61" s="830"/>
      <c r="AP61" s="831"/>
      <c r="AQ61" s="831"/>
      <c r="AR61" s="831"/>
      <c r="AS61" s="830"/>
      <c r="AT61" s="831"/>
      <c r="AU61" s="818"/>
      <c r="AV61" s="818"/>
      <c r="AW61" s="817"/>
      <c r="AX61" s="818"/>
      <c r="AY61" s="818"/>
      <c r="AZ61" s="818"/>
      <c r="BA61" s="817"/>
      <c r="BB61" s="818"/>
      <c r="BC61" s="818"/>
      <c r="BD61" s="818"/>
      <c r="BE61" s="817"/>
      <c r="BF61" s="818"/>
      <c r="BG61" s="818"/>
      <c r="BH61" s="818"/>
      <c r="BI61" s="817"/>
      <c r="BJ61" s="818"/>
      <c r="BK61" s="818"/>
      <c r="BL61" s="818"/>
      <c r="BM61" s="817">
        <f>+AC61+AG61+AK61+AO61+AS61+AW61+BA61+BE61+BI61</f>
        <v>20000000</v>
      </c>
      <c r="BN61" s="818">
        <f t="shared" si="108"/>
        <v>20000000</v>
      </c>
      <c r="BO61" s="818">
        <f t="shared" si="108"/>
        <v>0</v>
      </c>
      <c r="BP61" s="818">
        <f t="shared" si="108"/>
        <v>0</v>
      </c>
      <c r="BQ61" s="667"/>
      <c r="BR61" s="667"/>
      <c r="BS61" s="667"/>
      <c r="BT61" s="667"/>
      <c r="BU61" s="667"/>
      <c r="BV61" s="667"/>
      <c r="BW61" s="667"/>
      <c r="BX61" s="667"/>
      <c r="BY61" s="667"/>
      <c r="BZ61" s="667">
        <v>20000000</v>
      </c>
      <c r="CA61" s="836">
        <v>38000000</v>
      </c>
      <c r="CB61" s="667">
        <v>5000000</v>
      </c>
      <c r="CC61" s="667">
        <v>5000000</v>
      </c>
      <c r="CD61" s="667"/>
      <c r="CE61" s="667"/>
      <c r="CF61" s="667"/>
      <c r="CG61" s="667"/>
      <c r="CH61" s="667"/>
      <c r="CI61" s="667"/>
      <c r="CJ61" s="667"/>
      <c r="CK61" s="667"/>
      <c r="CL61" s="667"/>
      <c r="CM61" s="667"/>
      <c r="CN61" s="667"/>
      <c r="CO61" s="667"/>
      <c r="CP61" s="667"/>
      <c r="CQ61" s="667"/>
      <c r="CR61" s="667"/>
      <c r="CS61" s="667"/>
      <c r="CT61" s="667"/>
      <c r="CU61" s="667"/>
      <c r="CV61" s="667"/>
      <c r="CW61" s="667"/>
      <c r="CX61" s="667"/>
      <c r="CY61" s="667"/>
      <c r="CZ61" s="667"/>
      <c r="DA61" s="667"/>
      <c r="DB61" s="667"/>
      <c r="DC61" s="667"/>
      <c r="DD61" s="667"/>
      <c r="DE61" s="708">
        <f t="shared" si="66"/>
        <v>20000000</v>
      </c>
      <c r="DF61" s="708">
        <f t="shared" si="109"/>
        <v>38000000</v>
      </c>
      <c r="DG61" s="708">
        <f t="shared" si="109"/>
        <v>5000000</v>
      </c>
      <c r="DH61" s="708">
        <f t="shared" si="109"/>
        <v>5000000</v>
      </c>
      <c r="DI61" s="708"/>
      <c r="DJ61" s="706"/>
      <c r="DK61" s="706"/>
      <c r="DL61" s="706"/>
      <c r="DM61" s="706"/>
      <c r="DN61" s="706"/>
      <c r="DO61" s="706">
        <v>33000000</v>
      </c>
      <c r="DP61" s="706">
        <v>3200000</v>
      </c>
      <c r="DQ61" s="706">
        <v>3200000</v>
      </c>
      <c r="DR61" s="706"/>
      <c r="DS61" s="706">
        <v>8000000</v>
      </c>
      <c r="DT61" s="837">
        <v>20000000</v>
      </c>
      <c r="DU61" s="706"/>
      <c r="DV61" s="706"/>
      <c r="DW61" s="706"/>
      <c r="DX61" s="706"/>
      <c r="DY61" s="706"/>
      <c r="DZ61" s="706"/>
      <c r="EA61" s="706"/>
      <c r="EB61" s="706"/>
      <c r="EC61" s="706"/>
      <c r="ED61" s="706"/>
      <c r="EE61" s="706"/>
      <c r="EF61" s="706"/>
      <c r="EG61" s="706"/>
      <c r="EH61" s="706"/>
      <c r="EI61" s="706"/>
      <c r="EJ61" s="706"/>
      <c r="EK61" s="706"/>
      <c r="EL61" s="706"/>
      <c r="EM61" s="706"/>
      <c r="EN61" s="706"/>
      <c r="EO61" s="706"/>
      <c r="EP61" s="706"/>
      <c r="EQ61" s="706"/>
      <c r="ER61" s="706"/>
      <c r="ES61" s="706"/>
      <c r="ET61" s="667"/>
      <c r="EU61" s="667"/>
      <c r="EV61" s="667"/>
      <c r="EW61" s="708">
        <f t="shared" si="110"/>
        <v>8000000</v>
      </c>
      <c r="EX61" s="819">
        <f t="shared" si="110"/>
        <v>53000000</v>
      </c>
      <c r="EY61" s="819">
        <f t="shared" si="111"/>
        <v>3200000</v>
      </c>
      <c r="EZ61" s="819">
        <f t="shared" si="111"/>
        <v>3200000</v>
      </c>
      <c r="FA61" s="820"/>
      <c r="FB61" s="667"/>
      <c r="FC61" s="706"/>
      <c r="FD61" s="706"/>
      <c r="FE61" s="706"/>
      <c r="FF61" s="707"/>
      <c r="FG61" s="667"/>
      <c r="FH61" s="667">
        <v>50000000</v>
      </c>
      <c r="FI61" s="667">
        <v>50000000</v>
      </c>
      <c r="FJ61" s="667">
        <v>15075000</v>
      </c>
      <c r="FK61" s="667"/>
      <c r="FL61" s="667">
        <v>153846.15384615384</v>
      </c>
      <c r="FM61" s="667">
        <v>19850000</v>
      </c>
      <c r="FN61" s="667">
        <v>19850000</v>
      </c>
      <c r="FO61" s="667">
        <v>19850000</v>
      </c>
      <c r="FP61" s="667"/>
      <c r="FQ61" s="667"/>
      <c r="FR61" s="667"/>
      <c r="FS61" s="667"/>
      <c r="FT61" s="667"/>
      <c r="FU61" s="667"/>
      <c r="FV61" s="667"/>
      <c r="FW61" s="667"/>
      <c r="FX61" s="667"/>
      <c r="FY61" s="667"/>
      <c r="FZ61" s="667"/>
      <c r="GA61" s="667"/>
      <c r="GB61" s="667"/>
      <c r="GC61" s="667"/>
      <c r="GD61" s="667"/>
      <c r="GE61" s="667"/>
      <c r="GF61" s="667"/>
      <c r="GG61" s="667"/>
      <c r="GH61" s="667"/>
      <c r="GI61" s="667"/>
      <c r="GJ61" s="667"/>
      <c r="GK61" s="667"/>
      <c r="GL61" s="667"/>
      <c r="GM61" s="667"/>
      <c r="GN61" s="667"/>
      <c r="GO61" s="667"/>
      <c r="GP61" s="667"/>
      <c r="GQ61" s="667"/>
      <c r="GR61" s="667"/>
      <c r="GS61" s="667"/>
      <c r="GT61" s="667"/>
      <c r="GU61" s="708">
        <f>FB61+FG61+FL61+FQ61+FV61+GA61+GF61+GK61+GP61</f>
        <v>153846.15384615384</v>
      </c>
      <c r="GV61" s="708">
        <f t="shared" si="112"/>
        <v>69850000</v>
      </c>
      <c r="GW61" s="708">
        <f t="shared" si="112"/>
        <v>69850000</v>
      </c>
      <c r="GX61" s="708">
        <f t="shared" si="112"/>
        <v>34925000</v>
      </c>
      <c r="GY61" s="709">
        <f t="shared" si="112"/>
        <v>0</v>
      </c>
      <c r="GZ61" s="710">
        <f>BM61+DE61+EW61+GU61</f>
        <v>48153846.153846152</v>
      </c>
    </row>
    <row r="62" spans="1:208" ht="67.5" customHeight="1" x14ac:dyDescent="0.2">
      <c r="A62" s="326"/>
      <c r="B62" s="326"/>
      <c r="C62" s="279">
        <v>7</v>
      </c>
      <c r="D62" s="301" t="s">
        <v>150</v>
      </c>
      <c r="E62" s="360">
        <v>0.317</v>
      </c>
      <c r="F62" s="353">
        <v>0.27</v>
      </c>
      <c r="G62" s="260">
        <v>41</v>
      </c>
      <c r="H62" s="261" t="s">
        <v>181</v>
      </c>
      <c r="I62" s="258" t="s">
        <v>182</v>
      </c>
      <c r="J62" s="262" t="s">
        <v>125</v>
      </c>
      <c r="K62" s="262">
        <v>13</v>
      </c>
      <c r="L62" s="263" t="s">
        <v>58</v>
      </c>
      <c r="M62" s="264">
        <v>0</v>
      </c>
      <c r="N62" s="264">
        <v>1</v>
      </c>
      <c r="O62" s="265">
        <v>1</v>
      </c>
      <c r="P62" s="266">
        <v>1</v>
      </c>
      <c r="Q62" s="264">
        <v>1</v>
      </c>
      <c r="R62" s="268"/>
      <c r="S62" s="330">
        <v>0.85</v>
      </c>
      <c r="T62" s="264">
        <v>1</v>
      </c>
      <c r="U62" s="264"/>
      <c r="V62" s="270">
        <v>1</v>
      </c>
      <c r="W62" s="264">
        <v>1</v>
      </c>
      <c r="X62" s="264"/>
      <c r="Y62" s="653">
        <v>0.66</v>
      </c>
      <c r="Z62" s="315">
        <f>BM62/$BM$58</f>
        <v>5.7692307692307696E-3</v>
      </c>
      <c r="AA62" s="264">
        <v>9</v>
      </c>
      <c r="AB62" s="274" t="s">
        <v>180</v>
      </c>
      <c r="AC62" s="54"/>
      <c r="AD62" s="54"/>
      <c r="AE62" s="54"/>
      <c r="AF62" s="54"/>
      <c r="AG62" s="53"/>
      <c r="AH62" s="54"/>
      <c r="AI62" s="54"/>
      <c r="AJ62" s="54"/>
      <c r="AK62" s="57">
        <v>7500000</v>
      </c>
      <c r="AL62" s="55">
        <v>7500000</v>
      </c>
      <c r="AM62" s="58">
        <v>7500000</v>
      </c>
      <c r="AN62" s="58">
        <v>0</v>
      </c>
      <c r="AO62" s="57"/>
      <c r="AP62" s="58"/>
      <c r="AQ62" s="58"/>
      <c r="AR62" s="58"/>
      <c r="AS62" s="57"/>
      <c r="AT62" s="58"/>
      <c r="AU62" s="59"/>
      <c r="AV62" s="54"/>
      <c r="AW62" s="53"/>
      <c r="AX62" s="54"/>
      <c r="AY62" s="54"/>
      <c r="AZ62" s="54"/>
      <c r="BA62" s="53"/>
      <c r="BB62" s="54"/>
      <c r="BC62" s="54"/>
      <c r="BD62" s="54"/>
      <c r="BE62" s="53"/>
      <c r="BF62" s="54"/>
      <c r="BG62" s="54"/>
      <c r="BH62" s="54"/>
      <c r="BI62" s="53"/>
      <c r="BJ62" s="54"/>
      <c r="BK62" s="54"/>
      <c r="BL62" s="54"/>
      <c r="BM62" s="53">
        <f>+AC62+AG62+AK62+AO62+AS62+AW62+BA62+BE62+BI62</f>
        <v>7500000</v>
      </c>
      <c r="BN62" s="54">
        <f t="shared" si="108"/>
        <v>7500000</v>
      </c>
      <c r="BO62" s="54">
        <f t="shared" si="108"/>
        <v>7500000</v>
      </c>
      <c r="BP62" s="54">
        <f t="shared" si="108"/>
        <v>0</v>
      </c>
      <c r="BQ62" s="83"/>
      <c r="BR62" s="83"/>
      <c r="BS62" s="83"/>
      <c r="BT62" s="83"/>
      <c r="BU62" s="83"/>
      <c r="BV62" s="83">
        <v>10000000</v>
      </c>
      <c r="BW62" s="83">
        <v>10000000</v>
      </c>
      <c r="BX62" s="83">
        <v>10000000</v>
      </c>
      <c r="BY62" s="83"/>
      <c r="BZ62" s="83">
        <v>7500000</v>
      </c>
      <c r="CA62" s="83">
        <v>1880000</v>
      </c>
      <c r="CB62" s="83">
        <v>1880000</v>
      </c>
      <c r="CC62" s="83">
        <v>1880000</v>
      </c>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1">
        <f t="shared" si="66"/>
        <v>7500000</v>
      </c>
      <c r="DF62" s="95">
        <f t="shared" si="109"/>
        <v>11880000</v>
      </c>
      <c r="DG62" s="95">
        <f t="shared" si="109"/>
        <v>11880000</v>
      </c>
      <c r="DH62" s="95">
        <f t="shared" si="109"/>
        <v>11880000</v>
      </c>
      <c r="DI62" s="95"/>
      <c r="DJ62" s="84"/>
      <c r="DK62" s="65"/>
      <c r="DL62" s="84"/>
      <c r="DM62" s="84"/>
      <c r="DN62" s="84"/>
      <c r="DO62" s="84"/>
      <c r="DP62" s="84"/>
      <c r="DQ62" s="84"/>
      <c r="DR62" s="84"/>
      <c r="DS62" s="84">
        <v>3000000</v>
      </c>
      <c r="DT62" s="84">
        <v>25000000</v>
      </c>
      <c r="DU62" s="84">
        <v>25000000</v>
      </c>
      <c r="DV62" s="84">
        <v>25000000</v>
      </c>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3"/>
      <c r="EU62" s="83"/>
      <c r="EV62" s="83"/>
      <c r="EW62" s="81">
        <f t="shared" si="110"/>
        <v>3000000</v>
      </c>
      <c r="EX62" s="86">
        <f t="shared" si="110"/>
        <v>25000000</v>
      </c>
      <c r="EY62" s="86">
        <f t="shared" si="111"/>
        <v>25000000</v>
      </c>
      <c r="EZ62" s="86">
        <f t="shared" si="111"/>
        <v>25000000</v>
      </c>
      <c r="FA62" s="176"/>
      <c r="FB62" s="83"/>
      <c r="FC62" s="84"/>
      <c r="FD62" s="84"/>
      <c r="FE62" s="84"/>
      <c r="FF62" s="140"/>
      <c r="FG62" s="83"/>
      <c r="FH62" s="83"/>
      <c r="FI62" s="83"/>
      <c r="FJ62" s="83"/>
      <c r="FK62" s="83"/>
      <c r="FL62" s="83">
        <v>57692.307692307695</v>
      </c>
      <c r="FM62" s="83">
        <v>24850000</v>
      </c>
      <c r="FN62" s="83">
        <v>13990000</v>
      </c>
      <c r="FO62" s="83">
        <v>13990000</v>
      </c>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1">
        <f>FB62+FG62+FL62+FQ62+FV62+GA62+GF62+GK62+GP62</f>
        <v>57692.307692307695</v>
      </c>
      <c r="GV62" s="81">
        <f t="shared" si="112"/>
        <v>24850000</v>
      </c>
      <c r="GW62" s="81">
        <f t="shared" si="112"/>
        <v>13990000</v>
      </c>
      <c r="GX62" s="81">
        <f t="shared" si="112"/>
        <v>13990000</v>
      </c>
      <c r="GY62" s="673">
        <f t="shared" si="112"/>
        <v>0</v>
      </c>
      <c r="GZ62" s="67">
        <f>BM62+DE62+EW62+GU62</f>
        <v>18057692.307692308</v>
      </c>
    </row>
    <row r="63" spans="1:208" ht="48.75" customHeight="1" x14ac:dyDescent="0.2">
      <c r="A63" s="326"/>
      <c r="B63" s="326"/>
      <c r="C63" s="277"/>
      <c r="D63" s="303"/>
      <c r="E63" s="361"/>
      <c r="F63" s="362"/>
      <c r="G63" s="260">
        <v>42</v>
      </c>
      <c r="H63" s="261" t="s">
        <v>183</v>
      </c>
      <c r="I63" s="258" t="s">
        <v>184</v>
      </c>
      <c r="J63" s="262" t="s">
        <v>125</v>
      </c>
      <c r="K63" s="262">
        <v>13</v>
      </c>
      <c r="L63" s="263" t="s">
        <v>58</v>
      </c>
      <c r="M63" s="264">
        <v>1</v>
      </c>
      <c r="N63" s="264">
        <v>1</v>
      </c>
      <c r="O63" s="265">
        <v>1</v>
      </c>
      <c r="P63" s="266">
        <v>1</v>
      </c>
      <c r="Q63" s="264">
        <v>1</v>
      </c>
      <c r="R63" s="268"/>
      <c r="S63" s="282">
        <v>0.5</v>
      </c>
      <c r="T63" s="264">
        <v>1</v>
      </c>
      <c r="U63" s="264"/>
      <c r="V63" s="270">
        <v>1</v>
      </c>
      <c r="W63" s="264">
        <v>1</v>
      </c>
      <c r="X63" s="264"/>
      <c r="Y63" s="653">
        <v>0.66</v>
      </c>
      <c r="Z63" s="315">
        <f>BM63/$BM$58</f>
        <v>0.96730769230769231</v>
      </c>
      <c r="AA63" s="264">
        <v>9</v>
      </c>
      <c r="AB63" s="274" t="s">
        <v>180</v>
      </c>
      <c r="AC63" s="54"/>
      <c r="AD63" s="54"/>
      <c r="AE63" s="54"/>
      <c r="AF63" s="54"/>
      <c r="AG63" s="53"/>
      <c r="AH63" s="54"/>
      <c r="AI63" s="54"/>
      <c r="AJ63" s="54"/>
      <c r="AK63" s="53">
        <v>7500000</v>
      </c>
      <c r="AL63" s="55">
        <v>7500000</v>
      </c>
      <c r="AM63" s="54">
        <v>5250000</v>
      </c>
      <c r="AN63" s="54">
        <v>5250000</v>
      </c>
      <c r="AO63" s="53"/>
      <c r="AP63" s="54"/>
      <c r="AQ63" s="54"/>
      <c r="AR63" s="54"/>
      <c r="AS63" s="53"/>
      <c r="AT63" s="54"/>
      <c r="AU63" s="54"/>
      <c r="AV63" s="54"/>
      <c r="AW63" s="53"/>
      <c r="AX63" s="54"/>
      <c r="AY63" s="54"/>
      <c r="AZ63" s="54"/>
      <c r="BA63" s="53"/>
      <c r="BB63" s="54"/>
      <c r="BC63" s="54"/>
      <c r="BD63" s="54"/>
      <c r="BE63" s="53"/>
      <c r="BF63" s="54"/>
      <c r="BG63" s="54"/>
      <c r="BH63" s="54"/>
      <c r="BI63" s="53">
        <v>1250000000</v>
      </c>
      <c r="BJ63" s="54"/>
      <c r="BK63" s="54"/>
      <c r="BL63" s="54"/>
      <c r="BM63" s="53">
        <f>+AC63+AG63+AK63+AO63+AS63+AW63+BA63+BE63+BI63</f>
        <v>1257500000</v>
      </c>
      <c r="BN63" s="54">
        <f t="shared" si="108"/>
        <v>7500000</v>
      </c>
      <c r="BO63" s="54">
        <f t="shared" si="108"/>
        <v>5250000</v>
      </c>
      <c r="BP63" s="54">
        <f t="shared" si="108"/>
        <v>5250000</v>
      </c>
      <c r="BQ63" s="83"/>
      <c r="BR63" s="83"/>
      <c r="BS63" s="83"/>
      <c r="BT63" s="83"/>
      <c r="BU63" s="83"/>
      <c r="BV63" s="363">
        <v>48300000</v>
      </c>
      <c r="BW63" s="83">
        <v>15840000</v>
      </c>
      <c r="BX63" s="364">
        <f>15840000</f>
        <v>15840000</v>
      </c>
      <c r="BY63" s="365"/>
      <c r="BZ63" s="83">
        <v>7500000</v>
      </c>
      <c r="CA63" s="83">
        <v>37120000</v>
      </c>
      <c r="CB63" s="83">
        <v>2582362</v>
      </c>
      <c r="CC63" s="83">
        <v>2582362</v>
      </c>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1">
        <f t="shared" si="66"/>
        <v>7500000</v>
      </c>
      <c r="DF63" s="95">
        <f t="shared" si="109"/>
        <v>85420000</v>
      </c>
      <c r="DG63" s="95">
        <f t="shared" si="109"/>
        <v>18422362</v>
      </c>
      <c r="DH63" s="95">
        <f t="shared" si="109"/>
        <v>18422362</v>
      </c>
      <c r="DI63" s="95"/>
      <c r="DJ63" s="84"/>
      <c r="DK63" s="65"/>
      <c r="DL63" s="84"/>
      <c r="DM63" s="84"/>
      <c r="DN63" s="84"/>
      <c r="DO63" s="84">
        <v>70000000</v>
      </c>
      <c r="DP63" s="84">
        <v>7886700</v>
      </c>
      <c r="DQ63" s="84">
        <v>7886700</v>
      </c>
      <c r="DR63" s="84"/>
      <c r="DS63" s="84">
        <v>3000000</v>
      </c>
      <c r="DT63" s="84">
        <v>35000000</v>
      </c>
      <c r="DU63" s="84">
        <v>24816000</v>
      </c>
      <c r="DV63" s="84">
        <v>24816000</v>
      </c>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3"/>
      <c r="EU63" s="83"/>
      <c r="EV63" s="83"/>
      <c r="EW63" s="81">
        <f t="shared" si="110"/>
        <v>3000000</v>
      </c>
      <c r="EX63" s="86">
        <f t="shared" si="110"/>
        <v>105000000</v>
      </c>
      <c r="EY63" s="86">
        <f t="shared" si="111"/>
        <v>32702700</v>
      </c>
      <c r="EZ63" s="86">
        <f t="shared" si="111"/>
        <v>32702700</v>
      </c>
      <c r="FA63" s="176"/>
      <c r="FB63" s="83"/>
      <c r="FC63" s="84"/>
      <c r="FD63" s="84"/>
      <c r="FE63" s="84"/>
      <c r="FF63" s="140"/>
      <c r="FG63" s="83"/>
      <c r="FH63" s="83"/>
      <c r="FI63" s="83"/>
      <c r="FJ63" s="83"/>
      <c r="FK63" s="83"/>
      <c r="FL63" s="83">
        <v>9673076.9230769239</v>
      </c>
      <c r="FM63" s="83">
        <v>34750000</v>
      </c>
      <c r="FN63" s="83">
        <v>17915000</v>
      </c>
      <c r="FO63" s="83">
        <v>14332000</v>
      </c>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1">
        <f>FB63+FG63+FL63+FQ63+FV63+GA63+GF63+GK63+GP63</f>
        <v>9673076.9230769239</v>
      </c>
      <c r="GV63" s="81">
        <f t="shared" si="112"/>
        <v>34750000</v>
      </c>
      <c r="GW63" s="81">
        <f t="shared" si="112"/>
        <v>17915000</v>
      </c>
      <c r="GX63" s="81">
        <f t="shared" si="112"/>
        <v>14332000</v>
      </c>
      <c r="GY63" s="673">
        <f t="shared" si="112"/>
        <v>0</v>
      </c>
      <c r="GZ63" s="67">
        <f>BM63+DE63+EW63+GU63</f>
        <v>1277673076.9230769</v>
      </c>
    </row>
    <row r="64" spans="1:208" ht="24.75" customHeight="1" x14ac:dyDescent="0.2">
      <c r="A64" s="326"/>
      <c r="B64" s="326"/>
      <c r="C64" s="246">
        <v>9</v>
      </c>
      <c r="D64" s="247" t="s">
        <v>185</v>
      </c>
      <c r="E64" s="366"/>
      <c r="F64" s="366"/>
      <c r="G64" s="998"/>
      <c r="H64" s="998"/>
      <c r="I64" s="998"/>
      <c r="J64" s="998"/>
      <c r="K64" s="998"/>
      <c r="L64" s="998"/>
      <c r="M64" s="998"/>
      <c r="N64" s="998"/>
      <c r="O64" s="998"/>
      <c r="P64" s="998"/>
      <c r="Q64" s="998"/>
      <c r="R64" s="998"/>
      <c r="S64" s="998"/>
      <c r="T64" s="998"/>
      <c r="U64" s="998"/>
      <c r="V64" s="998"/>
      <c r="W64" s="998"/>
      <c r="X64" s="666"/>
      <c r="Y64" s="999"/>
      <c r="Z64" s="998"/>
      <c r="AA64" s="998"/>
      <c r="AB64" s="998"/>
      <c r="AC64" s="186">
        <f t="shared" ref="AC64:BL64" si="113">SUM(AC65:AC68)</f>
        <v>0</v>
      </c>
      <c r="AD64" s="186">
        <f t="shared" si="113"/>
        <v>0</v>
      </c>
      <c r="AE64" s="186">
        <f t="shared" si="113"/>
        <v>0</v>
      </c>
      <c r="AF64" s="186">
        <f t="shared" si="113"/>
        <v>0</v>
      </c>
      <c r="AG64" s="186">
        <f t="shared" si="113"/>
        <v>0</v>
      </c>
      <c r="AH64" s="186">
        <f t="shared" si="113"/>
        <v>0</v>
      </c>
      <c r="AI64" s="186">
        <f t="shared" si="113"/>
        <v>0</v>
      </c>
      <c r="AJ64" s="186">
        <f t="shared" si="113"/>
        <v>0</v>
      </c>
      <c r="AK64" s="186">
        <f t="shared" si="113"/>
        <v>80000000</v>
      </c>
      <c r="AL64" s="186">
        <f t="shared" si="113"/>
        <v>177000000</v>
      </c>
      <c r="AM64" s="186">
        <f t="shared" si="113"/>
        <v>172620000</v>
      </c>
      <c r="AN64" s="186">
        <f t="shared" si="113"/>
        <v>172620000</v>
      </c>
      <c r="AO64" s="186">
        <f t="shared" si="113"/>
        <v>0</v>
      </c>
      <c r="AP64" s="186">
        <f t="shared" si="113"/>
        <v>0</v>
      </c>
      <c r="AQ64" s="186">
        <f t="shared" si="113"/>
        <v>0</v>
      </c>
      <c r="AR64" s="186">
        <f t="shared" si="113"/>
        <v>0</v>
      </c>
      <c r="AS64" s="186">
        <f t="shared" si="113"/>
        <v>0</v>
      </c>
      <c r="AT64" s="186">
        <f t="shared" si="113"/>
        <v>0</v>
      </c>
      <c r="AU64" s="186">
        <f t="shared" si="113"/>
        <v>0</v>
      </c>
      <c r="AV64" s="186">
        <f t="shared" si="113"/>
        <v>0</v>
      </c>
      <c r="AW64" s="186">
        <f t="shared" si="113"/>
        <v>0</v>
      </c>
      <c r="AX64" s="186">
        <f t="shared" si="113"/>
        <v>0</v>
      </c>
      <c r="AY64" s="186">
        <f t="shared" si="113"/>
        <v>0</v>
      </c>
      <c r="AZ64" s="186">
        <f t="shared" si="113"/>
        <v>0</v>
      </c>
      <c r="BA64" s="186">
        <f t="shared" si="113"/>
        <v>0</v>
      </c>
      <c r="BB64" s="186">
        <f t="shared" si="113"/>
        <v>0</v>
      </c>
      <c r="BC64" s="186">
        <f t="shared" si="113"/>
        <v>0</v>
      </c>
      <c r="BD64" s="186">
        <f t="shared" si="113"/>
        <v>0</v>
      </c>
      <c r="BE64" s="186">
        <f t="shared" si="113"/>
        <v>0</v>
      </c>
      <c r="BF64" s="186">
        <f t="shared" si="113"/>
        <v>0</v>
      </c>
      <c r="BG64" s="186">
        <f t="shared" si="113"/>
        <v>0</v>
      </c>
      <c r="BH64" s="186">
        <f t="shared" si="113"/>
        <v>0</v>
      </c>
      <c r="BI64" s="186">
        <f t="shared" si="113"/>
        <v>0</v>
      </c>
      <c r="BJ64" s="186">
        <f t="shared" si="113"/>
        <v>0</v>
      </c>
      <c r="BK64" s="186">
        <f t="shared" si="113"/>
        <v>0</v>
      </c>
      <c r="BL64" s="186">
        <f t="shared" si="113"/>
        <v>0</v>
      </c>
      <c r="BM64" s="186">
        <f t="shared" ref="BM64:DX64" si="114">SUM(BM65:BM68)</f>
        <v>80000000</v>
      </c>
      <c r="BN64" s="186">
        <f t="shared" si="114"/>
        <v>177000000</v>
      </c>
      <c r="BO64" s="186">
        <f t="shared" si="114"/>
        <v>172620000</v>
      </c>
      <c r="BP64" s="186">
        <f t="shared" si="114"/>
        <v>172620000</v>
      </c>
      <c r="BQ64" s="186">
        <f t="shared" si="114"/>
        <v>0</v>
      </c>
      <c r="BR64" s="186">
        <f t="shared" si="114"/>
        <v>0</v>
      </c>
      <c r="BS64" s="186">
        <f t="shared" si="114"/>
        <v>0</v>
      </c>
      <c r="BT64" s="186">
        <f t="shared" si="114"/>
        <v>0</v>
      </c>
      <c r="BU64" s="186">
        <f t="shared" si="114"/>
        <v>0</v>
      </c>
      <c r="BV64" s="186">
        <f t="shared" si="114"/>
        <v>245200000</v>
      </c>
      <c r="BW64" s="186">
        <f t="shared" si="114"/>
        <v>214450000</v>
      </c>
      <c r="BX64" s="186">
        <f t="shared" si="114"/>
        <v>214450000</v>
      </c>
      <c r="BY64" s="186">
        <f t="shared" si="114"/>
        <v>0</v>
      </c>
      <c r="BZ64" s="186">
        <f t="shared" si="114"/>
        <v>70000000</v>
      </c>
      <c r="CA64" s="186">
        <f t="shared" si="114"/>
        <v>170000000</v>
      </c>
      <c r="CB64" s="186">
        <f t="shared" si="114"/>
        <v>169927410</v>
      </c>
      <c r="CC64" s="186">
        <f t="shared" si="114"/>
        <v>167210410</v>
      </c>
      <c r="CD64" s="186">
        <f t="shared" si="114"/>
        <v>0</v>
      </c>
      <c r="CE64" s="186">
        <f t="shared" si="114"/>
        <v>0</v>
      </c>
      <c r="CF64" s="186">
        <f t="shared" si="114"/>
        <v>0</v>
      </c>
      <c r="CG64" s="186">
        <f t="shared" si="114"/>
        <v>0</v>
      </c>
      <c r="CH64" s="186">
        <f t="shared" si="114"/>
        <v>0</v>
      </c>
      <c r="CI64" s="186">
        <f t="shared" si="114"/>
        <v>0</v>
      </c>
      <c r="CJ64" s="186">
        <f t="shared" si="114"/>
        <v>0</v>
      </c>
      <c r="CK64" s="186">
        <f t="shared" si="114"/>
        <v>0</v>
      </c>
      <c r="CL64" s="186">
        <f t="shared" si="114"/>
        <v>0</v>
      </c>
      <c r="CM64" s="186">
        <f t="shared" si="114"/>
        <v>0</v>
      </c>
      <c r="CN64" s="186">
        <f t="shared" si="114"/>
        <v>0</v>
      </c>
      <c r="CO64" s="186">
        <f t="shared" si="114"/>
        <v>0</v>
      </c>
      <c r="CP64" s="186">
        <f t="shared" si="114"/>
        <v>0</v>
      </c>
      <c r="CQ64" s="186">
        <f t="shared" si="114"/>
        <v>0</v>
      </c>
      <c r="CR64" s="186">
        <f t="shared" si="114"/>
        <v>0</v>
      </c>
      <c r="CS64" s="186">
        <f t="shared" si="114"/>
        <v>0</v>
      </c>
      <c r="CT64" s="186">
        <f t="shared" si="114"/>
        <v>0</v>
      </c>
      <c r="CU64" s="186">
        <f t="shared" si="114"/>
        <v>0</v>
      </c>
      <c r="CV64" s="186">
        <f t="shared" si="114"/>
        <v>0</v>
      </c>
      <c r="CW64" s="186">
        <f t="shared" si="114"/>
        <v>0</v>
      </c>
      <c r="CX64" s="186">
        <f t="shared" si="114"/>
        <v>0</v>
      </c>
      <c r="CY64" s="186">
        <f t="shared" si="114"/>
        <v>0</v>
      </c>
      <c r="CZ64" s="186">
        <f t="shared" si="114"/>
        <v>0</v>
      </c>
      <c r="DA64" s="186">
        <f t="shared" si="114"/>
        <v>0</v>
      </c>
      <c r="DB64" s="186">
        <f t="shared" si="114"/>
        <v>0</v>
      </c>
      <c r="DC64" s="186">
        <f t="shared" si="114"/>
        <v>0</v>
      </c>
      <c r="DD64" s="186">
        <f t="shared" si="114"/>
        <v>0</v>
      </c>
      <c r="DE64" s="186">
        <f t="shared" si="114"/>
        <v>70000000</v>
      </c>
      <c r="DF64" s="186">
        <f t="shared" si="114"/>
        <v>415200000</v>
      </c>
      <c r="DG64" s="186">
        <f t="shared" si="114"/>
        <v>384377410</v>
      </c>
      <c r="DH64" s="186">
        <f t="shared" si="114"/>
        <v>381660410</v>
      </c>
      <c r="DI64" s="186">
        <f t="shared" si="114"/>
        <v>0</v>
      </c>
      <c r="DJ64" s="186">
        <f t="shared" si="114"/>
        <v>0</v>
      </c>
      <c r="DK64" s="186">
        <f t="shared" si="114"/>
        <v>0</v>
      </c>
      <c r="DL64" s="186">
        <f t="shared" si="114"/>
        <v>0</v>
      </c>
      <c r="DM64" s="186">
        <f t="shared" si="114"/>
        <v>0</v>
      </c>
      <c r="DN64" s="186">
        <f t="shared" si="114"/>
        <v>0</v>
      </c>
      <c r="DO64" s="186">
        <f t="shared" si="114"/>
        <v>47520000</v>
      </c>
      <c r="DP64" s="186">
        <f t="shared" si="114"/>
        <v>47520000</v>
      </c>
      <c r="DQ64" s="186">
        <f t="shared" si="114"/>
        <v>47520000</v>
      </c>
      <c r="DR64" s="186">
        <f t="shared" si="114"/>
        <v>0</v>
      </c>
      <c r="DS64" s="186">
        <f t="shared" si="114"/>
        <v>20000000</v>
      </c>
      <c r="DT64" s="186">
        <f t="shared" si="114"/>
        <v>310000000</v>
      </c>
      <c r="DU64" s="186">
        <f t="shared" si="114"/>
        <v>275098000</v>
      </c>
      <c r="DV64" s="186">
        <f t="shared" si="114"/>
        <v>275098000</v>
      </c>
      <c r="DW64" s="186">
        <f t="shared" si="114"/>
        <v>0</v>
      </c>
      <c r="DX64" s="186">
        <f t="shared" si="114"/>
        <v>0</v>
      </c>
      <c r="DY64" s="186">
        <f t="shared" ref="DY64:EW64" si="115">SUM(DY65:DY68)</f>
        <v>0</v>
      </c>
      <c r="DZ64" s="186">
        <f t="shared" si="115"/>
        <v>0</v>
      </c>
      <c r="EA64" s="186">
        <f t="shared" si="115"/>
        <v>0</v>
      </c>
      <c r="EB64" s="186">
        <f t="shared" si="115"/>
        <v>0</v>
      </c>
      <c r="EC64" s="186">
        <f t="shared" si="115"/>
        <v>0</v>
      </c>
      <c r="ED64" s="186">
        <f t="shared" si="115"/>
        <v>0</v>
      </c>
      <c r="EE64" s="186">
        <f t="shared" si="115"/>
        <v>0</v>
      </c>
      <c r="EF64" s="186">
        <f t="shared" si="115"/>
        <v>0</v>
      </c>
      <c r="EG64" s="186">
        <f t="shared" si="115"/>
        <v>0</v>
      </c>
      <c r="EH64" s="186">
        <f t="shared" si="115"/>
        <v>0</v>
      </c>
      <c r="EI64" s="186">
        <f t="shared" si="115"/>
        <v>0</v>
      </c>
      <c r="EJ64" s="186">
        <f t="shared" si="115"/>
        <v>0</v>
      </c>
      <c r="EK64" s="186">
        <f t="shared" si="115"/>
        <v>0</v>
      </c>
      <c r="EL64" s="186">
        <f t="shared" si="115"/>
        <v>0</v>
      </c>
      <c r="EM64" s="186">
        <f t="shared" si="115"/>
        <v>0</v>
      </c>
      <c r="EN64" s="186">
        <f t="shared" si="115"/>
        <v>0</v>
      </c>
      <c r="EO64" s="186">
        <f t="shared" si="115"/>
        <v>0</v>
      </c>
      <c r="EP64" s="186">
        <f t="shared" si="115"/>
        <v>0</v>
      </c>
      <c r="EQ64" s="186">
        <f t="shared" si="115"/>
        <v>0</v>
      </c>
      <c r="ER64" s="186">
        <f t="shared" si="115"/>
        <v>0</v>
      </c>
      <c r="ES64" s="186">
        <f t="shared" si="115"/>
        <v>0</v>
      </c>
      <c r="ET64" s="186">
        <f t="shared" si="115"/>
        <v>0</v>
      </c>
      <c r="EU64" s="186">
        <f t="shared" si="115"/>
        <v>0</v>
      </c>
      <c r="EV64" s="186">
        <f t="shared" si="115"/>
        <v>0</v>
      </c>
      <c r="EW64" s="186">
        <f t="shared" si="115"/>
        <v>20000000</v>
      </c>
      <c r="EX64" s="186">
        <f t="shared" ref="EX64:GZ64" si="116">SUM(EX65:EX68)</f>
        <v>357520000</v>
      </c>
      <c r="EY64" s="186">
        <f t="shared" si="116"/>
        <v>322618000</v>
      </c>
      <c r="EZ64" s="186">
        <f t="shared" si="116"/>
        <v>322618000</v>
      </c>
      <c r="FA64" s="186">
        <f t="shared" si="116"/>
        <v>0</v>
      </c>
      <c r="FB64" s="601">
        <f t="shared" si="116"/>
        <v>0</v>
      </c>
      <c r="FC64" s="186">
        <f t="shared" si="116"/>
        <v>0</v>
      </c>
      <c r="FD64" s="186">
        <f t="shared" si="116"/>
        <v>0</v>
      </c>
      <c r="FE64" s="186">
        <f t="shared" si="116"/>
        <v>0</v>
      </c>
      <c r="FF64" s="186">
        <f t="shared" si="116"/>
        <v>0</v>
      </c>
      <c r="FG64" s="186">
        <f t="shared" si="116"/>
        <v>0</v>
      </c>
      <c r="FH64" s="186">
        <f t="shared" si="116"/>
        <v>345000000</v>
      </c>
      <c r="FI64" s="186">
        <f t="shared" si="116"/>
        <v>50600000</v>
      </c>
      <c r="FJ64" s="186">
        <f t="shared" si="116"/>
        <v>50600000</v>
      </c>
      <c r="FK64" s="186">
        <f t="shared" si="116"/>
        <v>0</v>
      </c>
      <c r="FL64" s="186">
        <f t="shared" si="116"/>
        <v>10000000</v>
      </c>
      <c r="FM64" s="186">
        <f t="shared" si="116"/>
        <v>258200000</v>
      </c>
      <c r="FN64" s="186">
        <f t="shared" si="116"/>
        <v>194155000</v>
      </c>
      <c r="FO64" s="186">
        <f t="shared" si="116"/>
        <v>176400000</v>
      </c>
      <c r="FP64" s="186">
        <f t="shared" si="116"/>
        <v>0</v>
      </c>
      <c r="FQ64" s="186">
        <f t="shared" si="116"/>
        <v>0</v>
      </c>
      <c r="FR64" s="186">
        <f t="shared" si="116"/>
        <v>0</v>
      </c>
      <c r="FS64" s="186">
        <f t="shared" si="116"/>
        <v>0</v>
      </c>
      <c r="FT64" s="186">
        <f t="shared" si="116"/>
        <v>0</v>
      </c>
      <c r="FU64" s="186">
        <f t="shared" si="116"/>
        <v>0</v>
      </c>
      <c r="FV64" s="186">
        <f t="shared" si="116"/>
        <v>0</v>
      </c>
      <c r="FW64" s="186">
        <f t="shared" si="116"/>
        <v>0</v>
      </c>
      <c r="FX64" s="186">
        <f t="shared" si="116"/>
        <v>0</v>
      </c>
      <c r="FY64" s="186">
        <f t="shared" si="116"/>
        <v>0</v>
      </c>
      <c r="FZ64" s="186">
        <f t="shared" si="116"/>
        <v>0</v>
      </c>
      <c r="GA64" s="186">
        <f t="shared" si="116"/>
        <v>0</v>
      </c>
      <c r="GB64" s="186">
        <f t="shared" si="116"/>
        <v>0</v>
      </c>
      <c r="GC64" s="186">
        <f t="shared" si="116"/>
        <v>0</v>
      </c>
      <c r="GD64" s="186">
        <f t="shared" si="116"/>
        <v>0</v>
      </c>
      <c r="GE64" s="186">
        <f t="shared" si="116"/>
        <v>0</v>
      </c>
      <c r="GF64" s="186">
        <f t="shared" si="116"/>
        <v>0</v>
      </c>
      <c r="GG64" s="186">
        <f t="shared" si="116"/>
        <v>0</v>
      </c>
      <c r="GH64" s="186">
        <f t="shared" si="116"/>
        <v>0</v>
      </c>
      <c r="GI64" s="186">
        <f t="shared" si="116"/>
        <v>0</v>
      </c>
      <c r="GJ64" s="186">
        <f t="shared" si="116"/>
        <v>0</v>
      </c>
      <c r="GK64" s="186">
        <f t="shared" si="116"/>
        <v>0</v>
      </c>
      <c r="GL64" s="186">
        <f t="shared" si="116"/>
        <v>0</v>
      </c>
      <c r="GM64" s="186">
        <f t="shared" si="116"/>
        <v>0</v>
      </c>
      <c r="GN64" s="186">
        <f t="shared" si="116"/>
        <v>0</v>
      </c>
      <c r="GO64" s="186">
        <f t="shared" si="116"/>
        <v>0</v>
      </c>
      <c r="GP64" s="186">
        <f t="shared" si="116"/>
        <v>0</v>
      </c>
      <c r="GQ64" s="186">
        <f t="shared" si="116"/>
        <v>0</v>
      </c>
      <c r="GR64" s="186">
        <f t="shared" si="116"/>
        <v>0</v>
      </c>
      <c r="GS64" s="186">
        <f t="shared" si="116"/>
        <v>0</v>
      </c>
      <c r="GT64" s="186">
        <f t="shared" si="116"/>
        <v>0</v>
      </c>
      <c r="GU64" s="186">
        <f t="shared" si="116"/>
        <v>10000000</v>
      </c>
      <c r="GV64" s="186">
        <f t="shared" si="116"/>
        <v>603200000</v>
      </c>
      <c r="GW64" s="186">
        <f t="shared" si="116"/>
        <v>244755000</v>
      </c>
      <c r="GX64" s="186">
        <f t="shared" si="116"/>
        <v>227000000</v>
      </c>
      <c r="GY64" s="186">
        <f t="shared" si="116"/>
        <v>0</v>
      </c>
      <c r="GZ64" s="186">
        <f t="shared" si="116"/>
        <v>180000000</v>
      </c>
    </row>
    <row r="65" spans="1:208" ht="63.75" customHeight="1" x14ac:dyDescent="0.2">
      <c r="A65" s="326"/>
      <c r="B65" s="326"/>
      <c r="C65" s="456"/>
      <c r="D65" s="769" t="s">
        <v>120</v>
      </c>
      <c r="E65" s="717"/>
      <c r="F65" s="717"/>
      <c r="G65" s="260">
        <v>43</v>
      </c>
      <c r="H65" s="261" t="s">
        <v>186</v>
      </c>
      <c r="I65" s="258" t="s">
        <v>187</v>
      </c>
      <c r="J65" s="262" t="s">
        <v>125</v>
      </c>
      <c r="K65" s="262">
        <v>13</v>
      </c>
      <c r="L65" s="263" t="s">
        <v>73</v>
      </c>
      <c r="M65" s="264" t="s">
        <v>53</v>
      </c>
      <c r="N65" s="264">
        <v>12</v>
      </c>
      <c r="O65" s="265">
        <v>3</v>
      </c>
      <c r="P65" s="266">
        <v>3</v>
      </c>
      <c r="Q65" s="265">
        <v>3</v>
      </c>
      <c r="R65" s="268"/>
      <c r="S65" s="314">
        <v>3</v>
      </c>
      <c r="T65" s="265">
        <v>3</v>
      </c>
      <c r="U65" s="265"/>
      <c r="V65" s="266">
        <v>3</v>
      </c>
      <c r="W65" s="265">
        <v>3</v>
      </c>
      <c r="X65" s="265"/>
      <c r="Y65" s="654">
        <v>2</v>
      </c>
      <c r="Z65" s="315">
        <f>BM65/$BM$64</f>
        <v>0.125</v>
      </c>
      <c r="AA65" s="264">
        <v>8</v>
      </c>
      <c r="AB65" s="274" t="s">
        <v>135</v>
      </c>
      <c r="AC65" s="54"/>
      <c r="AD65" s="54"/>
      <c r="AE65" s="54"/>
      <c r="AF65" s="54"/>
      <c r="AG65" s="53"/>
      <c r="AH65" s="54"/>
      <c r="AI65" s="54"/>
      <c r="AJ65" s="54"/>
      <c r="AK65" s="53">
        <v>10000000</v>
      </c>
      <c r="AL65" s="54">
        <v>42550000</v>
      </c>
      <c r="AM65" s="54">
        <v>38170000</v>
      </c>
      <c r="AN65" s="54">
        <v>38170000</v>
      </c>
      <c r="AO65" s="53"/>
      <c r="AP65" s="54"/>
      <c r="AQ65" s="54"/>
      <c r="AR65" s="54"/>
      <c r="AS65" s="53"/>
      <c r="AT65" s="54"/>
      <c r="AU65" s="54"/>
      <c r="AV65" s="54"/>
      <c r="AW65" s="53"/>
      <c r="AX65" s="54"/>
      <c r="AY65" s="54"/>
      <c r="AZ65" s="54"/>
      <c r="BA65" s="53"/>
      <c r="BB65" s="54"/>
      <c r="BC65" s="54"/>
      <c r="BD65" s="54"/>
      <c r="BE65" s="53"/>
      <c r="BF65" s="54"/>
      <c r="BG65" s="54"/>
      <c r="BH65" s="54"/>
      <c r="BI65" s="53"/>
      <c r="BJ65" s="54"/>
      <c r="BK65" s="54"/>
      <c r="BL65" s="54"/>
      <c r="BM65" s="53">
        <f>+AC65+AG65+AK65+AO65+AS65+AW65+BA65+BE65+BI65</f>
        <v>10000000</v>
      </c>
      <c r="BN65" s="54">
        <f t="shared" ref="BN65:BP68" si="117">AD65+AH65+AL65+AP65+AT65+AX65+BB65+BF65+BJ65</f>
        <v>42550000</v>
      </c>
      <c r="BO65" s="54">
        <f t="shared" si="117"/>
        <v>38170000</v>
      </c>
      <c r="BP65" s="54">
        <f t="shared" si="117"/>
        <v>38170000</v>
      </c>
      <c r="BQ65" s="83"/>
      <c r="BR65" s="83"/>
      <c r="BS65" s="83"/>
      <c r="BT65" s="83"/>
      <c r="BU65" s="83"/>
      <c r="BV65" s="83">
        <v>47140000</v>
      </c>
      <c r="BW65" s="83">
        <v>30000000</v>
      </c>
      <c r="BX65" s="83">
        <v>30000000</v>
      </c>
      <c r="BY65" s="83"/>
      <c r="BZ65" s="84">
        <v>15000000</v>
      </c>
      <c r="CA65" s="83">
        <v>30000000</v>
      </c>
      <c r="CB65" s="83">
        <v>30000000</v>
      </c>
      <c r="CC65" s="83">
        <v>28283000</v>
      </c>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1">
        <f t="shared" si="66"/>
        <v>15000000</v>
      </c>
      <c r="DF65" s="95">
        <f t="shared" ref="DF65:DH68" si="118">BR65+BV65+CA65+CF65+CJ65+CN65+CR65+CW65+DB65</f>
        <v>77140000</v>
      </c>
      <c r="DG65" s="95">
        <f t="shared" si="118"/>
        <v>60000000</v>
      </c>
      <c r="DH65" s="95">
        <f t="shared" si="118"/>
        <v>58283000</v>
      </c>
      <c r="DI65" s="95"/>
      <c r="DJ65" s="84"/>
      <c r="DK65" s="65"/>
      <c r="DL65" s="84"/>
      <c r="DM65" s="84"/>
      <c r="DN65" s="84"/>
      <c r="DO65" s="84"/>
      <c r="DP65" s="84"/>
      <c r="DQ65" s="84"/>
      <c r="DR65" s="84"/>
      <c r="DS65" s="84">
        <v>5000000</v>
      </c>
      <c r="DT65" s="65">
        <v>30696000</v>
      </c>
      <c r="DU65" s="84">
        <v>28576000</v>
      </c>
      <c r="DV65" s="84">
        <v>28576000</v>
      </c>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3"/>
      <c r="EU65" s="83"/>
      <c r="EV65" s="83"/>
      <c r="EW65" s="81">
        <f t="shared" ref="EW65:EX68" si="119">DJ65+DN65+DS65+DX65+EB65+EF65+EJ65+EN65+ES65</f>
        <v>5000000</v>
      </c>
      <c r="EX65" s="86">
        <f t="shared" si="119"/>
        <v>30696000</v>
      </c>
      <c r="EY65" s="86">
        <f t="shared" ref="EY65:EZ68" si="120">DL65+DP65+DU65+DZ65+ED65+EH65+EL65+EP65+EU65</f>
        <v>28576000</v>
      </c>
      <c r="EZ65" s="86">
        <f t="shared" si="120"/>
        <v>28576000</v>
      </c>
      <c r="FA65" s="176"/>
      <c r="FB65" s="83"/>
      <c r="FC65" s="84"/>
      <c r="FD65" s="84"/>
      <c r="FE65" s="84"/>
      <c r="FF65" s="140"/>
      <c r="FG65" s="83"/>
      <c r="FH65" s="83">
        <v>255000000</v>
      </c>
      <c r="FI65" s="83"/>
      <c r="FJ65" s="83"/>
      <c r="FK65" s="83"/>
      <c r="FL65" s="83">
        <v>2000000</v>
      </c>
      <c r="FM65" s="83">
        <v>28800000</v>
      </c>
      <c r="FN65" s="83">
        <v>17915000</v>
      </c>
      <c r="FO65" s="83">
        <v>14332000</v>
      </c>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1">
        <f>FB65+FG65+FL65+FQ65+FV65+GA65+GF65+GK65+GP65</f>
        <v>2000000</v>
      </c>
      <c r="GV65" s="81">
        <f t="shared" ref="GV65:GY68" si="121">GQ65+GL65+GG65+GB65+FW65+FR65+FM65+FH65+FC65</f>
        <v>283800000</v>
      </c>
      <c r="GW65" s="81">
        <f t="shared" si="121"/>
        <v>17915000</v>
      </c>
      <c r="GX65" s="81">
        <f t="shared" si="121"/>
        <v>14332000</v>
      </c>
      <c r="GY65" s="673">
        <f t="shared" si="121"/>
        <v>0</v>
      </c>
      <c r="GZ65" s="67">
        <f>BM65+DE65+EW65+GU65</f>
        <v>32000000</v>
      </c>
    </row>
    <row r="66" spans="1:208" ht="120.75" customHeight="1" x14ac:dyDescent="0.2">
      <c r="A66" s="326"/>
      <c r="B66" s="326"/>
      <c r="C66" s="277">
        <v>5</v>
      </c>
      <c r="D66" s="763"/>
      <c r="E66" s="351" t="s">
        <v>121</v>
      </c>
      <c r="F66" s="351" t="s">
        <v>122</v>
      </c>
      <c r="G66" s="260">
        <v>44</v>
      </c>
      <c r="H66" s="261" t="s">
        <v>951</v>
      </c>
      <c r="I66" s="258" t="s">
        <v>188</v>
      </c>
      <c r="J66" s="262" t="s">
        <v>125</v>
      </c>
      <c r="K66" s="262">
        <v>13</v>
      </c>
      <c r="L66" s="263" t="s">
        <v>58</v>
      </c>
      <c r="M66" s="264">
        <v>0</v>
      </c>
      <c r="N66" s="264">
        <v>1</v>
      </c>
      <c r="O66" s="265">
        <v>1</v>
      </c>
      <c r="P66" s="266">
        <v>1</v>
      </c>
      <c r="Q66" s="265">
        <v>1</v>
      </c>
      <c r="R66" s="268"/>
      <c r="S66" s="314">
        <v>1</v>
      </c>
      <c r="T66" s="265">
        <v>1</v>
      </c>
      <c r="U66" s="265"/>
      <c r="V66" s="266">
        <v>1</v>
      </c>
      <c r="W66" s="265">
        <v>1</v>
      </c>
      <c r="X66" s="265"/>
      <c r="Y66" s="654">
        <v>0.66</v>
      </c>
      <c r="Z66" s="315">
        <f>BM66/$BM$64</f>
        <v>0.125</v>
      </c>
      <c r="AA66" s="264">
        <v>8</v>
      </c>
      <c r="AB66" s="274" t="s">
        <v>135</v>
      </c>
      <c r="AC66" s="54"/>
      <c r="AD66" s="54"/>
      <c r="AE66" s="54"/>
      <c r="AF66" s="54"/>
      <c r="AG66" s="53"/>
      <c r="AH66" s="54"/>
      <c r="AI66" s="54"/>
      <c r="AJ66" s="54"/>
      <c r="AK66" s="150">
        <v>10000000</v>
      </c>
      <c r="AL66" s="54">
        <v>54450000</v>
      </c>
      <c r="AM66" s="55">
        <v>54450000</v>
      </c>
      <c r="AN66" s="55">
        <v>54450000</v>
      </c>
      <c r="AO66" s="56"/>
      <c r="AP66" s="55"/>
      <c r="AQ66" s="55"/>
      <c r="AR66" s="58"/>
      <c r="AS66" s="57"/>
      <c r="AT66" s="58"/>
      <c r="AU66" s="59"/>
      <c r="AV66" s="54"/>
      <c r="AW66" s="53"/>
      <c r="AX66" s="54"/>
      <c r="AY66" s="54"/>
      <c r="AZ66" s="54"/>
      <c r="BA66" s="53"/>
      <c r="BB66" s="54"/>
      <c r="BC66" s="54"/>
      <c r="BD66" s="54"/>
      <c r="BE66" s="53"/>
      <c r="BF66" s="54"/>
      <c r="BG66" s="54"/>
      <c r="BH66" s="54"/>
      <c r="BI66" s="53"/>
      <c r="BJ66" s="54"/>
      <c r="BK66" s="54"/>
      <c r="BL66" s="54"/>
      <c r="BM66" s="53">
        <f>+AC66+AG66+AK66+AO66+AS66+AW66+BA66+BE66+BI66</f>
        <v>10000000</v>
      </c>
      <c r="BN66" s="54">
        <f t="shared" si="117"/>
        <v>54450000</v>
      </c>
      <c r="BO66" s="54">
        <f t="shared" si="117"/>
        <v>54450000</v>
      </c>
      <c r="BP66" s="54">
        <f t="shared" si="117"/>
        <v>54450000</v>
      </c>
      <c r="BQ66" s="83"/>
      <c r="BR66" s="83"/>
      <c r="BS66" s="83"/>
      <c r="BT66" s="83"/>
      <c r="BU66" s="83"/>
      <c r="BV66" s="83">
        <v>20140000</v>
      </c>
      <c r="BW66" s="83">
        <v>10243000</v>
      </c>
      <c r="BX66" s="83">
        <v>10243000</v>
      </c>
      <c r="BY66" s="83"/>
      <c r="BZ66" s="84">
        <v>15000000</v>
      </c>
      <c r="CA66" s="83">
        <v>33000000</v>
      </c>
      <c r="CB66" s="83">
        <v>33000000</v>
      </c>
      <c r="CC66" s="83">
        <v>33000000</v>
      </c>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1">
        <f t="shared" si="66"/>
        <v>15000000</v>
      </c>
      <c r="DF66" s="95">
        <f t="shared" si="118"/>
        <v>53140000</v>
      </c>
      <c r="DG66" s="95">
        <f t="shared" si="118"/>
        <v>43243000</v>
      </c>
      <c r="DH66" s="95">
        <f t="shared" si="118"/>
        <v>43243000</v>
      </c>
      <c r="DI66" s="95"/>
      <c r="DJ66" s="84"/>
      <c r="DK66" s="65"/>
      <c r="DL66" s="84"/>
      <c r="DM66" s="84"/>
      <c r="DN66" s="84"/>
      <c r="DO66" s="84">
        <v>30840000</v>
      </c>
      <c r="DP66" s="84">
        <v>30840000</v>
      </c>
      <c r="DQ66" s="84">
        <v>30840000</v>
      </c>
      <c r="DR66" s="84"/>
      <c r="DS66" s="84">
        <v>5000000</v>
      </c>
      <c r="DT66" s="65">
        <v>39296000</v>
      </c>
      <c r="DU66" s="84">
        <v>38456000</v>
      </c>
      <c r="DV66" s="84">
        <v>38456000</v>
      </c>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3"/>
      <c r="EU66" s="83"/>
      <c r="EV66" s="83"/>
      <c r="EW66" s="81">
        <f t="shared" si="119"/>
        <v>5000000</v>
      </c>
      <c r="EX66" s="86">
        <f t="shared" si="119"/>
        <v>70136000</v>
      </c>
      <c r="EY66" s="86">
        <f t="shared" si="120"/>
        <v>69296000</v>
      </c>
      <c r="EZ66" s="86">
        <f t="shared" si="120"/>
        <v>69296000</v>
      </c>
      <c r="FA66" s="176"/>
      <c r="FB66" s="83"/>
      <c r="FC66" s="84"/>
      <c r="FD66" s="84"/>
      <c r="FE66" s="84"/>
      <c r="FF66" s="140"/>
      <c r="FG66" s="83"/>
      <c r="FH66" s="83">
        <v>39400000</v>
      </c>
      <c r="FI66" s="83"/>
      <c r="FJ66" s="83"/>
      <c r="FK66" s="83"/>
      <c r="FL66" s="83">
        <v>2000000</v>
      </c>
      <c r="FM66" s="83">
        <v>31500000</v>
      </c>
      <c r="FN66" s="83">
        <v>22384000</v>
      </c>
      <c r="FO66" s="83">
        <v>22384000</v>
      </c>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1">
        <f>FB66+FG66+FL66+FQ66+FV66+GA66+GF66+GK66+GP66</f>
        <v>2000000</v>
      </c>
      <c r="GV66" s="81">
        <f t="shared" si="121"/>
        <v>70900000</v>
      </c>
      <c r="GW66" s="81">
        <f t="shared" si="121"/>
        <v>22384000</v>
      </c>
      <c r="GX66" s="81">
        <f t="shared" si="121"/>
        <v>22384000</v>
      </c>
      <c r="GY66" s="673">
        <f t="shared" si="121"/>
        <v>0</v>
      </c>
      <c r="GZ66" s="67">
        <f>BM66+DE66+EW66+GU66</f>
        <v>32000000</v>
      </c>
    </row>
    <row r="67" spans="1:208" ht="105.75" customHeight="1" x14ac:dyDescent="0.2">
      <c r="A67" s="326"/>
      <c r="B67" s="326"/>
      <c r="C67" s="288">
        <v>6</v>
      </c>
      <c r="D67" s="258" t="s">
        <v>162</v>
      </c>
      <c r="E67" s="265" t="s">
        <v>127</v>
      </c>
      <c r="F67" s="265" t="s">
        <v>128</v>
      </c>
      <c r="G67" s="260">
        <v>45</v>
      </c>
      <c r="H67" s="261" t="s">
        <v>189</v>
      </c>
      <c r="I67" s="258" t="s">
        <v>187</v>
      </c>
      <c r="J67" s="262" t="s">
        <v>125</v>
      </c>
      <c r="K67" s="262">
        <v>13</v>
      </c>
      <c r="L67" s="263" t="s">
        <v>73</v>
      </c>
      <c r="M67" s="264" t="s">
        <v>53</v>
      </c>
      <c r="N67" s="264">
        <v>12</v>
      </c>
      <c r="O67" s="265">
        <v>2</v>
      </c>
      <c r="P67" s="266">
        <v>2</v>
      </c>
      <c r="Q67" s="265">
        <v>3</v>
      </c>
      <c r="R67" s="268"/>
      <c r="S67" s="314">
        <v>3</v>
      </c>
      <c r="T67" s="265">
        <v>3</v>
      </c>
      <c r="U67" s="265"/>
      <c r="V67" s="266">
        <v>3</v>
      </c>
      <c r="W67" s="265">
        <v>4</v>
      </c>
      <c r="X67" s="265"/>
      <c r="Y67" s="654">
        <v>3</v>
      </c>
      <c r="Z67" s="315">
        <f>BM67/$BM$64</f>
        <v>0.25</v>
      </c>
      <c r="AA67" s="264">
        <v>8</v>
      </c>
      <c r="AB67" s="274" t="s">
        <v>135</v>
      </c>
      <c r="AC67" s="54"/>
      <c r="AD67" s="54"/>
      <c r="AE67" s="54"/>
      <c r="AF67" s="54"/>
      <c r="AG67" s="53"/>
      <c r="AH67" s="54"/>
      <c r="AI67" s="54"/>
      <c r="AJ67" s="54"/>
      <c r="AK67" s="56">
        <v>20000000</v>
      </c>
      <c r="AL67" s="54">
        <v>20000000</v>
      </c>
      <c r="AM67" s="55">
        <v>20000000</v>
      </c>
      <c r="AN67" s="55">
        <v>20000000</v>
      </c>
      <c r="AO67" s="56"/>
      <c r="AP67" s="55"/>
      <c r="AQ67" s="55"/>
      <c r="AR67" s="58"/>
      <c r="AS67" s="57"/>
      <c r="AT67" s="58"/>
      <c r="AU67" s="59"/>
      <c r="AV67" s="54"/>
      <c r="AW67" s="53"/>
      <c r="AX67" s="54"/>
      <c r="AY67" s="54"/>
      <c r="AZ67" s="54"/>
      <c r="BA67" s="53"/>
      <c r="BB67" s="54"/>
      <c r="BC67" s="54"/>
      <c r="BD67" s="54"/>
      <c r="BE67" s="53"/>
      <c r="BF67" s="54"/>
      <c r="BG67" s="54"/>
      <c r="BH67" s="54"/>
      <c r="BI67" s="53"/>
      <c r="BJ67" s="54"/>
      <c r="BK67" s="54"/>
      <c r="BL67" s="54"/>
      <c r="BM67" s="53">
        <f>+AC67+AG67+AK67+AO67+AS67+AW67+BA67+BE67+BI67</f>
        <v>20000000</v>
      </c>
      <c r="BN67" s="54">
        <f t="shared" si="117"/>
        <v>20000000</v>
      </c>
      <c r="BO67" s="54">
        <f t="shared" si="117"/>
        <v>20000000</v>
      </c>
      <c r="BP67" s="54">
        <f t="shared" si="117"/>
        <v>20000000</v>
      </c>
      <c r="BQ67" s="83"/>
      <c r="BR67" s="83"/>
      <c r="BS67" s="83"/>
      <c r="BT67" s="83"/>
      <c r="BU67" s="83"/>
      <c r="BV67" s="83">
        <v>12920000</v>
      </c>
      <c r="BW67" s="83">
        <v>9207000</v>
      </c>
      <c r="BX67" s="83">
        <v>9207000</v>
      </c>
      <c r="BY67" s="83"/>
      <c r="BZ67" s="84">
        <v>15000000</v>
      </c>
      <c r="CA67" s="83">
        <v>57000000</v>
      </c>
      <c r="CB67" s="83">
        <v>57000000</v>
      </c>
      <c r="CC67" s="83">
        <v>56000000</v>
      </c>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1">
        <f t="shared" si="66"/>
        <v>15000000</v>
      </c>
      <c r="DF67" s="95">
        <f t="shared" si="118"/>
        <v>69920000</v>
      </c>
      <c r="DG67" s="95">
        <f t="shared" si="118"/>
        <v>66207000</v>
      </c>
      <c r="DH67" s="95">
        <f t="shared" si="118"/>
        <v>65207000</v>
      </c>
      <c r="DI67" s="95"/>
      <c r="DJ67" s="84"/>
      <c r="DK67" s="65"/>
      <c r="DL67" s="84"/>
      <c r="DM67" s="84"/>
      <c r="DN67" s="84"/>
      <c r="DO67" s="84">
        <v>16680000</v>
      </c>
      <c r="DP67" s="84">
        <v>16680000</v>
      </c>
      <c r="DQ67" s="84">
        <v>16680000</v>
      </c>
      <c r="DR67" s="84"/>
      <c r="DS67" s="84">
        <v>5000000</v>
      </c>
      <c r="DT67" s="65">
        <v>109886000</v>
      </c>
      <c r="DU67" s="84">
        <v>108066000</v>
      </c>
      <c r="DV67" s="84">
        <v>108066000</v>
      </c>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3"/>
      <c r="EU67" s="83"/>
      <c r="EV67" s="83"/>
      <c r="EW67" s="81">
        <f t="shared" si="119"/>
        <v>5000000</v>
      </c>
      <c r="EX67" s="86">
        <f t="shared" si="119"/>
        <v>126566000</v>
      </c>
      <c r="EY67" s="86">
        <f t="shared" si="120"/>
        <v>124746000</v>
      </c>
      <c r="EZ67" s="86">
        <f t="shared" si="120"/>
        <v>124746000</v>
      </c>
      <c r="FA67" s="176"/>
      <c r="FB67" s="83"/>
      <c r="FC67" s="84"/>
      <c r="FD67" s="84"/>
      <c r="FE67" s="84"/>
      <c r="FF67" s="140"/>
      <c r="FG67" s="83"/>
      <c r="FH67" s="83"/>
      <c r="FI67" s="83"/>
      <c r="FJ67" s="83"/>
      <c r="FK67" s="83"/>
      <c r="FL67" s="83">
        <v>2000000</v>
      </c>
      <c r="FM67" s="83">
        <v>98500000</v>
      </c>
      <c r="FN67" s="83">
        <v>54456000</v>
      </c>
      <c r="FO67" s="83">
        <v>40284000</v>
      </c>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1">
        <f>FB67+FG67+FL67+FQ67+FV67+GA67+GF67+GK67+GP67</f>
        <v>2000000</v>
      </c>
      <c r="GV67" s="81">
        <f t="shared" si="121"/>
        <v>98500000</v>
      </c>
      <c r="GW67" s="81">
        <f t="shared" si="121"/>
        <v>54456000</v>
      </c>
      <c r="GX67" s="81">
        <f t="shared" si="121"/>
        <v>40284000</v>
      </c>
      <c r="GY67" s="673">
        <f t="shared" si="121"/>
        <v>0</v>
      </c>
      <c r="GZ67" s="67">
        <f>BM67+DE67+EW67+GU67</f>
        <v>42000000</v>
      </c>
    </row>
    <row r="68" spans="1:208" ht="68.25" customHeight="1" x14ac:dyDescent="0.2">
      <c r="A68" s="326"/>
      <c r="B68" s="326"/>
      <c r="C68" s="277">
        <v>7</v>
      </c>
      <c r="D68" s="722" t="s">
        <v>150</v>
      </c>
      <c r="E68" s="306" t="s">
        <v>132</v>
      </c>
      <c r="F68" s="353">
        <v>0.27</v>
      </c>
      <c r="G68" s="260">
        <v>46</v>
      </c>
      <c r="H68" s="261" t="s">
        <v>190</v>
      </c>
      <c r="I68" s="258" t="s">
        <v>191</v>
      </c>
      <c r="J68" s="262" t="s">
        <v>125</v>
      </c>
      <c r="K68" s="262">
        <v>13</v>
      </c>
      <c r="L68" s="263" t="s">
        <v>58</v>
      </c>
      <c r="M68" s="264">
        <v>0</v>
      </c>
      <c r="N68" s="265">
        <v>1</v>
      </c>
      <c r="O68" s="265">
        <v>1</v>
      </c>
      <c r="P68" s="266">
        <v>1</v>
      </c>
      <c r="Q68" s="265">
        <v>1</v>
      </c>
      <c r="R68" s="268"/>
      <c r="S68" s="314">
        <v>1</v>
      </c>
      <c r="T68" s="265">
        <v>1</v>
      </c>
      <c r="U68" s="265"/>
      <c r="V68" s="266">
        <v>1</v>
      </c>
      <c r="W68" s="265">
        <v>1</v>
      </c>
      <c r="X68" s="265"/>
      <c r="Y68" s="654">
        <v>1</v>
      </c>
      <c r="Z68" s="315">
        <f>BM68/$BM$64</f>
        <v>0.5</v>
      </c>
      <c r="AA68" s="264">
        <v>1</v>
      </c>
      <c r="AB68" s="264" t="s">
        <v>192</v>
      </c>
      <c r="AC68" s="54"/>
      <c r="AD68" s="54"/>
      <c r="AE68" s="54"/>
      <c r="AF68" s="54"/>
      <c r="AG68" s="53"/>
      <c r="AH68" s="54"/>
      <c r="AI68" s="54"/>
      <c r="AJ68" s="54"/>
      <c r="AK68" s="56">
        <v>40000000</v>
      </c>
      <c r="AL68" s="54">
        <v>60000000</v>
      </c>
      <c r="AM68" s="55">
        <v>60000000</v>
      </c>
      <c r="AN68" s="55">
        <v>60000000</v>
      </c>
      <c r="AO68" s="56"/>
      <c r="AP68" s="55"/>
      <c r="AQ68" s="55"/>
      <c r="AR68" s="58"/>
      <c r="AS68" s="57"/>
      <c r="AT68" s="58"/>
      <c r="AU68" s="59"/>
      <c r="AV68" s="54"/>
      <c r="AW68" s="53"/>
      <c r="AX68" s="54"/>
      <c r="AY68" s="54"/>
      <c r="AZ68" s="54"/>
      <c r="BA68" s="53"/>
      <c r="BB68" s="54"/>
      <c r="BC68" s="54"/>
      <c r="BD68" s="54"/>
      <c r="BE68" s="53"/>
      <c r="BF68" s="54"/>
      <c r="BG68" s="54"/>
      <c r="BH68" s="54"/>
      <c r="BI68" s="53"/>
      <c r="BJ68" s="54"/>
      <c r="BK68" s="54"/>
      <c r="BL68" s="54"/>
      <c r="BM68" s="53">
        <f>+AC68+AG68+AK68+AO68+AS68+AW68+BA68+BE68+BI68</f>
        <v>40000000</v>
      </c>
      <c r="BN68" s="54">
        <f t="shared" si="117"/>
        <v>60000000</v>
      </c>
      <c r="BO68" s="54">
        <f t="shared" si="117"/>
        <v>60000000</v>
      </c>
      <c r="BP68" s="54">
        <f t="shared" si="117"/>
        <v>60000000</v>
      </c>
      <c r="BQ68" s="83"/>
      <c r="BR68" s="83"/>
      <c r="BS68" s="83"/>
      <c r="BT68" s="83"/>
      <c r="BU68" s="83"/>
      <c r="BV68" s="83">
        <v>165000000</v>
      </c>
      <c r="BW68" s="83">
        <v>165000000</v>
      </c>
      <c r="BX68" s="83">
        <v>165000000</v>
      </c>
      <c r="BY68" s="83"/>
      <c r="BZ68" s="84">
        <v>25000000</v>
      </c>
      <c r="CA68" s="83">
        <v>50000000</v>
      </c>
      <c r="CB68" s="83">
        <v>49927410</v>
      </c>
      <c r="CC68" s="83">
        <v>49927410</v>
      </c>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1">
        <f t="shared" si="66"/>
        <v>25000000</v>
      </c>
      <c r="DF68" s="95">
        <f t="shared" si="118"/>
        <v>215000000</v>
      </c>
      <c r="DG68" s="95">
        <f t="shared" si="118"/>
        <v>214927410</v>
      </c>
      <c r="DH68" s="95">
        <f t="shared" si="118"/>
        <v>214927410</v>
      </c>
      <c r="DI68" s="95"/>
      <c r="DJ68" s="84"/>
      <c r="DK68" s="65"/>
      <c r="DL68" s="84"/>
      <c r="DM68" s="84"/>
      <c r="DN68" s="84"/>
      <c r="DO68" s="84"/>
      <c r="DP68" s="84"/>
      <c r="DQ68" s="84"/>
      <c r="DR68" s="84"/>
      <c r="DS68" s="84">
        <v>5000000</v>
      </c>
      <c r="DT68" s="65">
        <v>130122000</v>
      </c>
      <c r="DU68" s="84">
        <v>100000000</v>
      </c>
      <c r="DV68" s="84">
        <v>100000000</v>
      </c>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3"/>
      <c r="EU68" s="83"/>
      <c r="EV68" s="83"/>
      <c r="EW68" s="81">
        <f t="shared" si="119"/>
        <v>5000000</v>
      </c>
      <c r="EX68" s="85">
        <f t="shared" si="119"/>
        <v>130122000</v>
      </c>
      <c r="EY68" s="86">
        <f t="shared" si="120"/>
        <v>100000000</v>
      </c>
      <c r="EZ68" s="86">
        <f t="shared" si="120"/>
        <v>100000000</v>
      </c>
      <c r="FA68" s="176"/>
      <c r="FB68" s="83"/>
      <c r="FC68" s="84"/>
      <c r="FD68" s="84"/>
      <c r="FE68" s="84"/>
      <c r="FF68" s="140"/>
      <c r="FG68" s="83"/>
      <c r="FH68" s="83">
        <v>50600000</v>
      </c>
      <c r="FI68" s="83">
        <v>50600000</v>
      </c>
      <c r="FJ68" s="83">
        <v>50600000</v>
      </c>
      <c r="FK68" s="83"/>
      <c r="FL68" s="83">
        <v>4000000</v>
      </c>
      <c r="FM68" s="83">
        <v>99400000</v>
      </c>
      <c r="FN68" s="83">
        <v>99400000</v>
      </c>
      <c r="FO68" s="83">
        <v>99400000</v>
      </c>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1">
        <f>FB68+FG68+FL68+FQ68+FV68+GA68+GF68+GK68+GP68</f>
        <v>4000000</v>
      </c>
      <c r="GV68" s="81">
        <f t="shared" si="121"/>
        <v>150000000</v>
      </c>
      <c r="GW68" s="81">
        <f t="shared" si="121"/>
        <v>150000000</v>
      </c>
      <c r="GX68" s="81">
        <f t="shared" si="121"/>
        <v>150000000</v>
      </c>
      <c r="GY68" s="673">
        <f t="shared" si="121"/>
        <v>0</v>
      </c>
      <c r="GZ68" s="67">
        <f>BM68+DE68+EW68+GU68</f>
        <v>74000000</v>
      </c>
    </row>
    <row r="69" spans="1:208" ht="24.75" customHeight="1" x14ac:dyDescent="0.2">
      <c r="A69" s="326"/>
      <c r="B69" s="326"/>
      <c r="C69" s="246">
        <v>10</v>
      </c>
      <c r="D69" s="367" t="s">
        <v>193</v>
      </c>
      <c r="E69" s="249"/>
      <c r="F69" s="368"/>
      <c r="G69" s="249"/>
      <c r="H69" s="249"/>
      <c r="I69" s="249"/>
      <c r="J69" s="249"/>
      <c r="K69" s="249"/>
      <c r="L69" s="249"/>
      <c r="M69" s="249"/>
      <c r="N69" s="249"/>
      <c r="O69" s="249"/>
      <c r="P69" s="249"/>
      <c r="Q69" s="249"/>
      <c r="R69" s="249"/>
      <c r="S69" s="249"/>
      <c r="T69" s="249"/>
      <c r="U69" s="249"/>
      <c r="V69" s="249"/>
      <c r="W69" s="249"/>
      <c r="X69" s="663"/>
      <c r="Y69" s="296"/>
      <c r="Z69" s="249"/>
      <c r="AA69" s="249"/>
      <c r="AB69" s="249"/>
      <c r="AC69" s="186">
        <f t="shared" ref="AC69:BL69" si="122">SUM(AC70:AC72)</f>
        <v>0</v>
      </c>
      <c r="AD69" s="186">
        <f t="shared" si="122"/>
        <v>0</v>
      </c>
      <c r="AE69" s="186">
        <f t="shared" si="122"/>
        <v>0</v>
      </c>
      <c r="AF69" s="186">
        <f t="shared" si="122"/>
        <v>0</v>
      </c>
      <c r="AG69" s="186">
        <f t="shared" si="122"/>
        <v>0</v>
      </c>
      <c r="AH69" s="186">
        <f t="shared" si="122"/>
        <v>0</v>
      </c>
      <c r="AI69" s="186">
        <f t="shared" si="122"/>
        <v>0</v>
      </c>
      <c r="AJ69" s="186">
        <f t="shared" si="122"/>
        <v>0</v>
      </c>
      <c r="AK69" s="186">
        <f t="shared" si="122"/>
        <v>80000000</v>
      </c>
      <c r="AL69" s="186">
        <f t="shared" si="122"/>
        <v>190000000</v>
      </c>
      <c r="AM69" s="186">
        <f t="shared" si="122"/>
        <v>135060000</v>
      </c>
      <c r="AN69" s="186">
        <f t="shared" si="122"/>
        <v>135060000</v>
      </c>
      <c r="AO69" s="186">
        <f t="shared" si="122"/>
        <v>0</v>
      </c>
      <c r="AP69" s="186">
        <f t="shared" si="122"/>
        <v>0</v>
      </c>
      <c r="AQ69" s="186">
        <f t="shared" si="122"/>
        <v>0</v>
      </c>
      <c r="AR69" s="186">
        <f t="shared" si="122"/>
        <v>0</v>
      </c>
      <c r="AS69" s="186">
        <f t="shared" si="122"/>
        <v>0</v>
      </c>
      <c r="AT69" s="186">
        <f t="shared" si="122"/>
        <v>0</v>
      </c>
      <c r="AU69" s="186">
        <f t="shared" si="122"/>
        <v>0</v>
      </c>
      <c r="AV69" s="186">
        <f t="shared" si="122"/>
        <v>0</v>
      </c>
      <c r="AW69" s="186">
        <f t="shared" si="122"/>
        <v>0</v>
      </c>
      <c r="AX69" s="186">
        <f t="shared" si="122"/>
        <v>0</v>
      </c>
      <c r="AY69" s="186">
        <f t="shared" si="122"/>
        <v>0</v>
      </c>
      <c r="AZ69" s="186">
        <f t="shared" si="122"/>
        <v>0</v>
      </c>
      <c r="BA69" s="186">
        <f t="shared" si="122"/>
        <v>0</v>
      </c>
      <c r="BB69" s="186">
        <f t="shared" si="122"/>
        <v>0</v>
      </c>
      <c r="BC69" s="186">
        <f t="shared" si="122"/>
        <v>0</v>
      </c>
      <c r="BD69" s="186">
        <f t="shared" si="122"/>
        <v>0</v>
      </c>
      <c r="BE69" s="186">
        <f t="shared" si="122"/>
        <v>0</v>
      </c>
      <c r="BF69" s="186">
        <f t="shared" si="122"/>
        <v>0</v>
      </c>
      <c r="BG69" s="186">
        <f t="shared" si="122"/>
        <v>0</v>
      </c>
      <c r="BH69" s="186">
        <f t="shared" si="122"/>
        <v>0</v>
      </c>
      <c r="BI69" s="186">
        <f t="shared" si="122"/>
        <v>2000000000</v>
      </c>
      <c r="BJ69" s="186">
        <f t="shared" si="122"/>
        <v>0</v>
      </c>
      <c r="BK69" s="186">
        <f t="shared" si="122"/>
        <v>0</v>
      </c>
      <c r="BL69" s="186">
        <f t="shared" si="122"/>
        <v>0</v>
      </c>
      <c r="BM69" s="186">
        <f t="shared" ref="BM69:DX69" si="123">SUM(BM70:BM72)</f>
        <v>2080000000</v>
      </c>
      <c r="BN69" s="186">
        <f t="shared" si="123"/>
        <v>190000000</v>
      </c>
      <c r="BO69" s="186">
        <f t="shared" si="123"/>
        <v>135060000</v>
      </c>
      <c r="BP69" s="186">
        <f t="shared" si="123"/>
        <v>135060000</v>
      </c>
      <c r="BQ69" s="186">
        <f t="shared" si="123"/>
        <v>0</v>
      </c>
      <c r="BR69" s="186">
        <f t="shared" si="123"/>
        <v>0</v>
      </c>
      <c r="BS69" s="186">
        <f t="shared" si="123"/>
        <v>0</v>
      </c>
      <c r="BT69" s="186">
        <f t="shared" si="123"/>
        <v>0</v>
      </c>
      <c r="BU69" s="186">
        <f t="shared" si="123"/>
        <v>0</v>
      </c>
      <c r="BV69" s="186">
        <f t="shared" si="123"/>
        <v>113920000</v>
      </c>
      <c r="BW69" s="186">
        <f t="shared" si="123"/>
        <v>113920000</v>
      </c>
      <c r="BX69" s="186">
        <f t="shared" si="123"/>
        <v>113920000</v>
      </c>
      <c r="BY69" s="186">
        <f t="shared" si="123"/>
        <v>0</v>
      </c>
      <c r="BZ69" s="186">
        <f t="shared" si="123"/>
        <v>90000000</v>
      </c>
      <c r="CA69" s="186">
        <f t="shared" si="123"/>
        <v>466000000</v>
      </c>
      <c r="CB69" s="186">
        <f t="shared" si="123"/>
        <v>420320000</v>
      </c>
      <c r="CC69" s="186">
        <f t="shared" si="123"/>
        <v>420320000</v>
      </c>
      <c r="CD69" s="186">
        <f t="shared" si="123"/>
        <v>0</v>
      </c>
      <c r="CE69" s="186">
        <f t="shared" si="123"/>
        <v>0</v>
      </c>
      <c r="CF69" s="186">
        <f t="shared" si="123"/>
        <v>0</v>
      </c>
      <c r="CG69" s="186">
        <f t="shared" si="123"/>
        <v>0</v>
      </c>
      <c r="CH69" s="186">
        <f t="shared" si="123"/>
        <v>0</v>
      </c>
      <c r="CI69" s="186">
        <f t="shared" si="123"/>
        <v>0</v>
      </c>
      <c r="CJ69" s="186">
        <f t="shared" si="123"/>
        <v>0</v>
      </c>
      <c r="CK69" s="186">
        <f t="shared" si="123"/>
        <v>0</v>
      </c>
      <c r="CL69" s="186">
        <f t="shared" si="123"/>
        <v>0</v>
      </c>
      <c r="CM69" s="186">
        <f t="shared" si="123"/>
        <v>0</v>
      </c>
      <c r="CN69" s="186">
        <f t="shared" si="123"/>
        <v>0</v>
      </c>
      <c r="CO69" s="186">
        <f t="shared" si="123"/>
        <v>0</v>
      </c>
      <c r="CP69" s="186">
        <f t="shared" si="123"/>
        <v>0</v>
      </c>
      <c r="CQ69" s="186">
        <f t="shared" si="123"/>
        <v>0</v>
      </c>
      <c r="CR69" s="186">
        <f t="shared" si="123"/>
        <v>0</v>
      </c>
      <c r="CS69" s="186">
        <f t="shared" si="123"/>
        <v>0</v>
      </c>
      <c r="CT69" s="186">
        <f t="shared" si="123"/>
        <v>0</v>
      </c>
      <c r="CU69" s="186">
        <f t="shared" si="123"/>
        <v>0</v>
      </c>
      <c r="CV69" s="186">
        <f t="shared" si="123"/>
        <v>0</v>
      </c>
      <c r="CW69" s="186">
        <f t="shared" si="123"/>
        <v>0</v>
      </c>
      <c r="CX69" s="186">
        <f t="shared" si="123"/>
        <v>0</v>
      </c>
      <c r="CY69" s="186">
        <f t="shared" si="123"/>
        <v>0</v>
      </c>
      <c r="CZ69" s="186">
        <f t="shared" si="123"/>
        <v>0</v>
      </c>
      <c r="DA69" s="186">
        <f t="shared" si="123"/>
        <v>0</v>
      </c>
      <c r="DB69" s="186">
        <f t="shared" si="123"/>
        <v>0</v>
      </c>
      <c r="DC69" s="186">
        <f t="shared" si="123"/>
        <v>0</v>
      </c>
      <c r="DD69" s="186">
        <f t="shared" si="123"/>
        <v>0</v>
      </c>
      <c r="DE69" s="186">
        <f t="shared" si="123"/>
        <v>90000000</v>
      </c>
      <c r="DF69" s="186">
        <f t="shared" si="123"/>
        <v>579920000</v>
      </c>
      <c r="DG69" s="186">
        <f t="shared" si="123"/>
        <v>534240000</v>
      </c>
      <c r="DH69" s="186">
        <f t="shared" si="123"/>
        <v>534240000</v>
      </c>
      <c r="DI69" s="186">
        <f t="shared" si="123"/>
        <v>0</v>
      </c>
      <c r="DJ69" s="186">
        <f t="shared" si="123"/>
        <v>0</v>
      </c>
      <c r="DK69" s="186">
        <f t="shared" si="123"/>
        <v>0</v>
      </c>
      <c r="DL69" s="186">
        <f t="shared" si="123"/>
        <v>0</v>
      </c>
      <c r="DM69" s="186">
        <f t="shared" si="123"/>
        <v>0</v>
      </c>
      <c r="DN69" s="186">
        <f t="shared" si="123"/>
        <v>0</v>
      </c>
      <c r="DO69" s="186">
        <f t="shared" si="123"/>
        <v>75840000</v>
      </c>
      <c r="DP69" s="186">
        <f t="shared" si="123"/>
        <v>75840000</v>
      </c>
      <c r="DQ69" s="186">
        <f t="shared" si="123"/>
        <v>52032000</v>
      </c>
      <c r="DR69" s="186">
        <f t="shared" si="123"/>
        <v>0</v>
      </c>
      <c r="DS69" s="186">
        <f t="shared" si="123"/>
        <v>30000000</v>
      </c>
      <c r="DT69" s="186">
        <f t="shared" si="123"/>
        <v>260000000</v>
      </c>
      <c r="DU69" s="186">
        <f t="shared" si="123"/>
        <v>256648000</v>
      </c>
      <c r="DV69" s="186">
        <f t="shared" si="123"/>
        <v>256648000</v>
      </c>
      <c r="DW69" s="186">
        <f t="shared" si="123"/>
        <v>0</v>
      </c>
      <c r="DX69" s="186">
        <f t="shared" si="123"/>
        <v>0</v>
      </c>
      <c r="DY69" s="186">
        <f t="shared" ref="DY69:EW69" si="124">SUM(DY70:DY72)</f>
        <v>0</v>
      </c>
      <c r="DZ69" s="186">
        <f t="shared" si="124"/>
        <v>0</v>
      </c>
      <c r="EA69" s="186">
        <f t="shared" si="124"/>
        <v>0</v>
      </c>
      <c r="EB69" s="186">
        <f t="shared" si="124"/>
        <v>0</v>
      </c>
      <c r="EC69" s="186">
        <f t="shared" si="124"/>
        <v>0</v>
      </c>
      <c r="ED69" s="186">
        <f t="shared" si="124"/>
        <v>0</v>
      </c>
      <c r="EE69" s="186">
        <f t="shared" si="124"/>
        <v>0</v>
      </c>
      <c r="EF69" s="186">
        <f t="shared" si="124"/>
        <v>0</v>
      </c>
      <c r="EG69" s="186">
        <f t="shared" si="124"/>
        <v>0</v>
      </c>
      <c r="EH69" s="186">
        <f t="shared" si="124"/>
        <v>0</v>
      </c>
      <c r="EI69" s="186">
        <f t="shared" si="124"/>
        <v>0</v>
      </c>
      <c r="EJ69" s="186">
        <f t="shared" si="124"/>
        <v>0</v>
      </c>
      <c r="EK69" s="186">
        <f t="shared" si="124"/>
        <v>0</v>
      </c>
      <c r="EL69" s="186">
        <f t="shared" si="124"/>
        <v>0</v>
      </c>
      <c r="EM69" s="186">
        <f t="shared" si="124"/>
        <v>0</v>
      </c>
      <c r="EN69" s="186">
        <f t="shared" si="124"/>
        <v>0</v>
      </c>
      <c r="EO69" s="186">
        <f t="shared" si="124"/>
        <v>0</v>
      </c>
      <c r="EP69" s="186">
        <f t="shared" si="124"/>
        <v>0</v>
      </c>
      <c r="EQ69" s="186">
        <f t="shared" si="124"/>
        <v>0</v>
      </c>
      <c r="ER69" s="186">
        <f t="shared" si="124"/>
        <v>0</v>
      </c>
      <c r="ES69" s="186">
        <f t="shared" si="124"/>
        <v>0</v>
      </c>
      <c r="ET69" s="186">
        <f t="shared" si="124"/>
        <v>0</v>
      </c>
      <c r="EU69" s="186">
        <f t="shared" si="124"/>
        <v>0</v>
      </c>
      <c r="EV69" s="186">
        <f t="shared" si="124"/>
        <v>0</v>
      </c>
      <c r="EW69" s="186">
        <f t="shared" si="124"/>
        <v>30000000</v>
      </c>
      <c r="EX69" s="186">
        <f t="shared" ref="EX69:GZ69" si="125">SUM(EX70:EX72)</f>
        <v>335840000</v>
      </c>
      <c r="EY69" s="186">
        <f t="shared" si="125"/>
        <v>332488000</v>
      </c>
      <c r="EZ69" s="186">
        <f t="shared" si="125"/>
        <v>308680000</v>
      </c>
      <c r="FA69" s="186">
        <f t="shared" si="125"/>
        <v>0</v>
      </c>
      <c r="FB69" s="601">
        <f t="shared" si="125"/>
        <v>0</v>
      </c>
      <c r="FC69" s="186">
        <f t="shared" si="125"/>
        <v>0</v>
      </c>
      <c r="FD69" s="186">
        <f t="shared" si="125"/>
        <v>0</v>
      </c>
      <c r="FE69" s="186">
        <f t="shared" si="125"/>
        <v>0</v>
      </c>
      <c r="FF69" s="186">
        <f t="shared" si="125"/>
        <v>0</v>
      </c>
      <c r="FG69" s="186">
        <f t="shared" si="125"/>
        <v>0</v>
      </c>
      <c r="FH69" s="186">
        <f t="shared" si="125"/>
        <v>100000000</v>
      </c>
      <c r="FI69" s="186">
        <f t="shared" si="125"/>
        <v>100000000</v>
      </c>
      <c r="FJ69" s="186">
        <f t="shared" si="125"/>
        <v>0</v>
      </c>
      <c r="FK69" s="186">
        <f t="shared" si="125"/>
        <v>0</v>
      </c>
      <c r="FL69" s="186">
        <f t="shared" si="125"/>
        <v>15000000</v>
      </c>
      <c r="FM69" s="186">
        <f t="shared" si="125"/>
        <v>258450000</v>
      </c>
      <c r="FN69" s="186">
        <f t="shared" si="125"/>
        <v>244350000</v>
      </c>
      <c r="FO69" s="186">
        <f t="shared" si="125"/>
        <v>200000000</v>
      </c>
      <c r="FP69" s="186">
        <f t="shared" si="125"/>
        <v>0</v>
      </c>
      <c r="FQ69" s="186">
        <f t="shared" si="125"/>
        <v>0</v>
      </c>
      <c r="FR69" s="186">
        <f t="shared" si="125"/>
        <v>0</v>
      </c>
      <c r="FS69" s="186">
        <f t="shared" si="125"/>
        <v>0</v>
      </c>
      <c r="FT69" s="186">
        <f t="shared" si="125"/>
        <v>0</v>
      </c>
      <c r="FU69" s="186">
        <f t="shared" si="125"/>
        <v>0</v>
      </c>
      <c r="FV69" s="186">
        <f t="shared" si="125"/>
        <v>0</v>
      </c>
      <c r="FW69" s="186">
        <f t="shared" si="125"/>
        <v>0</v>
      </c>
      <c r="FX69" s="186">
        <f t="shared" si="125"/>
        <v>0</v>
      </c>
      <c r="FY69" s="186">
        <f t="shared" si="125"/>
        <v>0</v>
      </c>
      <c r="FZ69" s="186">
        <f t="shared" si="125"/>
        <v>0</v>
      </c>
      <c r="GA69" s="186">
        <f t="shared" si="125"/>
        <v>0</v>
      </c>
      <c r="GB69" s="186">
        <f t="shared" si="125"/>
        <v>0</v>
      </c>
      <c r="GC69" s="186">
        <f t="shared" si="125"/>
        <v>0</v>
      </c>
      <c r="GD69" s="186">
        <f t="shared" si="125"/>
        <v>0</v>
      </c>
      <c r="GE69" s="186">
        <f t="shared" si="125"/>
        <v>0</v>
      </c>
      <c r="GF69" s="186">
        <f t="shared" si="125"/>
        <v>0</v>
      </c>
      <c r="GG69" s="186">
        <f t="shared" si="125"/>
        <v>0</v>
      </c>
      <c r="GH69" s="186">
        <f t="shared" si="125"/>
        <v>0</v>
      </c>
      <c r="GI69" s="186">
        <f t="shared" si="125"/>
        <v>0</v>
      </c>
      <c r="GJ69" s="186">
        <f t="shared" si="125"/>
        <v>0</v>
      </c>
      <c r="GK69" s="186">
        <f t="shared" si="125"/>
        <v>0</v>
      </c>
      <c r="GL69" s="186">
        <f t="shared" si="125"/>
        <v>0</v>
      </c>
      <c r="GM69" s="186">
        <f t="shared" si="125"/>
        <v>0</v>
      </c>
      <c r="GN69" s="186">
        <f t="shared" si="125"/>
        <v>0</v>
      </c>
      <c r="GO69" s="186">
        <f t="shared" si="125"/>
        <v>0</v>
      </c>
      <c r="GP69" s="186">
        <f t="shared" si="125"/>
        <v>0</v>
      </c>
      <c r="GQ69" s="186">
        <f t="shared" si="125"/>
        <v>0</v>
      </c>
      <c r="GR69" s="186">
        <f t="shared" si="125"/>
        <v>0</v>
      </c>
      <c r="GS69" s="186">
        <f t="shared" si="125"/>
        <v>0</v>
      </c>
      <c r="GT69" s="186">
        <f t="shared" si="125"/>
        <v>0</v>
      </c>
      <c r="GU69" s="186">
        <f t="shared" si="125"/>
        <v>15000000</v>
      </c>
      <c r="GV69" s="186">
        <f t="shared" si="125"/>
        <v>358450000</v>
      </c>
      <c r="GW69" s="186">
        <f t="shared" si="125"/>
        <v>344350000</v>
      </c>
      <c r="GX69" s="186">
        <f t="shared" si="125"/>
        <v>200000000</v>
      </c>
      <c r="GY69" s="186">
        <f t="shared" si="125"/>
        <v>0</v>
      </c>
      <c r="GZ69" s="186">
        <f t="shared" si="125"/>
        <v>2215000000</v>
      </c>
    </row>
    <row r="70" spans="1:208" ht="177.75" customHeight="1" x14ac:dyDescent="0.2">
      <c r="A70" s="326"/>
      <c r="B70" s="326"/>
      <c r="C70" s="288">
        <v>5</v>
      </c>
      <c r="D70" s="258" t="s">
        <v>120</v>
      </c>
      <c r="E70" s="369" t="s">
        <v>121</v>
      </c>
      <c r="F70" s="369" t="s">
        <v>122</v>
      </c>
      <c r="G70" s="264">
        <v>47</v>
      </c>
      <c r="H70" s="258" t="s">
        <v>194</v>
      </c>
      <c r="I70" s="258" t="s">
        <v>195</v>
      </c>
      <c r="J70" s="263" t="s">
        <v>125</v>
      </c>
      <c r="K70" s="263">
        <v>13</v>
      </c>
      <c r="L70" s="370" t="s">
        <v>73</v>
      </c>
      <c r="M70" s="316">
        <v>0</v>
      </c>
      <c r="N70" s="265">
        <v>48</v>
      </c>
      <c r="O70" s="264">
        <v>12</v>
      </c>
      <c r="P70" s="270">
        <v>12</v>
      </c>
      <c r="Q70" s="264">
        <v>24</v>
      </c>
      <c r="R70" s="268"/>
      <c r="S70" s="300">
        <v>24</v>
      </c>
      <c r="T70" s="264">
        <v>36</v>
      </c>
      <c r="U70" s="264"/>
      <c r="V70" s="270">
        <v>36</v>
      </c>
      <c r="W70" s="264">
        <v>48</v>
      </c>
      <c r="X70" s="264"/>
      <c r="Y70" s="653">
        <v>45</v>
      </c>
      <c r="Z70" s="371">
        <f>BM70/$BM$69</f>
        <v>0.99519230769230771</v>
      </c>
      <c r="AA70" s="264">
        <v>12</v>
      </c>
      <c r="AB70" s="263" t="s">
        <v>74</v>
      </c>
      <c r="AC70" s="60"/>
      <c r="AD70" s="59"/>
      <c r="AE70" s="59"/>
      <c r="AF70" s="59"/>
      <c r="AG70" s="60"/>
      <c r="AH70" s="59"/>
      <c r="AI70" s="59"/>
      <c r="AJ70" s="59"/>
      <c r="AK70" s="60">
        <v>70000000</v>
      </c>
      <c r="AL70" s="59">
        <v>130000000</v>
      </c>
      <c r="AM70" s="59">
        <v>125110000</v>
      </c>
      <c r="AN70" s="59">
        <v>125110000</v>
      </c>
      <c r="AO70" s="60"/>
      <c r="AP70" s="59"/>
      <c r="AQ70" s="59"/>
      <c r="AR70" s="59"/>
      <c r="AS70" s="60"/>
      <c r="AT70" s="59"/>
      <c r="AU70" s="59"/>
      <c r="AV70" s="59"/>
      <c r="AW70" s="60"/>
      <c r="AX70" s="59"/>
      <c r="AY70" s="59"/>
      <c r="AZ70" s="59"/>
      <c r="BA70" s="60"/>
      <c r="BB70" s="59"/>
      <c r="BC70" s="59"/>
      <c r="BD70" s="59"/>
      <c r="BE70" s="60"/>
      <c r="BF70" s="59"/>
      <c r="BG70" s="59"/>
      <c r="BH70" s="59"/>
      <c r="BI70" s="60">
        <v>2000000000</v>
      </c>
      <c r="BJ70" s="59"/>
      <c r="BK70" s="59"/>
      <c r="BL70" s="59"/>
      <c r="BM70" s="60">
        <f>+AC70+AG70+AK70+AO70+AS70+AW70+BA70+BE70+BI70</f>
        <v>2070000000</v>
      </c>
      <c r="BN70" s="59">
        <f t="shared" ref="BN70:BP72" si="126">AD70+AH70+AL70+AP70+AT70+AX70+BB70+BF70+BJ70</f>
        <v>130000000</v>
      </c>
      <c r="BO70" s="59">
        <f t="shared" si="126"/>
        <v>125110000</v>
      </c>
      <c r="BP70" s="59">
        <f t="shared" si="126"/>
        <v>125110000</v>
      </c>
      <c r="BQ70" s="83"/>
      <c r="BR70" s="83"/>
      <c r="BS70" s="83"/>
      <c r="BT70" s="83"/>
      <c r="BU70" s="83"/>
      <c r="BV70" s="83">
        <v>100000000</v>
      </c>
      <c r="BW70" s="83">
        <v>100000000</v>
      </c>
      <c r="BX70" s="83">
        <v>100000000</v>
      </c>
      <c r="BY70" s="83"/>
      <c r="BZ70" s="84">
        <v>78750000</v>
      </c>
      <c r="CA70" s="83">
        <v>254045000</v>
      </c>
      <c r="CB70" s="83">
        <v>208365000</v>
      </c>
      <c r="CC70" s="83">
        <v>208365000</v>
      </c>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1">
        <f t="shared" si="66"/>
        <v>78750000</v>
      </c>
      <c r="DF70" s="81">
        <f t="shared" ref="DF70:DH72" si="127">BR70+BV70+CA70+CF70+CJ70+CN70+CR70+CW70+DB70</f>
        <v>354045000</v>
      </c>
      <c r="DG70" s="81">
        <f t="shared" si="127"/>
        <v>308365000</v>
      </c>
      <c r="DH70" s="81">
        <f t="shared" si="127"/>
        <v>308365000</v>
      </c>
      <c r="DI70" s="81"/>
      <c r="DJ70" s="84"/>
      <c r="DK70" s="65"/>
      <c r="DL70" s="84"/>
      <c r="DM70" s="84"/>
      <c r="DN70" s="84"/>
      <c r="DO70" s="84">
        <v>39680000</v>
      </c>
      <c r="DP70" s="84">
        <v>39680000</v>
      </c>
      <c r="DQ70" s="84">
        <v>15872000</v>
      </c>
      <c r="DR70" s="84"/>
      <c r="DS70" s="84">
        <v>25000000</v>
      </c>
      <c r="DT70" s="84">
        <v>91160000</v>
      </c>
      <c r="DU70" s="84">
        <v>87808000</v>
      </c>
      <c r="DV70" s="84">
        <v>87808000</v>
      </c>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3"/>
      <c r="EU70" s="83"/>
      <c r="EV70" s="83"/>
      <c r="EW70" s="81">
        <f t="shared" ref="EW70:EX72" si="128">DJ70+DN70+DS70+DX70+EB70+EF70+EJ70+EN70+ES70</f>
        <v>25000000</v>
      </c>
      <c r="EX70" s="86">
        <f t="shared" si="128"/>
        <v>130840000</v>
      </c>
      <c r="EY70" s="86">
        <f t="shared" ref="EY70:EZ72" si="129">DL70+DP70+DU70+DZ70+ED70+EH70+EL70+EP70+EU70</f>
        <v>127488000</v>
      </c>
      <c r="EZ70" s="86">
        <f t="shared" si="129"/>
        <v>103680000</v>
      </c>
      <c r="FA70" s="176"/>
      <c r="FB70" s="83"/>
      <c r="FC70" s="84"/>
      <c r="FD70" s="84"/>
      <c r="FE70" s="84"/>
      <c r="FF70" s="140"/>
      <c r="FG70" s="83"/>
      <c r="FH70" s="83">
        <v>100000000</v>
      </c>
      <c r="FI70" s="83">
        <v>100000000</v>
      </c>
      <c r="FJ70" s="83"/>
      <c r="FK70" s="83"/>
      <c r="FL70" s="83">
        <v>13000000</v>
      </c>
      <c r="FM70" s="83">
        <v>54700000</v>
      </c>
      <c r="FN70" s="83">
        <v>40600000</v>
      </c>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1">
        <f>FB70+FG70+FL70+FQ70+FV70+GA70+GF70+GK70+GP70</f>
        <v>13000000</v>
      </c>
      <c r="GV70" s="81">
        <f t="shared" ref="GV70:GY72" si="130">GQ70+GL70+GG70+GB70+FW70+FR70+FM70+FH70+FC70</f>
        <v>154700000</v>
      </c>
      <c r="GW70" s="81">
        <f t="shared" si="130"/>
        <v>140600000</v>
      </c>
      <c r="GX70" s="81">
        <f t="shared" si="130"/>
        <v>0</v>
      </c>
      <c r="GY70" s="673">
        <f t="shared" si="130"/>
        <v>0</v>
      </c>
      <c r="GZ70" s="67">
        <f>BM70+DE70+EW70+GU70</f>
        <v>2186750000</v>
      </c>
    </row>
    <row r="71" spans="1:208" ht="146.25" customHeight="1" x14ac:dyDescent="0.2">
      <c r="A71" s="326"/>
      <c r="B71" s="326"/>
      <c r="C71" s="288">
        <v>6</v>
      </c>
      <c r="D71" s="258" t="s">
        <v>162</v>
      </c>
      <c r="E71" s="265" t="s">
        <v>127</v>
      </c>
      <c r="F71" s="265" t="s">
        <v>128</v>
      </c>
      <c r="G71" s="265">
        <v>48</v>
      </c>
      <c r="H71" s="261" t="s">
        <v>196</v>
      </c>
      <c r="I71" s="258" t="s">
        <v>197</v>
      </c>
      <c r="J71" s="262" t="s">
        <v>125</v>
      </c>
      <c r="K71" s="262">
        <v>13</v>
      </c>
      <c r="L71" s="263" t="s">
        <v>58</v>
      </c>
      <c r="M71" s="264">
        <v>0</v>
      </c>
      <c r="N71" s="264">
        <v>1</v>
      </c>
      <c r="O71" s="265">
        <v>1</v>
      </c>
      <c r="P71" s="266">
        <v>0.5</v>
      </c>
      <c r="Q71" s="264">
        <v>1</v>
      </c>
      <c r="R71" s="268"/>
      <c r="S71" s="286">
        <v>1</v>
      </c>
      <c r="T71" s="264">
        <v>1</v>
      </c>
      <c r="U71" s="264"/>
      <c r="V71" s="270">
        <v>1</v>
      </c>
      <c r="W71" s="264">
        <v>1</v>
      </c>
      <c r="X71" s="264"/>
      <c r="Y71" s="653">
        <v>1</v>
      </c>
      <c r="Z71" s="315">
        <f>BM71/$BM$69</f>
        <v>2.403846153846154E-3</v>
      </c>
      <c r="AA71" s="264">
        <v>8</v>
      </c>
      <c r="AB71" s="263" t="s">
        <v>135</v>
      </c>
      <c r="AC71" s="53"/>
      <c r="AD71" s="54"/>
      <c r="AE71" s="54"/>
      <c r="AF71" s="54"/>
      <c r="AG71" s="53"/>
      <c r="AH71" s="54"/>
      <c r="AI71" s="54"/>
      <c r="AJ71" s="54"/>
      <c r="AK71" s="53">
        <v>5000000</v>
      </c>
      <c r="AL71" s="55">
        <v>55000000</v>
      </c>
      <c r="AM71" s="54">
        <v>5000000</v>
      </c>
      <c r="AN71" s="54">
        <v>5000000</v>
      </c>
      <c r="AO71" s="53"/>
      <c r="AP71" s="54"/>
      <c r="AQ71" s="54"/>
      <c r="AR71" s="54"/>
      <c r="AS71" s="53"/>
      <c r="AT71" s="54"/>
      <c r="AU71" s="54"/>
      <c r="AV71" s="54"/>
      <c r="AW71" s="53"/>
      <c r="AX71" s="54"/>
      <c r="AY71" s="54"/>
      <c r="AZ71" s="54"/>
      <c r="BA71" s="53"/>
      <c r="BB71" s="54"/>
      <c r="BC71" s="54"/>
      <c r="BD71" s="54"/>
      <c r="BE71" s="53"/>
      <c r="BF71" s="54"/>
      <c r="BG71" s="54"/>
      <c r="BH71" s="54"/>
      <c r="BI71" s="53"/>
      <c r="BJ71" s="54"/>
      <c r="BK71" s="54"/>
      <c r="BL71" s="54"/>
      <c r="BM71" s="53">
        <f>+AC71+AG71+AK71+AO71+AS71+AW71+BA71+BE71+BI71</f>
        <v>5000000</v>
      </c>
      <c r="BN71" s="54">
        <f t="shared" si="126"/>
        <v>55000000</v>
      </c>
      <c r="BO71" s="54">
        <f t="shared" si="126"/>
        <v>5000000</v>
      </c>
      <c r="BP71" s="54">
        <f t="shared" si="126"/>
        <v>5000000</v>
      </c>
      <c r="BQ71" s="83"/>
      <c r="BR71" s="83"/>
      <c r="BS71" s="83"/>
      <c r="BT71" s="83"/>
      <c r="BU71" s="83"/>
      <c r="BV71" s="83"/>
      <c r="BW71" s="83"/>
      <c r="BX71" s="83"/>
      <c r="BY71" s="83"/>
      <c r="BZ71" s="84">
        <v>5625000</v>
      </c>
      <c r="CA71" s="83">
        <v>200000000</v>
      </c>
      <c r="CB71" s="83">
        <v>200000000</v>
      </c>
      <c r="CC71" s="83">
        <v>200000000</v>
      </c>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1">
        <f t="shared" si="66"/>
        <v>5625000</v>
      </c>
      <c r="DF71" s="95">
        <f t="shared" si="127"/>
        <v>200000000</v>
      </c>
      <c r="DG71" s="95">
        <f t="shared" si="127"/>
        <v>200000000</v>
      </c>
      <c r="DH71" s="95">
        <f t="shared" si="127"/>
        <v>200000000</v>
      </c>
      <c r="DI71" s="95"/>
      <c r="DJ71" s="84"/>
      <c r="DK71" s="65"/>
      <c r="DL71" s="84"/>
      <c r="DM71" s="84"/>
      <c r="DN71" s="84"/>
      <c r="DO71" s="84">
        <v>36160000</v>
      </c>
      <c r="DP71" s="84">
        <v>36160000</v>
      </c>
      <c r="DQ71" s="84">
        <v>36160000</v>
      </c>
      <c r="DR71" s="84"/>
      <c r="DS71" s="84">
        <v>2500000</v>
      </c>
      <c r="DT71" s="84">
        <v>163840000</v>
      </c>
      <c r="DU71" s="84">
        <v>163840000</v>
      </c>
      <c r="DV71" s="84">
        <v>163840000</v>
      </c>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3"/>
      <c r="EU71" s="83"/>
      <c r="EV71" s="83"/>
      <c r="EW71" s="81">
        <f t="shared" si="128"/>
        <v>2500000</v>
      </c>
      <c r="EX71" s="86">
        <f t="shared" si="128"/>
        <v>200000000</v>
      </c>
      <c r="EY71" s="86">
        <f t="shared" si="129"/>
        <v>200000000</v>
      </c>
      <c r="EZ71" s="86">
        <f t="shared" si="129"/>
        <v>200000000</v>
      </c>
      <c r="FA71" s="176"/>
      <c r="FB71" s="83"/>
      <c r="FC71" s="84"/>
      <c r="FD71" s="84"/>
      <c r="FE71" s="84"/>
      <c r="FF71" s="140"/>
      <c r="FG71" s="83"/>
      <c r="FH71" s="83"/>
      <c r="FI71" s="83"/>
      <c r="FJ71" s="83"/>
      <c r="FK71" s="83"/>
      <c r="FL71" s="83">
        <v>1000000</v>
      </c>
      <c r="FM71" s="83">
        <v>200000000</v>
      </c>
      <c r="FN71" s="83">
        <v>200000000</v>
      </c>
      <c r="FO71" s="83">
        <v>200000000</v>
      </c>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1">
        <f>FB71+FG71+FL71+FQ71+FV71+GA71+GF71+GK71+GP71</f>
        <v>1000000</v>
      </c>
      <c r="GV71" s="81">
        <f t="shared" si="130"/>
        <v>200000000</v>
      </c>
      <c r="GW71" s="81">
        <f t="shared" si="130"/>
        <v>200000000</v>
      </c>
      <c r="GX71" s="81">
        <f t="shared" si="130"/>
        <v>200000000</v>
      </c>
      <c r="GY71" s="673">
        <f t="shared" si="130"/>
        <v>0</v>
      </c>
      <c r="GZ71" s="67">
        <f>BM71+DE71+EW71+GU71</f>
        <v>14125000</v>
      </c>
    </row>
    <row r="72" spans="1:208" ht="92.25" customHeight="1" x14ac:dyDescent="0.2">
      <c r="A72" s="326"/>
      <c r="B72" s="372"/>
      <c r="C72" s="277">
        <v>7</v>
      </c>
      <c r="D72" s="722" t="s">
        <v>150</v>
      </c>
      <c r="E72" s="306" t="s">
        <v>132</v>
      </c>
      <c r="F72" s="353">
        <v>0.27</v>
      </c>
      <c r="G72" s="265">
        <v>49</v>
      </c>
      <c r="H72" s="261" t="s">
        <v>198</v>
      </c>
      <c r="I72" s="258" t="s">
        <v>199</v>
      </c>
      <c r="J72" s="262" t="s">
        <v>125</v>
      </c>
      <c r="K72" s="262">
        <v>13</v>
      </c>
      <c r="L72" s="263" t="s">
        <v>58</v>
      </c>
      <c r="M72" s="264">
        <v>0</v>
      </c>
      <c r="N72" s="264">
        <v>1</v>
      </c>
      <c r="O72" s="265">
        <v>1</v>
      </c>
      <c r="P72" s="266">
        <v>0.5</v>
      </c>
      <c r="Q72" s="264">
        <v>1</v>
      </c>
      <c r="R72" s="268"/>
      <c r="S72" s="286">
        <v>1</v>
      </c>
      <c r="T72" s="264">
        <v>1</v>
      </c>
      <c r="U72" s="264"/>
      <c r="V72" s="270">
        <v>0.8</v>
      </c>
      <c r="W72" s="264">
        <v>1</v>
      </c>
      <c r="X72" s="264"/>
      <c r="Y72" s="653">
        <v>1</v>
      </c>
      <c r="Z72" s="315">
        <f>BM72/$BM$69</f>
        <v>2.403846153846154E-3</v>
      </c>
      <c r="AA72" s="264">
        <v>9</v>
      </c>
      <c r="AB72" s="263" t="s">
        <v>180</v>
      </c>
      <c r="AC72" s="53"/>
      <c r="AD72" s="54"/>
      <c r="AE72" s="54"/>
      <c r="AF72" s="54"/>
      <c r="AG72" s="53"/>
      <c r="AH72" s="54"/>
      <c r="AI72" s="54"/>
      <c r="AJ72" s="54"/>
      <c r="AK72" s="53">
        <v>5000000</v>
      </c>
      <c r="AL72" s="55">
        <v>5000000</v>
      </c>
      <c r="AM72" s="54">
        <v>4950000</v>
      </c>
      <c r="AN72" s="54">
        <v>4950000</v>
      </c>
      <c r="AO72" s="53"/>
      <c r="AP72" s="54"/>
      <c r="AQ72" s="54"/>
      <c r="AR72" s="54"/>
      <c r="AS72" s="53"/>
      <c r="AT72" s="54"/>
      <c r="AU72" s="54"/>
      <c r="AV72" s="54"/>
      <c r="AW72" s="53"/>
      <c r="AX72" s="54"/>
      <c r="AY72" s="54"/>
      <c r="AZ72" s="54"/>
      <c r="BA72" s="53"/>
      <c r="BB72" s="54"/>
      <c r="BC72" s="54"/>
      <c r="BD72" s="54"/>
      <c r="BE72" s="53"/>
      <c r="BF72" s="54"/>
      <c r="BG72" s="54"/>
      <c r="BH72" s="54"/>
      <c r="BI72" s="53"/>
      <c r="BJ72" s="54"/>
      <c r="BK72" s="54"/>
      <c r="BL72" s="54"/>
      <c r="BM72" s="53">
        <f>+AC72+AG72+AK72+AO72+AS72+AW72+BA72+BE72+BI72</f>
        <v>5000000</v>
      </c>
      <c r="BN72" s="54">
        <f t="shared" si="126"/>
        <v>5000000</v>
      </c>
      <c r="BO72" s="54">
        <f t="shared" si="126"/>
        <v>4950000</v>
      </c>
      <c r="BP72" s="54">
        <f t="shared" si="126"/>
        <v>4950000</v>
      </c>
      <c r="BQ72" s="83"/>
      <c r="BR72" s="83"/>
      <c r="BS72" s="83"/>
      <c r="BT72" s="83"/>
      <c r="BU72" s="83"/>
      <c r="BV72" s="83">
        <v>13920000</v>
      </c>
      <c r="BW72" s="83">
        <v>13920000</v>
      </c>
      <c r="BX72" s="83">
        <v>13920000</v>
      </c>
      <c r="BY72" s="83"/>
      <c r="BZ72" s="84">
        <v>5625000</v>
      </c>
      <c r="CA72" s="83">
        <v>11955000</v>
      </c>
      <c r="CB72" s="83">
        <v>11955000</v>
      </c>
      <c r="CC72" s="83">
        <v>11955000</v>
      </c>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1">
        <f t="shared" si="66"/>
        <v>5625000</v>
      </c>
      <c r="DF72" s="95">
        <f t="shared" si="127"/>
        <v>25875000</v>
      </c>
      <c r="DG72" s="95">
        <f t="shared" si="127"/>
        <v>25875000</v>
      </c>
      <c r="DH72" s="95">
        <f t="shared" si="127"/>
        <v>25875000</v>
      </c>
      <c r="DI72" s="95"/>
      <c r="DJ72" s="84"/>
      <c r="DK72" s="65"/>
      <c r="DL72" s="84"/>
      <c r="DM72" s="84"/>
      <c r="DN72" s="84"/>
      <c r="DO72" s="84"/>
      <c r="DP72" s="84"/>
      <c r="DQ72" s="84"/>
      <c r="DR72" s="84"/>
      <c r="DS72" s="84">
        <v>2500000</v>
      </c>
      <c r="DT72" s="84">
        <v>5000000</v>
      </c>
      <c r="DU72" s="84">
        <v>5000000</v>
      </c>
      <c r="DV72" s="84">
        <v>5000000</v>
      </c>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3"/>
      <c r="EU72" s="83"/>
      <c r="EV72" s="83"/>
      <c r="EW72" s="81">
        <f t="shared" si="128"/>
        <v>2500000</v>
      </c>
      <c r="EX72" s="86">
        <f t="shared" si="128"/>
        <v>5000000</v>
      </c>
      <c r="EY72" s="86">
        <f t="shared" si="129"/>
        <v>5000000</v>
      </c>
      <c r="EZ72" s="86">
        <f t="shared" si="129"/>
        <v>5000000</v>
      </c>
      <c r="FA72" s="176"/>
      <c r="FB72" s="83"/>
      <c r="FC72" s="84"/>
      <c r="FD72" s="84"/>
      <c r="FE72" s="84"/>
      <c r="FF72" s="140"/>
      <c r="FG72" s="83"/>
      <c r="FH72" s="83"/>
      <c r="FI72" s="83"/>
      <c r="FJ72" s="83"/>
      <c r="FK72" s="83"/>
      <c r="FL72" s="83">
        <v>1000000</v>
      </c>
      <c r="FM72" s="609">
        <v>3750000</v>
      </c>
      <c r="FN72" s="609">
        <v>3750000</v>
      </c>
      <c r="FO72" s="609">
        <v>0</v>
      </c>
      <c r="FP72" s="609"/>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1">
        <f>FB72+FG72+FL72+FQ72+FV72+GA72+GF72+GK72+GP72</f>
        <v>1000000</v>
      </c>
      <c r="GV72" s="81">
        <f t="shared" si="130"/>
        <v>3750000</v>
      </c>
      <c r="GW72" s="81">
        <f t="shared" si="130"/>
        <v>3750000</v>
      </c>
      <c r="GX72" s="81">
        <f t="shared" si="130"/>
        <v>0</v>
      </c>
      <c r="GY72" s="673">
        <f t="shared" si="130"/>
        <v>0</v>
      </c>
      <c r="GZ72" s="67">
        <f>BM72+DE72+EW72+GU72</f>
        <v>14125000</v>
      </c>
    </row>
    <row r="73" spans="1:208" ht="24.75" customHeight="1" x14ac:dyDescent="0.2">
      <c r="A73" s="326"/>
      <c r="B73" s="234">
        <v>3</v>
      </c>
      <c r="C73" s="324" t="s">
        <v>200</v>
      </c>
      <c r="D73" s="236"/>
      <c r="E73" s="237"/>
      <c r="F73" s="237"/>
      <c r="G73" s="238"/>
      <c r="H73" s="238"/>
      <c r="I73" s="238"/>
      <c r="J73" s="238"/>
      <c r="K73" s="238"/>
      <c r="L73" s="238"/>
      <c r="M73" s="238"/>
      <c r="N73" s="238"/>
      <c r="O73" s="238"/>
      <c r="P73" s="238"/>
      <c r="Q73" s="238"/>
      <c r="R73" s="238"/>
      <c r="S73" s="238"/>
      <c r="T73" s="238"/>
      <c r="U73" s="238"/>
      <c r="V73" s="238"/>
      <c r="W73" s="238"/>
      <c r="X73" s="512"/>
      <c r="Y73" s="241"/>
      <c r="Z73" s="238"/>
      <c r="AA73" s="238"/>
      <c r="AB73" s="238"/>
      <c r="AC73" s="50">
        <f t="shared" ref="AC73:CN73" si="131">AC74+AC77+AC79</f>
        <v>0</v>
      </c>
      <c r="AD73" s="50">
        <f t="shared" si="131"/>
        <v>0</v>
      </c>
      <c r="AE73" s="50">
        <f t="shared" si="131"/>
        <v>0</v>
      </c>
      <c r="AF73" s="50">
        <f t="shared" si="131"/>
        <v>0</v>
      </c>
      <c r="AG73" s="50">
        <f t="shared" si="131"/>
        <v>292360000</v>
      </c>
      <c r="AH73" s="50">
        <f t="shared" si="131"/>
        <v>380765559</v>
      </c>
      <c r="AI73" s="50">
        <f t="shared" si="131"/>
        <v>368770000</v>
      </c>
      <c r="AJ73" s="50">
        <f t="shared" si="131"/>
        <v>368770000</v>
      </c>
      <c r="AK73" s="50">
        <f t="shared" si="131"/>
        <v>203000000</v>
      </c>
      <c r="AL73" s="50">
        <f t="shared" si="131"/>
        <v>345140678</v>
      </c>
      <c r="AM73" s="50">
        <f t="shared" si="131"/>
        <v>307290155</v>
      </c>
      <c r="AN73" s="50">
        <f t="shared" si="131"/>
        <v>307290155</v>
      </c>
      <c r="AO73" s="50">
        <f t="shared" si="131"/>
        <v>0</v>
      </c>
      <c r="AP73" s="50">
        <f t="shared" si="131"/>
        <v>0</v>
      </c>
      <c r="AQ73" s="50">
        <f t="shared" si="131"/>
        <v>0</v>
      </c>
      <c r="AR73" s="50">
        <f t="shared" si="131"/>
        <v>0</v>
      </c>
      <c r="AS73" s="50">
        <f t="shared" si="131"/>
        <v>0</v>
      </c>
      <c r="AT73" s="50">
        <f t="shared" si="131"/>
        <v>0</v>
      </c>
      <c r="AU73" s="50">
        <f t="shared" si="131"/>
        <v>0</v>
      </c>
      <c r="AV73" s="50">
        <f t="shared" si="131"/>
        <v>0</v>
      </c>
      <c r="AW73" s="50">
        <f t="shared" si="131"/>
        <v>0</v>
      </c>
      <c r="AX73" s="50">
        <f t="shared" si="131"/>
        <v>0</v>
      </c>
      <c r="AY73" s="50">
        <f t="shared" si="131"/>
        <v>0</v>
      </c>
      <c r="AZ73" s="50">
        <f t="shared" si="131"/>
        <v>0</v>
      </c>
      <c r="BA73" s="50">
        <f t="shared" si="131"/>
        <v>0</v>
      </c>
      <c r="BB73" s="50">
        <f t="shared" si="131"/>
        <v>0</v>
      </c>
      <c r="BC73" s="50">
        <f t="shared" si="131"/>
        <v>0</v>
      </c>
      <c r="BD73" s="50">
        <f t="shared" si="131"/>
        <v>0</v>
      </c>
      <c r="BE73" s="50">
        <f t="shared" si="131"/>
        <v>0</v>
      </c>
      <c r="BF73" s="50">
        <f t="shared" si="131"/>
        <v>0</v>
      </c>
      <c r="BG73" s="50">
        <f t="shared" si="131"/>
        <v>0</v>
      </c>
      <c r="BH73" s="50">
        <f t="shared" si="131"/>
        <v>0</v>
      </c>
      <c r="BI73" s="50">
        <f t="shared" si="131"/>
        <v>3000000000</v>
      </c>
      <c r="BJ73" s="50">
        <f t="shared" si="131"/>
        <v>0</v>
      </c>
      <c r="BK73" s="50">
        <f t="shared" si="131"/>
        <v>0</v>
      </c>
      <c r="BL73" s="50">
        <f t="shared" si="131"/>
        <v>0</v>
      </c>
      <c r="BM73" s="50">
        <f t="shared" si="131"/>
        <v>3495360000</v>
      </c>
      <c r="BN73" s="50">
        <f t="shared" si="131"/>
        <v>725906237</v>
      </c>
      <c r="BO73" s="50">
        <f t="shared" si="131"/>
        <v>676060155</v>
      </c>
      <c r="BP73" s="50">
        <f t="shared" si="131"/>
        <v>676060155</v>
      </c>
      <c r="BQ73" s="50">
        <f t="shared" si="131"/>
        <v>0</v>
      </c>
      <c r="BR73" s="50">
        <f t="shared" si="131"/>
        <v>0</v>
      </c>
      <c r="BS73" s="50">
        <f t="shared" si="131"/>
        <v>0</v>
      </c>
      <c r="BT73" s="50">
        <f t="shared" si="131"/>
        <v>0</v>
      </c>
      <c r="BU73" s="50">
        <f t="shared" si="131"/>
        <v>386620800</v>
      </c>
      <c r="BV73" s="50">
        <f t="shared" si="131"/>
        <v>442026963</v>
      </c>
      <c r="BW73" s="50">
        <f t="shared" si="131"/>
        <v>442026963</v>
      </c>
      <c r="BX73" s="50">
        <f t="shared" si="131"/>
        <v>442026963</v>
      </c>
      <c r="BY73" s="50">
        <f t="shared" si="131"/>
        <v>0</v>
      </c>
      <c r="BZ73" s="50">
        <f t="shared" si="131"/>
        <v>140000000</v>
      </c>
      <c r="CA73" s="50">
        <f t="shared" si="131"/>
        <v>1223502600</v>
      </c>
      <c r="CB73" s="50">
        <f t="shared" si="131"/>
        <v>1122886600</v>
      </c>
      <c r="CC73" s="50">
        <f t="shared" si="131"/>
        <v>1095519050</v>
      </c>
      <c r="CD73" s="50">
        <f t="shared" si="131"/>
        <v>0</v>
      </c>
      <c r="CE73" s="50">
        <f t="shared" si="131"/>
        <v>0</v>
      </c>
      <c r="CF73" s="50">
        <f t="shared" si="131"/>
        <v>0</v>
      </c>
      <c r="CG73" s="50">
        <f t="shared" si="131"/>
        <v>0</v>
      </c>
      <c r="CH73" s="50">
        <f t="shared" si="131"/>
        <v>0</v>
      </c>
      <c r="CI73" s="50">
        <f t="shared" si="131"/>
        <v>0</v>
      </c>
      <c r="CJ73" s="50">
        <f t="shared" si="131"/>
        <v>0</v>
      </c>
      <c r="CK73" s="50">
        <f t="shared" si="131"/>
        <v>0</v>
      </c>
      <c r="CL73" s="50">
        <f t="shared" si="131"/>
        <v>0</v>
      </c>
      <c r="CM73" s="50">
        <f t="shared" si="131"/>
        <v>0</v>
      </c>
      <c r="CN73" s="50">
        <f t="shared" si="131"/>
        <v>0</v>
      </c>
      <c r="CO73" s="50">
        <f t="shared" ref="CO73:EV73" si="132">CO74+CO77+CO79</f>
        <v>0</v>
      </c>
      <c r="CP73" s="50">
        <f t="shared" si="132"/>
        <v>0</v>
      </c>
      <c r="CQ73" s="50">
        <f t="shared" si="132"/>
        <v>0</v>
      </c>
      <c r="CR73" s="50">
        <f t="shared" si="132"/>
        <v>0</v>
      </c>
      <c r="CS73" s="50">
        <f t="shared" si="132"/>
        <v>0</v>
      </c>
      <c r="CT73" s="50">
        <f t="shared" si="132"/>
        <v>0</v>
      </c>
      <c r="CU73" s="50">
        <f t="shared" si="132"/>
        <v>0</v>
      </c>
      <c r="CV73" s="50">
        <f t="shared" si="132"/>
        <v>0</v>
      </c>
      <c r="CW73" s="50">
        <f t="shared" si="132"/>
        <v>0</v>
      </c>
      <c r="CX73" s="50">
        <f t="shared" si="132"/>
        <v>0</v>
      </c>
      <c r="CY73" s="50">
        <f t="shared" si="132"/>
        <v>0</v>
      </c>
      <c r="CZ73" s="50">
        <f t="shared" si="132"/>
        <v>0</v>
      </c>
      <c r="DA73" s="50">
        <f t="shared" si="132"/>
        <v>0</v>
      </c>
      <c r="DB73" s="50">
        <f t="shared" si="132"/>
        <v>0</v>
      </c>
      <c r="DC73" s="50">
        <f t="shared" si="132"/>
        <v>0</v>
      </c>
      <c r="DD73" s="50">
        <f t="shared" si="132"/>
        <v>0</v>
      </c>
      <c r="DE73" s="50">
        <f t="shared" si="132"/>
        <v>526620800</v>
      </c>
      <c r="DF73" s="50">
        <f t="shared" si="132"/>
        <v>1665529563</v>
      </c>
      <c r="DG73" s="50">
        <f t="shared" si="132"/>
        <v>1564913563</v>
      </c>
      <c r="DH73" s="50">
        <f t="shared" si="132"/>
        <v>1537546013</v>
      </c>
      <c r="DI73" s="50">
        <f t="shared" si="132"/>
        <v>0</v>
      </c>
      <c r="DJ73" s="50">
        <f t="shared" si="132"/>
        <v>0</v>
      </c>
      <c r="DK73" s="50">
        <f t="shared" si="132"/>
        <v>0</v>
      </c>
      <c r="DL73" s="50">
        <f t="shared" si="132"/>
        <v>0</v>
      </c>
      <c r="DM73" s="50">
        <f t="shared" si="132"/>
        <v>0</v>
      </c>
      <c r="DN73" s="50">
        <f t="shared" si="132"/>
        <v>0</v>
      </c>
      <c r="DO73" s="50">
        <f t="shared" si="132"/>
        <v>363353698</v>
      </c>
      <c r="DP73" s="50">
        <f t="shared" si="132"/>
        <v>327370550.65999997</v>
      </c>
      <c r="DQ73" s="50">
        <f t="shared" si="132"/>
        <v>312745194.65999997</v>
      </c>
      <c r="DR73" s="50">
        <f t="shared" si="132"/>
        <v>0</v>
      </c>
      <c r="DS73" s="50">
        <f t="shared" si="132"/>
        <v>448219424</v>
      </c>
      <c r="DT73" s="50">
        <f t="shared" si="132"/>
        <v>1132000000</v>
      </c>
      <c r="DU73" s="50">
        <f t="shared" si="132"/>
        <v>944705000</v>
      </c>
      <c r="DV73" s="50">
        <f t="shared" si="132"/>
        <v>944705000</v>
      </c>
      <c r="DW73" s="50">
        <f t="shared" si="132"/>
        <v>0</v>
      </c>
      <c r="DX73" s="50">
        <f t="shared" si="132"/>
        <v>0</v>
      </c>
      <c r="DY73" s="50">
        <f t="shared" si="132"/>
        <v>0</v>
      </c>
      <c r="DZ73" s="50">
        <f t="shared" si="132"/>
        <v>0</v>
      </c>
      <c r="EA73" s="50">
        <f t="shared" si="132"/>
        <v>0</v>
      </c>
      <c r="EB73" s="50">
        <f t="shared" si="132"/>
        <v>0</v>
      </c>
      <c r="EC73" s="50">
        <f t="shared" si="132"/>
        <v>0</v>
      </c>
      <c r="ED73" s="50">
        <f t="shared" si="132"/>
        <v>0</v>
      </c>
      <c r="EE73" s="50">
        <f t="shared" si="132"/>
        <v>0</v>
      </c>
      <c r="EF73" s="50">
        <f t="shared" si="132"/>
        <v>0</v>
      </c>
      <c r="EG73" s="50">
        <f t="shared" si="132"/>
        <v>0</v>
      </c>
      <c r="EH73" s="50">
        <f t="shared" si="132"/>
        <v>0</v>
      </c>
      <c r="EI73" s="50">
        <f t="shared" si="132"/>
        <v>0</v>
      </c>
      <c r="EJ73" s="50">
        <f t="shared" si="132"/>
        <v>0</v>
      </c>
      <c r="EK73" s="50">
        <f t="shared" si="132"/>
        <v>0</v>
      </c>
      <c r="EL73" s="50">
        <f t="shared" si="132"/>
        <v>0</v>
      </c>
      <c r="EM73" s="50">
        <f t="shared" si="132"/>
        <v>0</v>
      </c>
      <c r="EN73" s="50">
        <f t="shared" si="132"/>
        <v>0</v>
      </c>
      <c r="EO73" s="50">
        <f t="shared" si="132"/>
        <v>0</v>
      </c>
      <c r="EP73" s="50">
        <f t="shared" si="132"/>
        <v>0</v>
      </c>
      <c r="EQ73" s="50">
        <f t="shared" si="132"/>
        <v>0</v>
      </c>
      <c r="ER73" s="50">
        <f t="shared" si="132"/>
        <v>0</v>
      </c>
      <c r="ES73" s="50">
        <f t="shared" si="132"/>
        <v>0</v>
      </c>
      <c r="ET73" s="50">
        <f t="shared" si="132"/>
        <v>0</v>
      </c>
      <c r="EU73" s="50">
        <f t="shared" si="132"/>
        <v>0</v>
      </c>
      <c r="EV73" s="50">
        <f t="shared" si="132"/>
        <v>0</v>
      </c>
      <c r="EW73" s="50">
        <f t="shared" ref="EW73" si="133">EW74+EW77+EW79</f>
        <v>448219424</v>
      </c>
      <c r="EX73" s="50">
        <f>EX74+EX77+EX79</f>
        <v>1495353698</v>
      </c>
      <c r="EY73" s="50">
        <f t="shared" ref="EY73:GZ73" si="134">EY74+EY77+EY79</f>
        <v>1272075550.6599998</v>
      </c>
      <c r="EZ73" s="50">
        <f t="shared" si="134"/>
        <v>1257450194.6599998</v>
      </c>
      <c r="FA73" s="50">
        <f t="shared" si="134"/>
        <v>0</v>
      </c>
      <c r="FB73" s="50">
        <f t="shared" si="134"/>
        <v>0</v>
      </c>
      <c r="FC73" s="50">
        <f t="shared" si="134"/>
        <v>0</v>
      </c>
      <c r="FD73" s="50">
        <f t="shared" si="134"/>
        <v>0</v>
      </c>
      <c r="FE73" s="50">
        <f t="shared" si="134"/>
        <v>0</v>
      </c>
      <c r="FF73" s="50">
        <f t="shared" si="134"/>
        <v>0</v>
      </c>
      <c r="FG73" s="50">
        <f t="shared" si="134"/>
        <v>0</v>
      </c>
      <c r="FH73" s="50">
        <f t="shared" si="134"/>
        <v>601965511</v>
      </c>
      <c r="FI73" s="50">
        <f t="shared" si="134"/>
        <v>456000000</v>
      </c>
      <c r="FJ73" s="50">
        <f t="shared" si="134"/>
        <v>436001389</v>
      </c>
      <c r="FK73" s="50">
        <f t="shared" si="134"/>
        <v>14625356</v>
      </c>
      <c r="FL73" s="50">
        <f t="shared" si="134"/>
        <v>440166007</v>
      </c>
      <c r="FM73" s="50">
        <f t="shared" si="134"/>
        <v>1098214879</v>
      </c>
      <c r="FN73" s="50">
        <f t="shared" si="134"/>
        <v>720112000</v>
      </c>
      <c r="FO73" s="50">
        <f t="shared" si="134"/>
        <v>360976611</v>
      </c>
      <c r="FP73" s="50">
        <f t="shared" si="134"/>
        <v>0</v>
      </c>
      <c r="FQ73" s="50">
        <f t="shared" si="134"/>
        <v>0</v>
      </c>
      <c r="FR73" s="50">
        <f t="shared" si="134"/>
        <v>0</v>
      </c>
      <c r="FS73" s="50">
        <f t="shared" si="134"/>
        <v>0</v>
      </c>
      <c r="FT73" s="50">
        <f t="shared" si="134"/>
        <v>0</v>
      </c>
      <c r="FU73" s="50">
        <f t="shared" si="134"/>
        <v>0</v>
      </c>
      <c r="FV73" s="50">
        <f t="shared" si="134"/>
        <v>0</v>
      </c>
      <c r="FW73" s="50">
        <f t="shared" si="134"/>
        <v>0</v>
      </c>
      <c r="FX73" s="50">
        <f t="shared" si="134"/>
        <v>0</v>
      </c>
      <c r="FY73" s="50">
        <f t="shared" si="134"/>
        <v>0</v>
      </c>
      <c r="FZ73" s="50">
        <f t="shared" si="134"/>
        <v>0</v>
      </c>
      <c r="GA73" s="50">
        <f t="shared" si="134"/>
        <v>0</v>
      </c>
      <c r="GB73" s="50">
        <f t="shared" si="134"/>
        <v>0</v>
      </c>
      <c r="GC73" s="50">
        <f t="shared" si="134"/>
        <v>0</v>
      </c>
      <c r="GD73" s="50">
        <f t="shared" si="134"/>
        <v>0</v>
      </c>
      <c r="GE73" s="50">
        <f t="shared" si="134"/>
        <v>0</v>
      </c>
      <c r="GF73" s="50">
        <f t="shared" si="134"/>
        <v>0</v>
      </c>
      <c r="GG73" s="50">
        <f t="shared" si="134"/>
        <v>0</v>
      </c>
      <c r="GH73" s="50">
        <f t="shared" si="134"/>
        <v>0</v>
      </c>
      <c r="GI73" s="50">
        <f t="shared" si="134"/>
        <v>0</v>
      </c>
      <c r="GJ73" s="50">
        <f t="shared" si="134"/>
        <v>0</v>
      </c>
      <c r="GK73" s="50">
        <f t="shared" si="134"/>
        <v>0</v>
      </c>
      <c r="GL73" s="50">
        <f t="shared" si="134"/>
        <v>0</v>
      </c>
      <c r="GM73" s="50">
        <f t="shared" si="134"/>
        <v>0</v>
      </c>
      <c r="GN73" s="50">
        <f t="shared" si="134"/>
        <v>0</v>
      </c>
      <c r="GO73" s="50">
        <f t="shared" si="134"/>
        <v>0</v>
      </c>
      <c r="GP73" s="50">
        <f t="shared" si="134"/>
        <v>0</v>
      </c>
      <c r="GQ73" s="50">
        <f t="shared" si="134"/>
        <v>0</v>
      </c>
      <c r="GR73" s="50">
        <f t="shared" si="134"/>
        <v>0</v>
      </c>
      <c r="GS73" s="50">
        <f t="shared" si="134"/>
        <v>0</v>
      </c>
      <c r="GT73" s="50">
        <f t="shared" si="134"/>
        <v>0</v>
      </c>
      <c r="GU73" s="50">
        <f t="shared" si="134"/>
        <v>440166007</v>
      </c>
      <c r="GV73" s="50">
        <f t="shared" si="134"/>
        <v>1700180390</v>
      </c>
      <c r="GW73" s="50">
        <f t="shared" si="134"/>
        <v>1176112000</v>
      </c>
      <c r="GX73" s="50">
        <f t="shared" si="134"/>
        <v>796978000</v>
      </c>
      <c r="GY73" s="50">
        <f t="shared" si="134"/>
        <v>14625356</v>
      </c>
      <c r="GZ73" s="50">
        <f t="shared" si="134"/>
        <v>4910366231</v>
      </c>
    </row>
    <row r="74" spans="1:208" ht="24.75" customHeight="1" x14ac:dyDescent="0.2">
      <c r="A74" s="326"/>
      <c r="B74" s="993"/>
      <c r="C74" s="246">
        <v>11</v>
      </c>
      <c r="D74" s="247" t="s">
        <v>201</v>
      </c>
      <c r="E74" s="294"/>
      <c r="F74" s="250"/>
      <c r="G74" s="249"/>
      <c r="H74" s="249"/>
      <c r="I74" s="249"/>
      <c r="J74" s="249"/>
      <c r="K74" s="249"/>
      <c r="L74" s="249"/>
      <c r="M74" s="249"/>
      <c r="N74" s="249"/>
      <c r="O74" s="249"/>
      <c r="P74" s="249"/>
      <c r="Q74" s="249"/>
      <c r="R74" s="249"/>
      <c r="S74" s="249"/>
      <c r="T74" s="249"/>
      <c r="U74" s="249"/>
      <c r="V74" s="249"/>
      <c r="W74" s="249"/>
      <c r="X74" s="663"/>
      <c r="Y74" s="296"/>
      <c r="Z74" s="249"/>
      <c r="AA74" s="249"/>
      <c r="AB74" s="249"/>
      <c r="AC74" s="51">
        <f t="shared" ref="AC74:BL74" si="135">SUM(AC75:AC76)</f>
        <v>0</v>
      </c>
      <c r="AD74" s="51">
        <f t="shared" si="135"/>
        <v>0</v>
      </c>
      <c r="AE74" s="51">
        <f t="shared" si="135"/>
        <v>0</v>
      </c>
      <c r="AF74" s="51">
        <f t="shared" si="135"/>
        <v>0</v>
      </c>
      <c r="AG74" s="51">
        <f t="shared" si="135"/>
        <v>0</v>
      </c>
      <c r="AH74" s="51">
        <f t="shared" si="135"/>
        <v>20000000</v>
      </c>
      <c r="AI74" s="51">
        <f t="shared" si="135"/>
        <v>13410000</v>
      </c>
      <c r="AJ74" s="51">
        <f t="shared" si="135"/>
        <v>13410000</v>
      </c>
      <c r="AK74" s="51">
        <f t="shared" si="135"/>
        <v>40000000</v>
      </c>
      <c r="AL74" s="51">
        <f t="shared" si="135"/>
        <v>40000000</v>
      </c>
      <c r="AM74" s="51">
        <f t="shared" si="135"/>
        <v>38916000</v>
      </c>
      <c r="AN74" s="51">
        <f t="shared" si="135"/>
        <v>38916000</v>
      </c>
      <c r="AO74" s="51">
        <f t="shared" si="135"/>
        <v>0</v>
      </c>
      <c r="AP74" s="51">
        <f t="shared" si="135"/>
        <v>0</v>
      </c>
      <c r="AQ74" s="51">
        <f t="shared" si="135"/>
        <v>0</v>
      </c>
      <c r="AR74" s="51">
        <f t="shared" si="135"/>
        <v>0</v>
      </c>
      <c r="AS74" s="51">
        <f t="shared" si="135"/>
        <v>0</v>
      </c>
      <c r="AT74" s="51">
        <f t="shared" si="135"/>
        <v>0</v>
      </c>
      <c r="AU74" s="51">
        <f t="shared" si="135"/>
        <v>0</v>
      </c>
      <c r="AV74" s="51">
        <f t="shared" si="135"/>
        <v>0</v>
      </c>
      <c r="AW74" s="51">
        <f t="shared" si="135"/>
        <v>0</v>
      </c>
      <c r="AX74" s="51">
        <f t="shared" si="135"/>
        <v>0</v>
      </c>
      <c r="AY74" s="51">
        <f t="shared" si="135"/>
        <v>0</v>
      </c>
      <c r="AZ74" s="51">
        <f t="shared" si="135"/>
        <v>0</v>
      </c>
      <c r="BA74" s="51">
        <f t="shared" si="135"/>
        <v>0</v>
      </c>
      <c r="BB74" s="51">
        <f t="shared" si="135"/>
        <v>0</v>
      </c>
      <c r="BC74" s="51">
        <f t="shared" si="135"/>
        <v>0</v>
      </c>
      <c r="BD74" s="51">
        <f t="shared" si="135"/>
        <v>0</v>
      </c>
      <c r="BE74" s="51">
        <f t="shared" si="135"/>
        <v>0</v>
      </c>
      <c r="BF74" s="51">
        <f t="shared" si="135"/>
        <v>0</v>
      </c>
      <c r="BG74" s="51">
        <f t="shared" si="135"/>
        <v>0</v>
      </c>
      <c r="BH74" s="51">
        <f t="shared" si="135"/>
        <v>0</v>
      </c>
      <c r="BI74" s="51">
        <f t="shared" si="135"/>
        <v>1000000000</v>
      </c>
      <c r="BJ74" s="51">
        <f t="shared" si="135"/>
        <v>0</v>
      </c>
      <c r="BK74" s="51">
        <f t="shared" si="135"/>
        <v>0</v>
      </c>
      <c r="BL74" s="51">
        <f t="shared" si="135"/>
        <v>0</v>
      </c>
      <c r="BM74" s="51">
        <f t="shared" ref="BM74:DX74" si="136">SUM(BM75:BM76)</f>
        <v>1040000000</v>
      </c>
      <c r="BN74" s="51">
        <f t="shared" si="136"/>
        <v>60000000</v>
      </c>
      <c r="BO74" s="51">
        <f t="shared" si="136"/>
        <v>52326000</v>
      </c>
      <c r="BP74" s="51">
        <f t="shared" si="136"/>
        <v>52326000</v>
      </c>
      <c r="BQ74" s="51">
        <f t="shared" si="136"/>
        <v>0</v>
      </c>
      <c r="BR74" s="51">
        <f t="shared" si="136"/>
        <v>0</v>
      </c>
      <c r="BS74" s="51">
        <f t="shared" si="136"/>
        <v>0</v>
      </c>
      <c r="BT74" s="51">
        <f t="shared" si="136"/>
        <v>0</v>
      </c>
      <c r="BU74" s="51">
        <f t="shared" si="136"/>
        <v>0</v>
      </c>
      <c r="BV74" s="51">
        <f t="shared" si="136"/>
        <v>148240000</v>
      </c>
      <c r="BW74" s="51">
        <f t="shared" si="136"/>
        <v>148240000</v>
      </c>
      <c r="BX74" s="51">
        <f t="shared" si="136"/>
        <v>148240000</v>
      </c>
      <c r="BY74" s="51">
        <f t="shared" si="136"/>
        <v>0</v>
      </c>
      <c r="BZ74" s="51">
        <f t="shared" si="136"/>
        <v>50000000</v>
      </c>
      <c r="CA74" s="51">
        <f t="shared" si="136"/>
        <v>181000000</v>
      </c>
      <c r="CB74" s="51">
        <f t="shared" si="136"/>
        <v>128384000</v>
      </c>
      <c r="CC74" s="51">
        <f t="shared" si="136"/>
        <v>125936450</v>
      </c>
      <c r="CD74" s="51">
        <f t="shared" si="136"/>
        <v>0</v>
      </c>
      <c r="CE74" s="51">
        <f t="shared" si="136"/>
        <v>0</v>
      </c>
      <c r="CF74" s="51">
        <f t="shared" si="136"/>
        <v>0</v>
      </c>
      <c r="CG74" s="51">
        <f t="shared" si="136"/>
        <v>0</v>
      </c>
      <c r="CH74" s="51">
        <f t="shared" si="136"/>
        <v>0</v>
      </c>
      <c r="CI74" s="51">
        <f t="shared" si="136"/>
        <v>0</v>
      </c>
      <c r="CJ74" s="51">
        <f t="shared" si="136"/>
        <v>0</v>
      </c>
      <c r="CK74" s="51">
        <f t="shared" si="136"/>
        <v>0</v>
      </c>
      <c r="CL74" s="51">
        <f t="shared" si="136"/>
        <v>0</v>
      </c>
      <c r="CM74" s="51">
        <f t="shared" si="136"/>
        <v>0</v>
      </c>
      <c r="CN74" s="51">
        <f t="shared" si="136"/>
        <v>0</v>
      </c>
      <c r="CO74" s="51">
        <f t="shared" si="136"/>
        <v>0</v>
      </c>
      <c r="CP74" s="51">
        <f t="shared" si="136"/>
        <v>0</v>
      </c>
      <c r="CQ74" s="51">
        <f t="shared" si="136"/>
        <v>0</v>
      </c>
      <c r="CR74" s="51">
        <f t="shared" si="136"/>
        <v>0</v>
      </c>
      <c r="CS74" s="51">
        <f t="shared" si="136"/>
        <v>0</v>
      </c>
      <c r="CT74" s="51">
        <f t="shared" si="136"/>
        <v>0</v>
      </c>
      <c r="CU74" s="51">
        <f t="shared" si="136"/>
        <v>0</v>
      </c>
      <c r="CV74" s="51">
        <f t="shared" si="136"/>
        <v>0</v>
      </c>
      <c r="CW74" s="51">
        <f t="shared" si="136"/>
        <v>0</v>
      </c>
      <c r="CX74" s="51">
        <f t="shared" si="136"/>
        <v>0</v>
      </c>
      <c r="CY74" s="51">
        <f t="shared" si="136"/>
        <v>0</v>
      </c>
      <c r="CZ74" s="51">
        <f t="shared" si="136"/>
        <v>0</v>
      </c>
      <c r="DA74" s="51">
        <f t="shared" si="136"/>
        <v>0</v>
      </c>
      <c r="DB74" s="51">
        <f t="shared" si="136"/>
        <v>0</v>
      </c>
      <c r="DC74" s="51">
        <f t="shared" si="136"/>
        <v>0</v>
      </c>
      <c r="DD74" s="51">
        <f t="shared" si="136"/>
        <v>0</v>
      </c>
      <c r="DE74" s="51">
        <f t="shared" si="136"/>
        <v>50000000</v>
      </c>
      <c r="DF74" s="51">
        <f t="shared" si="136"/>
        <v>329240000</v>
      </c>
      <c r="DG74" s="51">
        <f t="shared" si="136"/>
        <v>276624000</v>
      </c>
      <c r="DH74" s="51">
        <f t="shared" si="136"/>
        <v>274176450</v>
      </c>
      <c r="DI74" s="51">
        <f t="shared" si="136"/>
        <v>0</v>
      </c>
      <c r="DJ74" s="51">
        <f t="shared" si="136"/>
        <v>0</v>
      </c>
      <c r="DK74" s="51">
        <f t="shared" si="136"/>
        <v>0</v>
      </c>
      <c r="DL74" s="51">
        <f t="shared" si="136"/>
        <v>0</v>
      </c>
      <c r="DM74" s="51">
        <f t="shared" si="136"/>
        <v>0</v>
      </c>
      <c r="DN74" s="51">
        <f t="shared" si="136"/>
        <v>0</v>
      </c>
      <c r="DO74" s="51">
        <f t="shared" si="136"/>
        <v>0</v>
      </c>
      <c r="DP74" s="51">
        <f t="shared" si="136"/>
        <v>0</v>
      </c>
      <c r="DQ74" s="51">
        <f t="shared" si="136"/>
        <v>0</v>
      </c>
      <c r="DR74" s="51">
        <f t="shared" si="136"/>
        <v>0</v>
      </c>
      <c r="DS74" s="51">
        <f t="shared" si="136"/>
        <v>20000000</v>
      </c>
      <c r="DT74" s="51">
        <f t="shared" si="136"/>
        <v>150000000</v>
      </c>
      <c r="DU74" s="51">
        <f t="shared" si="136"/>
        <v>135656000</v>
      </c>
      <c r="DV74" s="51">
        <f t="shared" si="136"/>
        <v>135656000</v>
      </c>
      <c r="DW74" s="51">
        <f t="shared" si="136"/>
        <v>0</v>
      </c>
      <c r="DX74" s="51">
        <f t="shared" si="136"/>
        <v>0</v>
      </c>
      <c r="DY74" s="51">
        <f t="shared" ref="DY74:EW74" si="137">SUM(DY75:DY76)</f>
        <v>0</v>
      </c>
      <c r="DZ74" s="51">
        <f t="shared" si="137"/>
        <v>0</v>
      </c>
      <c r="EA74" s="51">
        <f t="shared" si="137"/>
        <v>0</v>
      </c>
      <c r="EB74" s="51">
        <f t="shared" si="137"/>
        <v>0</v>
      </c>
      <c r="EC74" s="51">
        <f t="shared" si="137"/>
        <v>0</v>
      </c>
      <c r="ED74" s="51">
        <f t="shared" si="137"/>
        <v>0</v>
      </c>
      <c r="EE74" s="51">
        <f t="shared" si="137"/>
        <v>0</v>
      </c>
      <c r="EF74" s="51">
        <f t="shared" si="137"/>
        <v>0</v>
      </c>
      <c r="EG74" s="51">
        <f t="shared" si="137"/>
        <v>0</v>
      </c>
      <c r="EH74" s="51">
        <f t="shared" si="137"/>
        <v>0</v>
      </c>
      <c r="EI74" s="51">
        <f t="shared" si="137"/>
        <v>0</v>
      </c>
      <c r="EJ74" s="51">
        <f t="shared" si="137"/>
        <v>0</v>
      </c>
      <c r="EK74" s="51">
        <f t="shared" si="137"/>
        <v>0</v>
      </c>
      <c r="EL74" s="51">
        <f t="shared" si="137"/>
        <v>0</v>
      </c>
      <c r="EM74" s="51">
        <f t="shared" si="137"/>
        <v>0</v>
      </c>
      <c r="EN74" s="51">
        <f t="shared" si="137"/>
        <v>0</v>
      </c>
      <c r="EO74" s="51">
        <f t="shared" si="137"/>
        <v>0</v>
      </c>
      <c r="EP74" s="51">
        <f t="shared" si="137"/>
        <v>0</v>
      </c>
      <c r="EQ74" s="51">
        <f t="shared" si="137"/>
        <v>0</v>
      </c>
      <c r="ER74" s="51">
        <f t="shared" si="137"/>
        <v>0</v>
      </c>
      <c r="ES74" s="51">
        <f t="shared" si="137"/>
        <v>0</v>
      </c>
      <c r="ET74" s="51">
        <f t="shared" si="137"/>
        <v>0</v>
      </c>
      <c r="EU74" s="51">
        <f t="shared" si="137"/>
        <v>0</v>
      </c>
      <c r="EV74" s="51">
        <f t="shared" si="137"/>
        <v>0</v>
      </c>
      <c r="EW74" s="51">
        <f t="shared" si="137"/>
        <v>20000000</v>
      </c>
      <c r="EX74" s="51">
        <f t="shared" ref="EX74:GZ74" si="138">SUM(EX75:EX76)</f>
        <v>150000000</v>
      </c>
      <c r="EY74" s="51">
        <f t="shared" si="138"/>
        <v>135656000</v>
      </c>
      <c r="EZ74" s="51">
        <f t="shared" si="138"/>
        <v>135656000</v>
      </c>
      <c r="FA74" s="51">
        <f t="shared" si="138"/>
        <v>0</v>
      </c>
      <c r="FB74" s="602">
        <f t="shared" si="138"/>
        <v>0</v>
      </c>
      <c r="FC74" s="51">
        <f t="shared" si="138"/>
        <v>0</v>
      </c>
      <c r="FD74" s="51">
        <f t="shared" si="138"/>
        <v>0</v>
      </c>
      <c r="FE74" s="51">
        <f t="shared" si="138"/>
        <v>0</v>
      </c>
      <c r="FF74" s="51">
        <f t="shared" si="138"/>
        <v>0</v>
      </c>
      <c r="FG74" s="51">
        <f t="shared" si="138"/>
        <v>0</v>
      </c>
      <c r="FH74" s="51">
        <f t="shared" si="138"/>
        <v>0</v>
      </c>
      <c r="FI74" s="51">
        <f t="shared" si="138"/>
        <v>0</v>
      </c>
      <c r="FJ74" s="51">
        <f t="shared" si="138"/>
        <v>0</v>
      </c>
      <c r="FK74" s="51">
        <f t="shared" si="138"/>
        <v>0</v>
      </c>
      <c r="FL74" s="51">
        <f t="shared" si="138"/>
        <v>10000000</v>
      </c>
      <c r="FM74" s="51">
        <f t="shared" si="138"/>
        <v>149050000</v>
      </c>
      <c r="FN74" s="51">
        <f t="shared" si="138"/>
        <v>116780000</v>
      </c>
      <c r="FO74" s="51">
        <f t="shared" si="138"/>
        <v>70286000</v>
      </c>
      <c r="FP74" s="51">
        <f t="shared" si="138"/>
        <v>0</v>
      </c>
      <c r="FQ74" s="51">
        <f t="shared" si="138"/>
        <v>0</v>
      </c>
      <c r="FR74" s="51">
        <f t="shared" si="138"/>
        <v>0</v>
      </c>
      <c r="FS74" s="51">
        <f t="shared" si="138"/>
        <v>0</v>
      </c>
      <c r="FT74" s="51">
        <f t="shared" si="138"/>
        <v>0</v>
      </c>
      <c r="FU74" s="51">
        <f t="shared" si="138"/>
        <v>0</v>
      </c>
      <c r="FV74" s="51">
        <f t="shared" si="138"/>
        <v>0</v>
      </c>
      <c r="FW74" s="51">
        <f t="shared" si="138"/>
        <v>0</v>
      </c>
      <c r="FX74" s="51">
        <f t="shared" si="138"/>
        <v>0</v>
      </c>
      <c r="FY74" s="51">
        <f t="shared" si="138"/>
        <v>0</v>
      </c>
      <c r="FZ74" s="51">
        <f t="shared" si="138"/>
        <v>0</v>
      </c>
      <c r="GA74" s="51">
        <f t="shared" si="138"/>
        <v>0</v>
      </c>
      <c r="GB74" s="51">
        <f t="shared" si="138"/>
        <v>0</v>
      </c>
      <c r="GC74" s="51">
        <f t="shared" si="138"/>
        <v>0</v>
      </c>
      <c r="GD74" s="51">
        <f t="shared" si="138"/>
        <v>0</v>
      </c>
      <c r="GE74" s="51">
        <f t="shared" si="138"/>
        <v>0</v>
      </c>
      <c r="GF74" s="51">
        <f t="shared" si="138"/>
        <v>0</v>
      </c>
      <c r="GG74" s="51">
        <f t="shared" si="138"/>
        <v>0</v>
      </c>
      <c r="GH74" s="51">
        <f t="shared" si="138"/>
        <v>0</v>
      </c>
      <c r="GI74" s="51">
        <f t="shared" si="138"/>
        <v>0</v>
      </c>
      <c r="GJ74" s="51">
        <f t="shared" si="138"/>
        <v>0</v>
      </c>
      <c r="GK74" s="51">
        <f t="shared" si="138"/>
        <v>0</v>
      </c>
      <c r="GL74" s="51">
        <f t="shared" si="138"/>
        <v>0</v>
      </c>
      <c r="GM74" s="51">
        <f t="shared" si="138"/>
        <v>0</v>
      </c>
      <c r="GN74" s="51">
        <f t="shared" si="138"/>
        <v>0</v>
      </c>
      <c r="GO74" s="51">
        <f t="shared" si="138"/>
        <v>0</v>
      </c>
      <c r="GP74" s="51">
        <f t="shared" si="138"/>
        <v>0</v>
      </c>
      <c r="GQ74" s="51">
        <f t="shared" si="138"/>
        <v>0</v>
      </c>
      <c r="GR74" s="51">
        <f t="shared" si="138"/>
        <v>0</v>
      </c>
      <c r="GS74" s="51">
        <f t="shared" si="138"/>
        <v>0</v>
      </c>
      <c r="GT74" s="51">
        <f t="shared" si="138"/>
        <v>0</v>
      </c>
      <c r="GU74" s="51">
        <f t="shared" si="138"/>
        <v>10000000</v>
      </c>
      <c r="GV74" s="51">
        <f t="shared" si="138"/>
        <v>149050000</v>
      </c>
      <c r="GW74" s="51">
        <f t="shared" si="138"/>
        <v>116780000</v>
      </c>
      <c r="GX74" s="51">
        <f t="shared" si="138"/>
        <v>70286000</v>
      </c>
      <c r="GY74" s="51">
        <f t="shared" si="138"/>
        <v>0</v>
      </c>
      <c r="GZ74" s="51">
        <f t="shared" si="138"/>
        <v>1120000000</v>
      </c>
    </row>
    <row r="75" spans="1:208" ht="104.25" customHeight="1" x14ac:dyDescent="0.2">
      <c r="A75" s="326"/>
      <c r="B75" s="326"/>
      <c r="C75" s="456">
        <v>8</v>
      </c>
      <c r="D75" s="745" t="s">
        <v>202</v>
      </c>
      <c r="E75" s="417">
        <v>665</v>
      </c>
      <c r="F75" s="417">
        <v>798</v>
      </c>
      <c r="G75" s="260">
        <v>50</v>
      </c>
      <c r="H75" s="261" t="s">
        <v>203</v>
      </c>
      <c r="I75" s="258" t="s">
        <v>204</v>
      </c>
      <c r="J75" s="262" t="s">
        <v>125</v>
      </c>
      <c r="K75" s="262">
        <v>13</v>
      </c>
      <c r="L75" s="290" t="s">
        <v>73</v>
      </c>
      <c r="M75" s="264" t="s">
        <v>53</v>
      </c>
      <c r="N75" s="264">
        <v>15</v>
      </c>
      <c r="O75" s="988">
        <v>2</v>
      </c>
      <c r="P75" s="990">
        <v>2</v>
      </c>
      <c r="Q75" s="717">
        <v>5</v>
      </c>
      <c r="R75" s="268"/>
      <c r="S75" s="1000">
        <v>5</v>
      </c>
      <c r="T75" s="717">
        <v>5</v>
      </c>
      <c r="U75" s="717"/>
      <c r="V75" s="373">
        <v>5</v>
      </c>
      <c r="W75" s="717">
        <v>3</v>
      </c>
      <c r="X75" s="717"/>
      <c r="Y75" s="655">
        <v>2</v>
      </c>
      <c r="Z75" s="1001">
        <f>BM75/BM74</f>
        <v>1</v>
      </c>
      <c r="AA75" s="265">
        <v>8</v>
      </c>
      <c r="AB75" s="1002" t="s">
        <v>135</v>
      </c>
      <c r="AC75" s="151"/>
      <c r="AD75" s="54"/>
      <c r="AE75" s="54"/>
      <c r="AF75" s="54"/>
      <c r="AG75" s="151"/>
      <c r="AH75" s="58">
        <v>20000000</v>
      </c>
      <c r="AI75" s="54">
        <v>13410000</v>
      </c>
      <c r="AJ75" s="54">
        <v>13410000</v>
      </c>
      <c r="AK75" s="151">
        <v>40000000</v>
      </c>
      <c r="AL75" s="54">
        <v>40000000</v>
      </c>
      <c r="AM75" s="54">
        <v>38916000</v>
      </c>
      <c r="AN75" s="54">
        <v>38916000</v>
      </c>
      <c r="AO75" s="151"/>
      <c r="AP75" s="54"/>
      <c r="AQ75" s="54"/>
      <c r="AR75" s="54"/>
      <c r="AS75" s="151"/>
      <c r="AT75" s="54"/>
      <c r="AU75" s="54"/>
      <c r="AV75" s="54"/>
      <c r="AW75" s="151"/>
      <c r="AX75" s="54"/>
      <c r="AY75" s="54"/>
      <c r="AZ75" s="54"/>
      <c r="BA75" s="151"/>
      <c r="BB75" s="54"/>
      <c r="BC75" s="54"/>
      <c r="BD75" s="54"/>
      <c r="BE75" s="151"/>
      <c r="BF75" s="54"/>
      <c r="BG75" s="54"/>
      <c r="BH75" s="54"/>
      <c r="BI75" s="151">
        <v>1000000000</v>
      </c>
      <c r="BJ75" s="54"/>
      <c r="BK75" s="54"/>
      <c r="BL75" s="54"/>
      <c r="BM75" s="53">
        <f>+AC75+AG75+AK75+AO75+AS75+AW75+BA75+BE75+BI75</f>
        <v>1040000000</v>
      </c>
      <c r="BN75" s="54">
        <f t="shared" ref="BN75:BP76" si="139">AD75+AH75+AL75+AP75+AT75+AX75+BB75+BF75+BJ75</f>
        <v>60000000</v>
      </c>
      <c r="BO75" s="54">
        <f t="shared" si="139"/>
        <v>52326000</v>
      </c>
      <c r="BP75" s="54">
        <f t="shared" si="139"/>
        <v>52326000</v>
      </c>
      <c r="BQ75" s="83"/>
      <c r="BR75" s="83"/>
      <c r="BS75" s="83"/>
      <c r="BT75" s="83"/>
      <c r="BU75" s="83"/>
      <c r="BV75" s="83">
        <v>148240000</v>
      </c>
      <c r="BW75" s="83">
        <v>148240000</v>
      </c>
      <c r="BX75" s="83">
        <v>148240000</v>
      </c>
      <c r="BY75" s="83"/>
      <c r="BZ75" s="84">
        <v>40000000</v>
      </c>
      <c r="CA75" s="83">
        <v>131840000</v>
      </c>
      <c r="CB75" s="83">
        <v>79224000</v>
      </c>
      <c r="CC75" s="83">
        <v>76776450</v>
      </c>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1">
        <v>40000000</v>
      </c>
      <c r="DF75" s="95">
        <f t="shared" ref="DF75:DH76" si="140">BR75+BV75+CA75+CF75+CJ75+CN75+CR75+CW75+DB75</f>
        <v>280080000</v>
      </c>
      <c r="DG75" s="95">
        <f t="shared" si="140"/>
        <v>227464000</v>
      </c>
      <c r="DH75" s="95">
        <f t="shared" si="140"/>
        <v>225016450</v>
      </c>
      <c r="DI75" s="95"/>
      <c r="DJ75" s="84"/>
      <c r="DK75" s="65"/>
      <c r="DL75" s="84"/>
      <c r="DM75" s="84"/>
      <c r="DN75" s="84"/>
      <c r="DO75" s="84"/>
      <c r="DP75" s="84"/>
      <c r="DQ75" s="84"/>
      <c r="DR75" s="84"/>
      <c r="DS75" s="84">
        <v>10000000</v>
      </c>
      <c r="DT75" s="84">
        <v>120000000</v>
      </c>
      <c r="DU75" s="84">
        <v>109656000</v>
      </c>
      <c r="DV75" s="84">
        <v>109656000</v>
      </c>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3"/>
      <c r="EU75" s="83"/>
      <c r="EV75" s="83"/>
      <c r="EW75" s="81">
        <f t="shared" ref="EW75:EX76" si="141">DJ75+DN75+DS75+DX75+EB75+EF75+EJ75+EN75+ES75</f>
        <v>10000000</v>
      </c>
      <c r="EX75" s="86">
        <f t="shared" si="141"/>
        <v>120000000</v>
      </c>
      <c r="EY75" s="86">
        <f t="shared" ref="EY75:EZ76" si="142">DL75+DP75+DU75+DZ75+ED75+EH75+EL75+EP75+EU75</f>
        <v>109656000</v>
      </c>
      <c r="EZ75" s="86">
        <f t="shared" si="142"/>
        <v>109656000</v>
      </c>
      <c r="FA75" s="176"/>
      <c r="FB75" s="83"/>
      <c r="FC75" s="84"/>
      <c r="FD75" s="84"/>
      <c r="FE75" s="84"/>
      <c r="FF75" s="140"/>
      <c r="FG75" s="83"/>
      <c r="FH75" s="83"/>
      <c r="FI75" s="83"/>
      <c r="FJ75" s="83"/>
      <c r="FK75" s="83"/>
      <c r="FL75" s="83">
        <v>5000000</v>
      </c>
      <c r="FM75" s="83">
        <v>119250000</v>
      </c>
      <c r="FN75" s="83">
        <v>103530000</v>
      </c>
      <c r="FO75" s="83">
        <v>59686000</v>
      </c>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1">
        <f>FB75+FG75+FL75+FQ75+FV75+GA75+GF75+GK75+GP75</f>
        <v>5000000</v>
      </c>
      <c r="GV75" s="81">
        <f t="shared" ref="GV75:GY76" si="143">GQ75+GL75+GG75+GB75+FW75+FR75+FM75+FH75+FC75</f>
        <v>119250000</v>
      </c>
      <c r="GW75" s="81">
        <f t="shared" si="143"/>
        <v>103530000</v>
      </c>
      <c r="GX75" s="81">
        <f t="shared" si="143"/>
        <v>59686000</v>
      </c>
      <c r="GY75" s="673">
        <f t="shared" si="143"/>
        <v>0</v>
      </c>
      <c r="GZ75" s="67">
        <f>BM75+DE75+EW75+GU75</f>
        <v>1095000000</v>
      </c>
    </row>
    <row r="76" spans="1:208" ht="81.75" customHeight="1" x14ac:dyDescent="0.2">
      <c r="A76" s="326"/>
      <c r="B76" s="326"/>
      <c r="C76" s="277"/>
      <c r="D76" s="746"/>
      <c r="E76" s="284"/>
      <c r="F76" s="284"/>
      <c r="G76" s="260">
        <v>51</v>
      </c>
      <c r="H76" s="261" t="s">
        <v>205</v>
      </c>
      <c r="I76" s="258" t="s">
        <v>206</v>
      </c>
      <c r="J76" s="262" t="s">
        <v>125</v>
      </c>
      <c r="K76" s="262">
        <v>13</v>
      </c>
      <c r="L76" s="262" t="s">
        <v>58</v>
      </c>
      <c r="M76" s="265">
        <v>0</v>
      </c>
      <c r="N76" s="265">
        <v>1</v>
      </c>
      <c r="O76" s="265">
        <v>0</v>
      </c>
      <c r="P76" s="266"/>
      <c r="Q76" s="265">
        <v>1</v>
      </c>
      <c r="R76" s="268"/>
      <c r="S76" s="314">
        <v>1</v>
      </c>
      <c r="T76" s="265">
        <v>1</v>
      </c>
      <c r="U76" s="265"/>
      <c r="V76" s="314">
        <v>1</v>
      </c>
      <c r="W76" s="265">
        <v>1</v>
      </c>
      <c r="X76" s="265"/>
      <c r="Y76" s="654">
        <v>0.7</v>
      </c>
      <c r="Z76" s="339"/>
      <c r="AA76" s="265">
        <v>12</v>
      </c>
      <c r="AB76" s="262" t="s">
        <v>74</v>
      </c>
      <c r="AC76" s="53"/>
      <c r="AD76" s="54"/>
      <c r="AE76" s="54"/>
      <c r="AF76" s="54"/>
      <c r="AG76" s="53"/>
      <c r="AH76" s="54"/>
      <c r="AI76" s="54"/>
      <c r="AJ76" s="54"/>
      <c r="AK76" s="53"/>
      <c r="AL76" s="54"/>
      <c r="AM76" s="54"/>
      <c r="AN76" s="54"/>
      <c r="AO76" s="53"/>
      <c r="AP76" s="54"/>
      <c r="AQ76" s="54"/>
      <c r="AR76" s="54"/>
      <c r="AS76" s="53"/>
      <c r="AT76" s="54"/>
      <c r="AU76" s="54"/>
      <c r="AV76" s="54"/>
      <c r="AW76" s="53"/>
      <c r="AX76" s="54"/>
      <c r="AY76" s="54"/>
      <c r="AZ76" s="54"/>
      <c r="BA76" s="53"/>
      <c r="BB76" s="54"/>
      <c r="BC76" s="54"/>
      <c r="BD76" s="54"/>
      <c r="BE76" s="53"/>
      <c r="BF76" s="54"/>
      <c r="BG76" s="54"/>
      <c r="BH76" s="54"/>
      <c r="BI76" s="53"/>
      <c r="BJ76" s="54"/>
      <c r="BK76" s="54"/>
      <c r="BL76" s="54"/>
      <c r="BM76" s="53">
        <f>+AC76+AG76+AK76+AO76+AS76+AW76+BA76+BE76+BI76</f>
        <v>0</v>
      </c>
      <c r="BN76" s="54">
        <f t="shared" si="139"/>
        <v>0</v>
      </c>
      <c r="BO76" s="54">
        <f t="shared" si="139"/>
        <v>0</v>
      </c>
      <c r="BP76" s="54">
        <f t="shared" si="139"/>
        <v>0</v>
      </c>
      <c r="BQ76" s="82"/>
      <c r="BR76" s="82"/>
      <c r="BS76" s="82"/>
      <c r="BT76" s="82"/>
      <c r="BU76" s="82"/>
      <c r="BV76" s="82"/>
      <c r="BW76" s="82"/>
      <c r="BX76" s="82"/>
      <c r="BY76" s="82"/>
      <c r="BZ76" s="84">
        <v>10000000</v>
      </c>
      <c r="CA76" s="83">
        <v>49160000</v>
      </c>
      <c r="CB76" s="83">
        <v>49160000</v>
      </c>
      <c r="CC76" s="83">
        <v>49160000</v>
      </c>
      <c r="CD76" s="83"/>
      <c r="CE76" s="83"/>
      <c r="CF76" s="83"/>
      <c r="CG76" s="83"/>
      <c r="CH76" s="83"/>
      <c r="CI76" s="82"/>
      <c r="CJ76" s="82"/>
      <c r="CK76" s="82"/>
      <c r="CL76" s="82"/>
      <c r="CM76" s="82"/>
      <c r="CN76" s="82"/>
      <c r="CO76" s="82"/>
      <c r="CP76" s="82"/>
      <c r="CQ76" s="82"/>
      <c r="CR76" s="82"/>
      <c r="CS76" s="82"/>
      <c r="CT76" s="82"/>
      <c r="CU76" s="82"/>
      <c r="CV76" s="82"/>
      <c r="CW76" s="82"/>
      <c r="CX76" s="82"/>
      <c r="CY76" s="82"/>
      <c r="CZ76" s="82"/>
      <c r="DA76" s="82"/>
      <c r="DB76" s="82"/>
      <c r="DC76" s="82"/>
      <c r="DD76" s="82"/>
      <c r="DE76" s="81">
        <v>10000000</v>
      </c>
      <c r="DF76" s="95">
        <f t="shared" si="140"/>
        <v>49160000</v>
      </c>
      <c r="DG76" s="95">
        <f t="shared" si="140"/>
        <v>49160000</v>
      </c>
      <c r="DH76" s="95">
        <f t="shared" si="140"/>
        <v>49160000</v>
      </c>
      <c r="DI76" s="95"/>
      <c r="DJ76" s="84"/>
      <c r="DK76" s="65"/>
      <c r="DL76" s="84"/>
      <c r="DM76" s="84"/>
      <c r="DN76" s="84"/>
      <c r="DO76" s="84"/>
      <c r="DP76" s="84"/>
      <c r="DQ76" s="84"/>
      <c r="DR76" s="84"/>
      <c r="DS76" s="84">
        <v>10000000</v>
      </c>
      <c r="DT76" s="84">
        <v>30000000</v>
      </c>
      <c r="DU76" s="84">
        <v>26000000</v>
      </c>
      <c r="DV76" s="84">
        <v>26000000</v>
      </c>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3"/>
      <c r="EU76" s="83"/>
      <c r="EV76" s="83"/>
      <c r="EW76" s="81">
        <f t="shared" si="141"/>
        <v>10000000</v>
      </c>
      <c r="EX76" s="86">
        <f t="shared" si="141"/>
        <v>30000000</v>
      </c>
      <c r="EY76" s="86">
        <f t="shared" si="142"/>
        <v>26000000</v>
      </c>
      <c r="EZ76" s="86">
        <f t="shared" si="142"/>
        <v>26000000</v>
      </c>
      <c r="FA76" s="176"/>
      <c r="FB76" s="83"/>
      <c r="FC76" s="84"/>
      <c r="FD76" s="84"/>
      <c r="FE76" s="84"/>
      <c r="FF76" s="140"/>
      <c r="FG76" s="83"/>
      <c r="FH76" s="83"/>
      <c r="FI76" s="83"/>
      <c r="FJ76" s="83"/>
      <c r="FK76" s="83"/>
      <c r="FL76" s="83">
        <v>5000000</v>
      </c>
      <c r="FM76" s="83">
        <v>29800000</v>
      </c>
      <c r="FN76" s="83">
        <v>13250000</v>
      </c>
      <c r="FO76" s="83">
        <v>10600000</v>
      </c>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1">
        <f>FB76+FG76+FL76+FQ76+FV76+GA76+GF76+GK76+GP76</f>
        <v>5000000</v>
      </c>
      <c r="GV76" s="81">
        <f t="shared" si="143"/>
        <v>29800000</v>
      </c>
      <c r="GW76" s="81">
        <f t="shared" si="143"/>
        <v>13250000</v>
      </c>
      <c r="GX76" s="81">
        <f t="shared" si="143"/>
        <v>10600000</v>
      </c>
      <c r="GY76" s="673">
        <f t="shared" si="143"/>
        <v>0</v>
      </c>
      <c r="GZ76" s="67">
        <f>BM76+DE76+EW76+GU76</f>
        <v>25000000</v>
      </c>
    </row>
    <row r="77" spans="1:208" ht="24.75" customHeight="1" x14ac:dyDescent="0.2">
      <c r="A77" s="326"/>
      <c r="B77" s="326"/>
      <c r="C77" s="246">
        <v>12</v>
      </c>
      <c r="D77" s="247" t="s">
        <v>207</v>
      </c>
      <c r="E77" s="295"/>
      <c r="F77" s="295"/>
      <c r="G77" s="249"/>
      <c r="H77" s="249"/>
      <c r="I77" s="249"/>
      <c r="J77" s="249"/>
      <c r="K77" s="249"/>
      <c r="L77" s="249"/>
      <c r="M77" s="249"/>
      <c r="N77" s="249"/>
      <c r="O77" s="249"/>
      <c r="P77" s="249"/>
      <c r="Q77" s="249"/>
      <c r="R77" s="249"/>
      <c r="S77" s="249"/>
      <c r="T77" s="249"/>
      <c r="U77" s="249"/>
      <c r="V77" s="249"/>
      <c r="W77" s="249"/>
      <c r="X77" s="663"/>
      <c r="Y77" s="296"/>
      <c r="Z77" s="249"/>
      <c r="AA77" s="249"/>
      <c r="AB77" s="249"/>
      <c r="AC77" s="187">
        <f t="shared" ref="AC77:BL77" si="144">SUM(AC78)</f>
        <v>0</v>
      </c>
      <c r="AD77" s="187">
        <f t="shared" si="144"/>
        <v>0</v>
      </c>
      <c r="AE77" s="187">
        <f t="shared" si="144"/>
        <v>0</v>
      </c>
      <c r="AF77" s="187">
        <f t="shared" si="144"/>
        <v>0</v>
      </c>
      <c r="AG77" s="187">
        <f t="shared" si="144"/>
        <v>0</v>
      </c>
      <c r="AH77" s="187">
        <f t="shared" si="144"/>
        <v>63000000</v>
      </c>
      <c r="AI77" s="187">
        <f t="shared" si="144"/>
        <v>63000000</v>
      </c>
      <c r="AJ77" s="187">
        <f t="shared" si="144"/>
        <v>63000000</v>
      </c>
      <c r="AK77" s="187">
        <f t="shared" si="144"/>
        <v>80000000</v>
      </c>
      <c r="AL77" s="187">
        <f t="shared" si="144"/>
        <v>17000000</v>
      </c>
      <c r="AM77" s="187">
        <f t="shared" si="144"/>
        <v>15590000</v>
      </c>
      <c r="AN77" s="187">
        <f t="shared" si="144"/>
        <v>15590000</v>
      </c>
      <c r="AO77" s="187">
        <f t="shared" si="144"/>
        <v>0</v>
      </c>
      <c r="AP77" s="187">
        <f t="shared" si="144"/>
        <v>0</v>
      </c>
      <c r="AQ77" s="187">
        <f t="shared" si="144"/>
        <v>0</v>
      </c>
      <c r="AR77" s="187">
        <f t="shared" si="144"/>
        <v>0</v>
      </c>
      <c r="AS77" s="187">
        <f t="shared" si="144"/>
        <v>0</v>
      </c>
      <c r="AT77" s="187">
        <f t="shared" si="144"/>
        <v>0</v>
      </c>
      <c r="AU77" s="187">
        <f t="shared" si="144"/>
        <v>0</v>
      </c>
      <c r="AV77" s="187">
        <f t="shared" si="144"/>
        <v>0</v>
      </c>
      <c r="AW77" s="187">
        <f t="shared" si="144"/>
        <v>0</v>
      </c>
      <c r="AX77" s="187">
        <f t="shared" si="144"/>
        <v>0</v>
      </c>
      <c r="AY77" s="187">
        <f t="shared" si="144"/>
        <v>0</v>
      </c>
      <c r="AZ77" s="187">
        <f t="shared" si="144"/>
        <v>0</v>
      </c>
      <c r="BA77" s="187">
        <f t="shared" si="144"/>
        <v>0</v>
      </c>
      <c r="BB77" s="187">
        <f t="shared" si="144"/>
        <v>0</v>
      </c>
      <c r="BC77" s="187">
        <f t="shared" si="144"/>
        <v>0</v>
      </c>
      <c r="BD77" s="187">
        <f t="shared" si="144"/>
        <v>0</v>
      </c>
      <c r="BE77" s="187">
        <f t="shared" si="144"/>
        <v>0</v>
      </c>
      <c r="BF77" s="187">
        <f t="shared" si="144"/>
        <v>0</v>
      </c>
      <c r="BG77" s="187">
        <f t="shared" si="144"/>
        <v>0</v>
      </c>
      <c r="BH77" s="187">
        <f t="shared" si="144"/>
        <v>0</v>
      </c>
      <c r="BI77" s="187">
        <f t="shared" si="144"/>
        <v>2000000000</v>
      </c>
      <c r="BJ77" s="187">
        <f t="shared" si="144"/>
        <v>0</v>
      </c>
      <c r="BK77" s="187">
        <f t="shared" si="144"/>
        <v>0</v>
      </c>
      <c r="BL77" s="187">
        <f t="shared" si="144"/>
        <v>0</v>
      </c>
      <c r="BM77" s="187">
        <f t="shared" ref="BM77:DX77" si="145">SUM(BM78)</f>
        <v>2080000000</v>
      </c>
      <c r="BN77" s="187">
        <f t="shared" si="145"/>
        <v>80000000</v>
      </c>
      <c r="BO77" s="187">
        <f t="shared" si="145"/>
        <v>78590000</v>
      </c>
      <c r="BP77" s="187">
        <f t="shared" si="145"/>
        <v>78590000</v>
      </c>
      <c r="BQ77" s="187">
        <f t="shared" si="145"/>
        <v>0</v>
      </c>
      <c r="BR77" s="187">
        <f t="shared" si="145"/>
        <v>0</v>
      </c>
      <c r="BS77" s="187">
        <f t="shared" si="145"/>
        <v>0</v>
      </c>
      <c r="BT77" s="187">
        <f t="shared" si="145"/>
        <v>0</v>
      </c>
      <c r="BU77" s="187">
        <f t="shared" si="145"/>
        <v>0</v>
      </c>
      <c r="BV77" s="187">
        <f t="shared" si="145"/>
        <v>155080000</v>
      </c>
      <c r="BW77" s="187">
        <f t="shared" si="145"/>
        <v>155080000</v>
      </c>
      <c r="BX77" s="187">
        <f t="shared" si="145"/>
        <v>155080000</v>
      </c>
      <c r="BY77" s="187">
        <f t="shared" si="145"/>
        <v>0</v>
      </c>
      <c r="BZ77" s="187">
        <f t="shared" si="145"/>
        <v>90000000</v>
      </c>
      <c r="CA77" s="187">
        <f t="shared" si="145"/>
        <v>141300000</v>
      </c>
      <c r="CB77" s="187">
        <f t="shared" si="145"/>
        <v>93300000</v>
      </c>
      <c r="CC77" s="187">
        <f t="shared" si="145"/>
        <v>93300000</v>
      </c>
      <c r="CD77" s="187">
        <f t="shared" si="145"/>
        <v>0</v>
      </c>
      <c r="CE77" s="187">
        <f t="shared" si="145"/>
        <v>0</v>
      </c>
      <c r="CF77" s="187">
        <f t="shared" si="145"/>
        <v>0</v>
      </c>
      <c r="CG77" s="187">
        <f t="shared" si="145"/>
        <v>0</v>
      </c>
      <c r="CH77" s="187">
        <f t="shared" si="145"/>
        <v>0</v>
      </c>
      <c r="CI77" s="187">
        <f t="shared" si="145"/>
        <v>0</v>
      </c>
      <c r="CJ77" s="187">
        <f t="shared" si="145"/>
        <v>0</v>
      </c>
      <c r="CK77" s="187">
        <f t="shared" si="145"/>
        <v>0</v>
      </c>
      <c r="CL77" s="187">
        <f t="shared" si="145"/>
        <v>0</v>
      </c>
      <c r="CM77" s="187">
        <f t="shared" si="145"/>
        <v>0</v>
      </c>
      <c r="CN77" s="187">
        <f t="shared" si="145"/>
        <v>0</v>
      </c>
      <c r="CO77" s="187">
        <f t="shared" si="145"/>
        <v>0</v>
      </c>
      <c r="CP77" s="187">
        <f t="shared" si="145"/>
        <v>0</v>
      </c>
      <c r="CQ77" s="187">
        <f t="shared" si="145"/>
        <v>0</v>
      </c>
      <c r="CR77" s="187">
        <f t="shared" si="145"/>
        <v>0</v>
      </c>
      <c r="CS77" s="187">
        <f t="shared" si="145"/>
        <v>0</v>
      </c>
      <c r="CT77" s="187">
        <f t="shared" si="145"/>
        <v>0</v>
      </c>
      <c r="CU77" s="187">
        <f t="shared" si="145"/>
        <v>0</v>
      </c>
      <c r="CV77" s="187">
        <f t="shared" si="145"/>
        <v>0</v>
      </c>
      <c r="CW77" s="187">
        <f t="shared" si="145"/>
        <v>0</v>
      </c>
      <c r="CX77" s="187">
        <f t="shared" si="145"/>
        <v>0</v>
      </c>
      <c r="CY77" s="187">
        <f t="shared" si="145"/>
        <v>0</v>
      </c>
      <c r="CZ77" s="187">
        <f t="shared" si="145"/>
        <v>0</v>
      </c>
      <c r="DA77" s="187">
        <f t="shared" si="145"/>
        <v>0</v>
      </c>
      <c r="DB77" s="187">
        <f t="shared" si="145"/>
        <v>0</v>
      </c>
      <c r="DC77" s="187">
        <f t="shared" si="145"/>
        <v>0</v>
      </c>
      <c r="DD77" s="187">
        <f t="shared" si="145"/>
        <v>0</v>
      </c>
      <c r="DE77" s="187">
        <f t="shared" si="145"/>
        <v>90000000</v>
      </c>
      <c r="DF77" s="187">
        <f t="shared" si="145"/>
        <v>296380000</v>
      </c>
      <c r="DG77" s="187">
        <f t="shared" si="145"/>
        <v>248380000</v>
      </c>
      <c r="DH77" s="187">
        <f t="shared" si="145"/>
        <v>248380000</v>
      </c>
      <c r="DI77" s="187">
        <f t="shared" si="145"/>
        <v>0</v>
      </c>
      <c r="DJ77" s="187">
        <f t="shared" si="145"/>
        <v>0</v>
      </c>
      <c r="DK77" s="187">
        <f t="shared" si="145"/>
        <v>0</v>
      </c>
      <c r="DL77" s="187">
        <f t="shared" si="145"/>
        <v>0</v>
      </c>
      <c r="DM77" s="187">
        <f t="shared" si="145"/>
        <v>0</v>
      </c>
      <c r="DN77" s="187">
        <f t="shared" si="145"/>
        <v>0</v>
      </c>
      <c r="DO77" s="187">
        <f t="shared" si="145"/>
        <v>136640000</v>
      </c>
      <c r="DP77" s="187">
        <f t="shared" si="145"/>
        <v>124080666</v>
      </c>
      <c r="DQ77" s="187">
        <f t="shared" si="145"/>
        <v>124080666</v>
      </c>
      <c r="DR77" s="187">
        <f t="shared" si="145"/>
        <v>0</v>
      </c>
      <c r="DS77" s="187">
        <f t="shared" si="145"/>
        <v>30000000</v>
      </c>
      <c r="DT77" s="187">
        <f t="shared" si="145"/>
        <v>120000000</v>
      </c>
      <c r="DU77" s="187">
        <f t="shared" si="145"/>
        <v>119152000</v>
      </c>
      <c r="DV77" s="187">
        <f t="shared" si="145"/>
        <v>119152000</v>
      </c>
      <c r="DW77" s="187">
        <f t="shared" si="145"/>
        <v>0</v>
      </c>
      <c r="DX77" s="187">
        <f t="shared" si="145"/>
        <v>0</v>
      </c>
      <c r="DY77" s="187">
        <f t="shared" ref="DY77:EW77" si="146">SUM(DY78)</f>
        <v>0</v>
      </c>
      <c r="DZ77" s="187">
        <f t="shared" si="146"/>
        <v>0</v>
      </c>
      <c r="EA77" s="187">
        <f t="shared" si="146"/>
        <v>0</v>
      </c>
      <c r="EB77" s="187">
        <f t="shared" si="146"/>
        <v>0</v>
      </c>
      <c r="EC77" s="187">
        <f t="shared" si="146"/>
        <v>0</v>
      </c>
      <c r="ED77" s="187">
        <f t="shared" si="146"/>
        <v>0</v>
      </c>
      <c r="EE77" s="187">
        <f t="shared" si="146"/>
        <v>0</v>
      </c>
      <c r="EF77" s="187">
        <f t="shared" si="146"/>
        <v>0</v>
      </c>
      <c r="EG77" s="187">
        <f t="shared" si="146"/>
        <v>0</v>
      </c>
      <c r="EH77" s="187">
        <f t="shared" si="146"/>
        <v>0</v>
      </c>
      <c r="EI77" s="187">
        <f t="shared" si="146"/>
        <v>0</v>
      </c>
      <c r="EJ77" s="187">
        <f t="shared" si="146"/>
        <v>0</v>
      </c>
      <c r="EK77" s="187">
        <f t="shared" si="146"/>
        <v>0</v>
      </c>
      <c r="EL77" s="187">
        <f t="shared" si="146"/>
        <v>0</v>
      </c>
      <c r="EM77" s="187">
        <f t="shared" si="146"/>
        <v>0</v>
      </c>
      <c r="EN77" s="187">
        <f t="shared" si="146"/>
        <v>0</v>
      </c>
      <c r="EO77" s="187">
        <f t="shared" si="146"/>
        <v>0</v>
      </c>
      <c r="EP77" s="187">
        <f t="shared" si="146"/>
        <v>0</v>
      </c>
      <c r="EQ77" s="187">
        <f t="shared" si="146"/>
        <v>0</v>
      </c>
      <c r="ER77" s="187">
        <f t="shared" si="146"/>
        <v>0</v>
      </c>
      <c r="ES77" s="187">
        <f t="shared" si="146"/>
        <v>0</v>
      </c>
      <c r="ET77" s="187">
        <f t="shared" si="146"/>
        <v>0</v>
      </c>
      <c r="EU77" s="187">
        <f t="shared" si="146"/>
        <v>0</v>
      </c>
      <c r="EV77" s="187">
        <f t="shared" si="146"/>
        <v>0</v>
      </c>
      <c r="EW77" s="187">
        <f t="shared" si="146"/>
        <v>30000000</v>
      </c>
      <c r="EX77" s="187">
        <f t="shared" ref="EX77:GZ77" si="147">SUM(EX78)</f>
        <v>256640000</v>
      </c>
      <c r="EY77" s="187">
        <f t="shared" si="147"/>
        <v>243232666</v>
      </c>
      <c r="EZ77" s="187">
        <f t="shared" si="147"/>
        <v>243232666</v>
      </c>
      <c r="FA77" s="187">
        <f t="shared" si="147"/>
        <v>0</v>
      </c>
      <c r="FB77" s="196">
        <f t="shared" si="147"/>
        <v>0</v>
      </c>
      <c r="FC77" s="186">
        <f t="shared" si="147"/>
        <v>0</v>
      </c>
      <c r="FD77" s="186">
        <f t="shared" si="147"/>
        <v>0</v>
      </c>
      <c r="FE77" s="186">
        <f t="shared" si="147"/>
        <v>0</v>
      </c>
      <c r="FF77" s="186">
        <f t="shared" si="147"/>
        <v>0</v>
      </c>
      <c r="FG77" s="187">
        <f t="shared" si="147"/>
        <v>0</v>
      </c>
      <c r="FH77" s="186">
        <f t="shared" si="147"/>
        <v>0</v>
      </c>
      <c r="FI77" s="186">
        <f t="shared" si="147"/>
        <v>0</v>
      </c>
      <c r="FJ77" s="186">
        <f t="shared" si="147"/>
        <v>0</v>
      </c>
      <c r="FK77" s="186">
        <f t="shared" si="147"/>
        <v>0</v>
      </c>
      <c r="FL77" s="187">
        <f t="shared" si="147"/>
        <v>20000000</v>
      </c>
      <c r="FM77" s="186">
        <f t="shared" si="147"/>
        <v>119240000</v>
      </c>
      <c r="FN77" s="186">
        <f t="shared" si="147"/>
        <v>89510000</v>
      </c>
      <c r="FO77" s="186">
        <f t="shared" si="147"/>
        <v>29116000</v>
      </c>
      <c r="FP77" s="186">
        <f t="shared" si="147"/>
        <v>0</v>
      </c>
      <c r="FQ77" s="187">
        <f t="shared" si="147"/>
        <v>0</v>
      </c>
      <c r="FR77" s="186">
        <f t="shared" si="147"/>
        <v>0</v>
      </c>
      <c r="FS77" s="186">
        <f t="shared" si="147"/>
        <v>0</v>
      </c>
      <c r="FT77" s="186">
        <f t="shared" si="147"/>
        <v>0</v>
      </c>
      <c r="FU77" s="186">
        <f t="shared" si="147"/>
        <v>0</v>
      </c>
      <c r="FV77" s="187">
        <f t="shared" si="147"/>
        <v>0</v>
      </c>
      <c r="FW77" s="186">
        <f t="shared" si="147"/>
        <v>0</v>
      </c>
      <c r="FX77" s="186">
        <f t="shared" si="147"/>
        <v>0</v>
      </c>
      <c r="FY77" s="186">
        <f t="shared" si="147"/>
        <v>0</v>
      </c>
      <c r="FZ77" s="186">
        <f t="shared" si="147"/>
        <v>0</v>
      </c>
      <c r="GA77" s="187">
        <f t="shared" si="147"/>
        <v>0</v>
      </c>
      <c r="GB77" s="186">
        <f t="shared" si="147"/>
        <v>0</v>
      </c>
      <c r="GC77" s="186">
        <f t="shared" si="147"/>
        <v>0</v>
      </c>
      <c r="GD77" s="186">
        <f t="shared" si="147"/>
        <v>0</v>
      </c>
      <c r="GE77" s="186">
        <f t="shared" si="147"/>
        <v>0</v>
      </c>
      <c r="GF77" s="187">
        <f t="shared" si="147"/>
        <v>0</v>
      </c>
      <c r="GG77" s="186">
        <f t="shared" si="147"/>
        <v>0</v>
      </c>
      <c r="GH77" s="186">
        <f t="shared" si="147"/>
        <v>0</v>
      </c>
      <c r="GI77" s="186">
        <f t="shared" si="147"/>
        <v>0</v>
      </c>
      <c r="GJ77" s="186">
        <f t="shared" si="147"/>
        <v>0</v>
      </c>
      <c r="GK77" s="187">
        <f t="shared" si="147"/>
        <v>0</v>
      </c>
      <c r="GL77" s="186">
        <f t="shared" si="147"/>
        <v>0</v>
      </c>
      <c r="GM77" s="186">
        <f t="shared" si="147"/>
        <v>0</v>
      </c>
      <c r="GN77" s="186">
        <f t="shared" si="147"/>
        <v>0</v>
      </c>
      <c r="GO77" s="186">
        <f t="shared" si="147"/>
        <v>0</v>
      </c>
      <c r="GP77" s="187">
        <f t="shared" si="147"/>
        <v>0</v>
      </c>
      <c r="GQ77" s="186">
        <f t="shared" si="147"/>
        <v>0</v>
      </c>
      <c r="GR77" s="186">
        <f t="shared" si="147"/>
        <v>0</v>
      </c>
      <c r="GS77" s="186">
        <f t="shared" si="147"/>
        <v>0</v>
      </c>
      <c r="GT77" s="186">
        <f t="shared" si="147"/>
        <v>0</v>
      </c>
      <c r="GU77" s="187">
        <f t="shared" si="147"/>
        <v>20000000</v>
      </c>
      <c r="GV77" s="186">
        <f t="shared" si="147"/>
        <v>119240000</v>
      </c>
      <c r="GW77" s="186">
        <f t="shared" si="147"/>
        <v>89510000</v>
      </c>
      <c r="GX77" s="186">
        <f t="shared" si="147"/>
        <v>29116000</v>
      </c>
      <c r="GY77" s="186">
        <f t="shared" si="147"/>
        <v>0</v>
      </c>
      <c r="GZ77" s="186">
        <f t="shared" si="147"/>
        <v>2220000000</v>
      </c>
    </row>
    <row r="78" spans="1:208" ht="104.25" customHeight="1" x14ac:dyDescent="0.2">
      <c r="A78" s="326"/>
      <c r="B78" s="326"/>
      <c r="C78" s="279">
        <v>8</v>
      </c>
      <c r="D78" s="721" t="s">
        <v>202</v>
      </c>
      <c r="E78" s="306">
        <v>665</v>
      </c>
      <c r="F78" s="306">
        <v>798</v>
      </c>
      <c r="G78" s="260">
        <v>52</v>
      </c>
      <c r="H78" s="261" t="s">
        <v>208</v>
      </c>
      <c r="I78" s="258" t="s">
        <v>209</v>
      </c>
      <c r="J78" s="262" t="s">
        <v>125</v>
      </c>
      <c r="K78" s="262">
        <v>13</v>
      </c>
      <c r="L78" s="290" t="s">
        <v>58</v>
      </c>
      <c r="M78" s="264">
        <v>0</v>
      </c>
      <c r="N78" s="264">
        <v>3</v>
      </c>
      <c r="O78" s="988">
        <v>3</v>
      </c>
      <c r="P78" s="990">
        <v>3</v>
      </c>
      <c r="Q78" s="717">
        <v>3</v>
      </c>
      <c r="R78" s="268"/>
      <c r="S78" s="1000">
        <v>3</v>
      </c>
      <c r="T78" s="717">
        <v>3</v>
      </c>
      <c r="U78" s="717"/>
      <c r="V78" s="373">
        <v>3</v>
      </c>
      <c r="W78" s="717">
        <v>3</v>
      </c>
      <c r="X78" s="717"/>
      <c r="Y78" s="655">
        <v>2</v>
      </c>
      <c r="Z78" s="1001">
        <f>BM78/BM77</f>
        <v>1</v>
      </c>
      <c r="AA78" s="264">
        <v>8</v>
      </c>
      <c r="AB78" s="290" t="s">
        <v>135</v>
      </c>
      <c r="AC78" s="151"/>
      <c r="AD78" s="54"/>
      <c r="AE78" s="54"/>
      <c r="AF78" s="54"/>
      <c r="AG78" s="151"/>
      <c r="AH78" s="58">
        <v>63000000</v>
      </c>
      <c r="AI78" s="54">
        <v>63000000</v>
      </c>
      <c r="AJ78" s="54">
        <v>63000000</v>
      </c>
      <c r="AK78" s="151">
        <v>80000000</v>
      </c>
      <c r="AL78" s="54">
        <v>17000000</v>
      </c>
      <c r="AM78" s="54">
        <v>15590000</v>
      </c>
      <c r="AN78" s="54">
        <v>15590000</v>
      </c>
      <c r="AO78" s="151"/>
      <c r="AP78" s="54"/>
      <c r="AQ78" s="54"/>
      <c r="AR78" s="54"/>
      <c r="AS78" s="151"/>
      <c r="AT78" s="54"/>
      <c r="AU78" s="54"/>
      <c r="AV78" s="54"/>
      <c r="AW78" s="151"/>
      <c r="AX78" s="54"/>
      <c r="AY78" s="54"/>
      <c r="AZ78" s="54"/>
      <c r="BA78" s="151"/>
      <c r="BB78" s="54"/>
      <c r="BC78" s="54"/>
      <c r="BD78" s="54"/>
      <c r="BE78" s="151"/>
      <c r="BF78" s="54"/>
      <c r="BG78" s="54"/>
      <c r="BH78" s="54"/>
      <c r="BI78" s="151">
        <v>2000000000</v>
      </c>
      <c r="BJ78" s="54"/>
      <c r="BK78" s="54"/>
      <c r="BL78" s="54"/>
      <c r="BM78" s="53">
        <f>+AC78+AG78+AK78+AO78+AS78+AW78+BA78+BE78+BI78</f>
        <v>2080000000</v>
      </c>
      <c r="BN78" s="54">
        <f>AD78+AH78+AL78+AP78+AT78+AX78+BB78+BF78+BJ78</f>
        <v>80000000</v>
      </c>
      <c r="BO78" s="54">
        <f>AE78+AI78+AM78+AQ78+AU78+AY78+BC78+BG78+BK78</f>
        <v>78590000</v>
      </c>
      <c r="BP78" s="54">
        <f>AF78+AJ78+AN78+AR78+AV78+AZ78+BD78+BH78+BL78</f>
        <v>78590000</v>
      </c>
      <c r="BQ78" s="83"/>
      <c r="BR78" s="83"/>
      <c r="BS78" s="83"/>
      <c r="BT78" s="83"/>
      <c r="BU78" s="83"/>
      <c r="BV78" s="83">
        <v>155080000</v>
      </c>
      <c r="BW78" s="83">
        <v>155080000</v>
      </c>
      <c r="BX78" s="83">
        <v>155080000</v>
      </c>
      <c r="BY78" s="83"/>
      <c r="BZ78" s="83">
        <v>90000000</v>
      </c>
      <c r="CA78" s="83">
        <v>141300000</v>
      </c>
      <c r="CB78" s="83">
        <v>93300000</v>
      </c>
      <c r="CC78" s="83">
        <v>93300000</v>
      </c>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1">
        <v>90000000</v>
      </c>
      <c r="DF78" s="95">
        <f>BR78+BV78+CA78+CF78+CJ78+CN78+CR78+CW78+DB78</f>
        <v>296380000</v>
      </c>
      <c r="DG78" s="95">
        <f>BS78+BW78+CB78+CG78+CK78+CO78+CS78+CX78+DC78</f>
        <v>248380000</v>
      </c>
      <c r="DH78" s="95">
        <f>BT78+BX78+CC78+CH78+CL78+CP78+CT78+CY78+DD78</f>
        <v>248380000</v>
      </c>
      <c r="DI78" s="95"/>
      <c r="DJ78" s="65"/>
      <c r="DK78" s="65"/>
      <c r="DL78" s="65"/>
      <c r="DM78" s="65"/>
      <c r="DN78" s="84"/>
      <c r="DO78" s="84">
        <v>136640000</v>
      </c>
      <c r="DP78" s="84">
        <v>124080666</v>
      </c>
      <c r="DQ78" s="84">
        <v>124080666</v>
      </c>
      <c r="DR78" s="84"/>
      <c r="DS78" s="84">
        <v>30000000</v>
      </c>
      <c r="DT78" s="84">
        <v>120000000</v>
      </c>
      <c r="DU78" s="84">
        <v>119152000</v>
      </c>
      <c r="DV78" s="84">
        <v>119152000</v>
      </c>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3"/>
      <c r="EU78" s="83"/>
      <c r="EV78" s="83"/>
      <c r="EW78" s="81">
        <f>DJ78+DN78+DS78+DX78+EB78+EF78+EJ78+EN78+ES78</f>
        <v>30000000</v>
      </c>
      <c r="EX78" s="86">
        <f>DK78+DO78+DT78+DY78+EC78+EG78+EK78+EO78+ET78</f>
        <v>256640000</v>
      </c>
      <c r="EY78" s="86">
        <f>DL78+DP78+DU78+DZ78+ED78+EH78+EL78+EP78+EU78</f>
        <v>243232666</v>
      </c>
      <c r="EZ78" s="86">
        <f>DM78+DQ78+DV78+EA78+EE78+EI78+EM78+EQ78+EV78</f>
        <v>243232666</v>
      </c>
      <c r="FA78" s="176"/>
      <c r="FB78" s="83"/>
      <c r="FC78" s="84"/>
      <c r="FD78" s="84"/>
      <c r="FE78" s="84"/>
      <c r="FF78" s="140"/>
      <c r="FG78" s="83"/>
      <c r="FH78" s="83"/>
      <c r="FI78" s="83"/>
      <c r="FJ78" s="83"/>
      <c r="FK78" s="83"/>
      <c r="FL78" s="83">
        <v>20000000</v>
      </c>
      <c r="FM78" s="83">
        <v>119240000</v>
      </c>
      <c r="FN78" s="83">
        <v>89510000</v>
      </c>
      <c r="FO78" s="83">
        <v>29116000</v>
      </c>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1">
        <f>FB78+FG78+FL78+FQ78+FV78+GA78+GF78+GK78+GP78</f>
        <v>20000000</v>
      </c>
      <c r="GV78" s="81">
        <f>GQ78+GL78+GG78+GB78+FW78+FR78+FM78+FH78+FC78</f>
        <v>119240000</v>
      </c>
      <c r="GW78" s="81">
        <f>GR78+GM78+GH78+GC78+FX78+FS78+FN78+FI78+FD78</f>
        <v>89510000</v>
      </c>
      <c r="GX78" s="81">
        <f>GS78+GN78+GI78+GD78+FY78+FT78+FO78+FJ78+FE78</f>
        <v>29116000</v>
      </c>
      <c r="GY78" s="673">
        <f>GT78+GO78+GJ78+GE78+FZ78+FU78+FP78+FK78+FF78</f>
        <v>0</v>
      </c>
      <c r="GZ78" s="67">
        <f>BM78+DE78+EW78+GU78</f>
        <v>2220000000</v>
      </c>
    </row>
    <row r="79" spans="1:208" ht="24.75" customHeight="1" x14ac:dyDescent="0.2">
      <c r="A79" s="326"/>
      <c r="B79" s="326"/>
      <c r="C79" s="246">
        <v>13</v>
      </c>
      <c r="D79" s="247" t="s">
        <v>210</v>
      </c>
      <c r="E79" s="249"/>
      <c r="F79" s="295"/>
      <c r="G79" s="249"/>
      <c r="H79" s="249"/>
      <c r="I79" s="249"/>
      <c r="J79" s="249"/>
      <c r="K79" s="249"/>
      <c r="L79" s="249"/>
      <c r="M79" s="249"/>
      <c r="N79" s="249"/>
      <c r="O79" s="249"/>
      <c r="P79" s="249"/>
      <c r="Q79" s="249"/>
      <c r="R79" s="249"/>
      <c r="S79" s="249"/>
      <c r="T79" s="249"/>
      <c r="U79" s="249"/>
      <c r="V79" s="249"/>
      <c r="W79" s="249"/>
      <c r="X79" s="663"/>
      <c r="Y79" s="296"/>
      <c r="Z79" s="249"/>
      <c r="AA79" s="249"/>
      <c r="AB79" s="249"/>
      <c r="AC79" s="186">
        <f t="shared" ref="AC79:BL79" si="148">SUM(AC80)</f>
        <v>0</v>
      </c>
      <c r="AD79" s="186">
        <f t="shared" si="148"/>
        <v>0</v>
      </c>
      <c r="AE79" s="186">
        <f t="shared" si="148"/>
        <v>0</v>
      </c>
      <c r="AF79" s="186">
        <f t="shared" si="148"/>
        <v>0</v>
      </c>
      <c r="AG79" s="186">
        <f t="shared" si="148"/>
        <v>292360000</v>
      </c>
      <c r="AH79" s="186">
        <f t="shared" si="148"/>
        <v>297765559</v>
      </c>
      <c r="AI79" s="186">
        <f t="shared" si="148"/>
        <v>292360000</v>
      </c>
      <c r="AJ79" s="186">
        <f t="shared" si="148"/>
        <v>292360000</v>
      </c>
      <c r="AK79" s="186">
        <f t="shared" si="148"/>
        <v>83000000</v>
      </c>
      <c r="AL79" s="186">
        <f t="shared" si="148"/>
        <v>288140678</v>
      </c>
      <c r="AM79" s="186">
        <f t="shared" si="148"/>
        <v>252784155</v>
      </c>
      <c r="AN79" s="186">
        <f t="shared" si="148"/>
        <v>252784155</v>
      </c>
      <c r="AO79" s="186">
        <f t="shared" si="148"/>
        <v>0</v>
      </c>
      <c r="AP79" s="186">
        <f t="shared" si="148"/>
        <v>0</v>
      </c>
      <c r="AQ79" s="186">
        <f t="shared" si="148"/>
        <v>0</v>
      </c>
      <c r="AR79" s="186">
        <f t="shared" si="148"/>
        <v>0</v>
      </c>
      <c r="AS79" s="186">
        <f t="shared" si="148"/>
        <v>0</v>
      </c>
      <c r="AT79" s="186">
        <f t="shared" si="148"/>
        <v>0</v>
      </c>
      <c r="AU79" s="186">
        <f t="shared" si="148"/>
        <v>0</v>
      </c>
      <c r="AV79" s="186">
        <f t="shared" si="148"/>
        <v>0</v>
      </c>
      <c r="AW79" s="186">
        <f t="shared" si="148"/>
        <v>0</v>
      </c>
      <c r="AX79" s="186">
        <f t="shared" si="148"/>
        <v>0</v>
      </c>
      <c r="AY79" s="186">
        <f t="shared" si="148"/>
        <v>0</v>
      </c>
      <c r="AZ79" s="186">
        <f t="shared" si="148"/>
        <v>0</v>
      </c>
      <c r="BA79" s="186">
        <f t="shared" si="148"/>
        <v>0</v>
      </c>
      <c r="BB79" s="186">
        <f t="shared" si="148"/>
        <v>0</v>
      </c>
      <c r="BC79" s="186">
        <f t="shared" si="148"/>
        <v>0</v>
      </c>
      <c r="BD79" s="186">
        <f t="shared" si="148"/>
        <v>0</v>
      </c>
      <c r="BE79" s="186">
        <f t="shared" si="148"/>
        <v>0</v>
      </c>
      <c r="BF79" s="186">
        <f t="shared" si="148"/>
        <v>0</v>
      </c>
      <c r="BG79" s="186">
        <f t="shared" si="148"/>
        <v>0</v>
      </c>
      <c r="BH79" s="186">
        <f t="shared" si="148"/>
        <v>0</v>
      </c>
      <c r="BI79" s="186">
        <f t="shared" si="148"/>
        <v>0</v>
      </c>
      <c r="BJ79" s="186">
        <f t="shared" si="148"/>
        <v>0</v>
      </c>
      <c r="BK79" s="186">
        <f t="shared" si="148"/>
        <v>0</v>
      </c>
      <c r="BL79" s="186">
        <f t="shared" si="148"/>
        <v>0</v>
      </c>
      <c r="BM79" s="186">
        <f t="shared" ref="BM79:DX79" si="149">SUM(BM80)</f>
        <v>375360000</v>
      </c>
      <c r="BN79" s="186">
        <f t="shared" si="149"/>
        <v>585906237</v>
      </c>
      <c r="BO79" s="186">
        <f t="shared" si="149"/>
        <v>545144155</v>
      </c>
      <c r="BP79" s="186">
        <f t="shared" si="149"/>
        <v>545144155</v>
      </c>
      <c r="BQ79" s="186">
        <f t="shared" si="149"/>
        <v>0</v>
      </c>
      <c r="BR79" s="186">
        <f t="shared" si="149"/>
        <v>0</v>
      </c>
      <c r="BS79" s="186">
        <f t="shared" si="149"/>
        <v>0</v>
      </c>
      <c r="BT79" s="186">
        <f t="shared" si="149"/>
        <v>0</v>
      </c>
      <c r="BU79" s="186">
        <f t="shared" si="149"/>
        <v>386620800</v>
      </c>
      <c r="BV79" s="186">
        <f t="shared" si="149"/>
        <v>138706963</v>
      </c>
      <c r="BW79" s="186">
        <f t="shared" si="149"/>
        <v>138706963</v>
      </c>
      <c r="BX79" s="186">
        <f t="shared" si="149"/>
        <v>138706963</v>
      </c>
      <c r="BY79" s="186">
        <f t="shared" si="149"/>
        <v>0</v>
      </c>
      <c r="BZ79" s="186">
        <f t="shared" si="149"/>
        <v>0</v>
      </c>
      <c r="CA79" s="186">
        <f t="shared" si="149"/>
        <v>901202600</v>
      </c>
      <c r="CB79" s="186">
        <f t="shared" si="149"/>
        <v>901202600</v>
      </c>
      <c r="CC79" s="186">
        <f t="shared" si="149"/>
        <v>876282600</v>
      </c>
      <c r="CD79" s="186">
        <f t="shared" si="149"/>
        <v>0</v>
      </c>
      <c r="CE79" s="186">
        <f t="shared" si="149"/>
        <v>0</v>
      </c>
      <c r="CF79" s="186">
        <f t="shared" si="149"/>
        <v>0</v>
      </c>
      <c r="CG79" s="186">
        <f t="shared" si="149"/>
        <v>0</v>
      </c>
      <c r="CH79" s="186">
        <f t="shared" si="149"/>
        <v>0</v>
      </c>
      <c r="CI79" s="186">
        <f t="shared" si="149"/>
        <v>0</v>
      </c>
      <c r="CJ79" s="186">
        <f t="shared" si="149"/>
        <v>0</v>
      </c>
      <c r="CK79" s="186">
        <f t="shared" si="149"/>
        <v>0</v>
      </c>
      <c r="CL79" s="186">
        <f t="shared" si="149"/>
        <v>0</v>
      </c>
      <c r="CM79" s="186">
        <f t="shared" si="149"/>
        <v>0</v>
      </c>
      <c r="CN79" s="186">
        <f t="shared" si="149"/>
        <v>0</v>
      </c>
      <c r="CO79" s="186">
        <f t="shared" si="149"/>
        <v>0</v>
      </c>
      <c r="CP79" s="186">
        <f t="shared" si="149"/>
        <v>0</v>
      </c>
      <c r="CQ79" s="186">
        <f t="shared" si="149"/>
        <v>0</v>
      </c>
      <c r="CR79" s="186">
        <f t="shared" si="149"/>
        <v>0</v>
      </c>
      <c r="CS79" s="186">
        <f t="shared" si="149"/>
        <v>0</v>
      </c>
      <c r="CT79" s="186">
        <f t="shared" si="149"/>
        <v>0</v>
      </c>
      <c r="CU79" s="186">
        <f t="shared" si="149"/>
        <v>0</v>
      </c>
      <c r="CV79" s="186">
        <f t="shared" si="149"/>
        <v>0</v>
      </c>
      <c r="CW79" s="186">
        <f t="shared" si="149"/>
        <v>0</v>
      </c>
      <c r="CX79" s="186">
        <f t="shared" si="149"/>
        <v>0</v>
      </c>
      <c r="CY79" s="186">
        <f t="shared" si="149"/>
        <v>0</v>
      </c>
      <c r="CZ79" s="186">
        <f t="shared" si="149"/>
        <v>0</v>
      </c>
      <c r="DA79" s="186">
        <f t="shared" si="149"/>
        <v>0</v>
      </c>
      <c r="DB79" s="186">
        <f t="shared" si="149"/>
        <v>0</v>
      </c>
      <c r="DC79" s="186">
        <f t="shared" si="149"/>
        <v>0</v>
      </c>
      <c r="DD79" s="186">
        <f t="shared" si="149"/>
        <v>0</v>
      </c>
      <c r="DE79" s="186">
        <f t="shared" si="149"/>
        <v>386620800</v>
      </c>
      <c r="DF79" s="186">
        <f t="shared" si="149"/>
        <v>1039909563</v>
      </c>
      <c r="DG79" s="186">
        <f t="shared" si="149"/>
        <v>1039909563</v>
      </c>
      <c r="DH79" s="186">
        <f t="shared" si="149"/>
        <v>1014989563</v>
      </c>
      <c r="DI79" s="186">
        <f t="shared" si="149"/>
        <v>0</v>
      </c>
      <c r="DJ79" s="186">
        <f t="shared" si="149"/>
        <v>0</v>
      </c>
      <c r="DK79" s="186">
        <f t="shared" si="149"/>
        <v>0</v>
      </c>
      <c r="DL79" s="186">
        <f t="shared" si="149"/>
        <v>0</v>
      </c>
      <c r="DM79" s="186">
        <f t="shared" si="149"/>
        <v>0</v>
      </c>
      <c r="DN79" s="186">
        <f t="shared" si="149"/>
        <v>0</v>
      </c>
      <c r="DO79" s="186">
        <f t="shared" si="149"/>
        <v>226713698</v>
      </c>
      <c r="DP79" s="186">
        <f t="shared" si="149"/>
        <v>203289884.66</v>
      </c>
      <c r="DQ79" s="186">
        <f t="shared" si="149"/>
        <v>188664528.66</v>
      </c>
      <c r="DR79" s="186">
        <f t="shared" si="149"/>
        <v>0</v>
      </c>
      <c r="DS79" s="186">
        <f t="shared" si="149"/>
        <v>398219424</v>
      </c>
      <c r="DT79" s="186">
        <f t="shared" si="149"/>
        <v>862000000</v>
      </c>
      <c r="DU79" s="186">
        <f t="shared" si="149"/>
        <v>689897000</v>
      </c>
      <c r="DV79" s="186">
        <f t="shared" si="149"/>
        <v>689897000</v>
      </c>
      <c r="DW79" s="186">
        <f t="shared" si="149"/>
        <v>0</v>
      </c>
      <c r="DX79" s="186">
        <f t="shared" si="149"/>
        <v>0</v>
      </c>
      <c r="DY79" s="186">
        <f t="shared" ref="DY79:EW79" si="150">SUM(DY80)</f>
        <v>0</v>
      </c>
      <c r="DZ79" s="186">
        <f t="shared" si="150"/>
        <v>0</v>
      </c>
      <c r="EA79" s="186">
        <f t="shared" si="150"/>
        <v>0</v>
      </c>
      <c r="EB79" s="186">
        <f t="shared" si="150"/>
        <v>0</v>
      </c>
      <c r="EC79" s="186">
        <f t="shared" si="150"/>
        <v>0</v>
      </c>
      <c r="ED79" s="186">
        <f t="shared" si="150"/>
        <v>0</v>
      </c>
      <c r="EE79" s="186">
        <f t="shared" si="150"/>
        <v>0</v>
      </c>
      <c r="EF79" s="186">
        <f t="shared" si="150"/>
        <v>0</v>
      </c>
      <c r="EG79" s="186">
        <f t="shared" si="150"/>
        <v>0</v>
      </c>
      <c r="EH79" s="186">
        <f t="shared" si="150"/>
        <v>0</v>
      </c>
      <c r="EI79" s="186">
        <f t="shared" si="150"/>
        <v>0</v>
      </c>
      <c r="EJ79" s="186">
        <f t="shared" si="150"/>
        <v>0</v>
      </c>
      <c r="EK79" s="186">
        <f t="shared" si="150"/>
        <v>0</v>
      </c>
      <c r="EL79" s="186">
        <f t="shared" si="150"/>
        <v>0</v>
      </c>
      <c r="EM79" s="186">
        <f t="shared" si="150"/>
        <v>0</v>
      </c>
      <c r="EN79" s="186">
        <f t="shared" si="150"/>
        <v>0</v>
      </c>
      <c r="EO79" s="186">
        <f t="shared" si="150"/>
        <v>0</v>
      </c>
      <c r="EP79" s="186">
        <f t="shared" si="150"/>
        <v>0</v>
      </c>
      <c r="EQ79" s="186">
        <f t="shared" si="150"/>
        <v>0</v>
      </c>
      <c r="ER79" s="186">
        <f t="shared" si="150"/>
        <v>0</v>
      </c>
      <c r="ES79" s="186">
        <f t="shared" si="150"/>
        <v>0</v>
      </c>
      <c r="ET79" s="186">
        <f t="shared" si="150"/>
        <v>0</v>
      </c>
      <c r="EU79" s="186">
        <f t="shared" si="150"/>
        <v>0</v>
      </c>
      <c r="EV79" s="186">
        <f t="shared" si="150"/>
        <v>0</v>
      </c>
      <c r="EW79" s="186">
        <f t="shared" si="150"/>
        <v>398219424</v>
      </c>
      <c r="EX79" s="186">
        <f t="shared" ref="EX79:GZ79" si="151">SUM(EX80)</f>
        <v>1088713698</v>
      </c>
      <c r="EY79" s="186">
        <f t="shared" si="151"/>
        <v>893186884.65999997</v>
      </c>
      <c r="EZ79" s="186">
        <f t="shared" si="151"/>
        <v>878561528.65999997</v>
      </c>
      <c r="FA79" s="186">
        <f t="shared" si="151"/>
        <v>0</v>
      </c>
      <c r="FB79" s="601">
        <f t="shared" si="151"/>
        <v>0</v>
      </c>
      <c r="FC79" s="186">
        <f t="shared" si="151"/>
        <v>0</v>
      </c>
      <c r="FD79" s="186">
        <f t="shared" si="151"/>
        <v>0</v>
      </c>
      <c r="FE79" s="186">
        <f t="shared" si="151"/>
        <v>0</v>
      </c>
      <c r="FF79" s="186">
        <f t="shared" si="151"/>
        <v>0</v>
      </c>
      <c r="FG79" s="186">
        <f t="shared" si="151"/>
        <v>0</v>
      </c>
      <c r="FH79" s="186">
        <f t="shared" si="151"/>
        <v>601965511</v>
      </c>
      <c r="FI79" s="186">
        <f t="shared" si="151"/>
        <v>456000000</v>
      </c>
      <c r="FJ79" s="186">
        <f t="shared" si="151"/>
        <v>436001389</v>
      </c>
      <c r="FK79" s="186">
        <f t="shared" si="151"/>
        <v>14625356</v>
      </c>
      <c r="FL79" s="186">
        <f t="shared" si="151"/>
        <v>410166007</v>
      </c>
      <c r="FM79" s="186">
        <f t="shared" si="151"/>
        <v>829924879</v>
      </c>
      <c r="FN79" s="186">
        <f t="shared" si="151"/>
        <v>513822000</v>
      </c>
      <c r="FO79" s="186">
        <f t="shared" si="151"/>
        <v>261574611</v>
      </c>
      <c r="FP79" s="186">
        <f t="shared" si="151"/>
        <v>0</v>
      </c>
      <c r="FQ79" s="186">
        <f t="shared" si="151"/>
        <v>0</v>
      </c>
      <c r="FR79" s="186">
        <f t="shared" si="151"/>
        <v>0</v>
      </c>
      <c r="FS79" s="186">
        <f t="shared" si="151"/>
        <v>0</v>
      </c>
      <c r="FT79" s="186">
        <f t="shared" si="151"/>
        <v>0</v>
      </c>
      <c r="FU79" s="186">
        <f t="shared" si="151"/>
        <v>0</v>
      </c>
      <c r="FV79" s="186">
        <f t="shared" si="151"/>
        <v>0</v>
      </c>
      <c r="FW79" s="186">
        <f t="shared" si="151"/>
        <v>0</v>
      </c>
      <c r="FX79" s="186">
        <f t="shared" si="151"/>
        <v>0</v>
      </c>
      <c r="FY79" s="186">
        <f t="shared" si="151"/>
        <v>0</v>
      </c>
      <c r="FZ79" s="186">
        <f t="shared" si="151"/>
        <v>0</v>
      </c>
      <c r="GA79" s="186">
        <f t="shared" si="151"/>
        <v>0</v>
      </c>
      <c r="GB79" s="186">
        <f t="shared" si="151"/>
        <v>0</v>
      </c>
      <c r="GC79" s="186">
        <f t="shared" si="151"/>
        <v>0</v>
      </c>
      <c r="GD79" s="186">
        <f t="shared" si="151"/>
        <v>0</v>
      </c>
      <c r="GE79" s="186">
        <f t="shared" si="151"/>
        <v>0</v>
      </c>
      <c r="GF79" s="186">
        <f t="shared" si="151"/>
        <v>0</v>
      </c>
      <c r="GG79" s="186">
        <f t="shared" si="151"/>
        <v>0</v>
      </c>
      <c r="GH79" s="186">
        <f t="shared" si="151"/>
        <v>0</v>
      </c>
      <c r="GI79" s="186">
        <f t="shared" si="151"/>
        <v>0</v>
      </c>
      <c r="GJ79" s="186">
        <f t="shared" si="151"/>
        <v>0</v>
      </c>
      <c r="GK79" s="186">
        <f t="shared" si="151"/>
        <v>0</v>
      </c>
      <c r="GL79" s="186">
        <f t="shared" si="151"/>
        <v>0</v>
      </c>
      <c r="GM79" s="186">
        <f t="shared" si="151"/>
        <v>0</v>
      </c>
      <c r="GN79" s="186">
        <f t="shared" si="151"/>
        <v>0</v>
      </c>
      <c r="GO79" s="186">
        <f t="shared" si="151"/>
        <v>0</v>
      </c>
      <c r="GP79" s="186">
        <f t="shared" si="151"/>
        <v>0</v>
      </c>
      <c r="GQ79" s="186">
        <f t="shared" si="151"/>
        <v>0</v>
      </c>
      <c r="GR79" s="186">
        <f t="shared" si="151"/>
        <v>0</v>
      </c>
      <c r="GS79" s="186">
        <f t="shared" si="151"/>
        <v>0</v>
      </c>
      <c r="GT79" s="186">
        <f t="shared" si="151"/>
        <v>0</v>
      </c>
      <c r="GU79" s="186">
        <f t="shared" si="151"/>
        <v>410166007</v>
      </c>
      <c r="GV79" s="186">
        <f t="shared" si="151"/>
        <v>1431890390</v>
      </c>
      <c r="GW79" s="186">
        <f t="shared" si="151"/>
        <v>969822000</v>
      </c>
      <c r="GX79" s="186">
        <f t="shared" si="151"/>
        <v>697576000</v>
      </c>
      <c r="GY79" s="186">
        <f t="shared" si="151"/>
        <v>14625356</v>
      </c>
      <c r="GZ79" s="186">
        <f t="shared" si="151"/>
        <v>1570366231</v>
      </c>
    </row>
    <row r="80" spans="1:208" ht="86.25" customHeight="1" x14ac:dyDescent="0.2">
      <c r="A80" s="326"/>
      <c r="B80" s="372"/>
      <c r="C80" s="277">
        <v>8</v>
      </c>
      <c r="D80" s="721" t="s">
        <v>202</v>
      </c>
      <c r="E80" s="306">
        <v>665</v>
      </c>
      <c r="F80" s="306">
        <v>798</v>
      </c>
      <c r="G80" s="260">
        <v>53</v>
      </c>
      <c r="H80" s="261" t="s">
        <v>211</v>
      </c>
      <c r="I80" s="258" t="s">
        <v>212</v>
      </c>
      <c r="J80" s="262" t="s">
        <v>125</v>
      </c>
      <c r="K80" s="262">
        <v>13</v>
      </c>
      <c r="L80" s="290" t="s">
        <v>58</v>
      </c>
      <c r="M80" s="264">
        <v>0</v>
      </c>
      <c r="N80" s="264">
        <v>1</v>
      </c>
      <c r="O80" s="988">
        <v>1</v>
      </c>
      <c r="P80" s="990">
        <v>1</v>
      </c>
      <c r="Q80" s="717">
        <v>1</v>
      </c>
      <c r="R80" s="268"/>
      <c r="S80" s="1000">
        <v>1</v>
      </c>
      <c r="T80" s="717">
        <v>1</v>
      </c>
      <c r="U80" s="717"/>
      <c r="V80" s="373">
        <v>1</v>
      </c>
      <c r="W80" s="717">
        <v>1</v>
      </c>
      <c r="X80" s="717"/>
      <c r="Y80" s="655">
        <v>0.7</v>
      </c>
      <c r="Z80" s="1001">
        <f>BM80/BM79</f>
        <v>1</v>
      </c>
      <c r="AA80" s="264">
        <v>8</v>
      </c>
      <c r="AB80" s="290" t="s">
        <v>135</v>
      </c>
      <c r="AC80" s="151"/>
      <c r="AD80" s="54"/>
      <c r="AE80" s="54"/>
      <c r="AF80" s="54"/>
      <c r="AG80" s="151">
        <v>292360000</v>
      </c>
      <c r="AH80" s="55">
        <v>297765559</v>
      </c>
      <c r="AI80" s="54">
        <v>292360000</v>
      </c>
      <c r="AJ80" s="54">
        <v>292360000</v>
      </c>
      <c r="AK80" s="151">
        <v>83000000</v>
      </c>
      <c r="AL80" s="54">
        <v>288140678</v>
      </c>
      <c r="AM80" s="55">
        <v>252784155</v>
      </c>
      <c r="AN80" s="1003">
        <v>252784155</v>
      </c>
      <c r="AO80" s="151"/>
      <c r="AP80" s="54"/>
      <c r="AQ80" s="54"/>
      <c r="AR80" s="54"/>
      <c r="AS80" s="151"/>
      <c r="AT80" s="54"/>
      <c r="AU80" s="54"/>
      <c r="AV80" s="54"/>
      <c r="AW80" s="151"/>
      <c r="AX80" s="54"/>
      <c r="AY80" s="54"/>
      <c r="AZ80" s="54"/>
      <c r="BA80" s="151"/>
      <c r="BB80" s="54"/>
      <c r="BC80" s="54"/>
      <c r="BD80" s="54"/>
      <c r="BE80" s="151"/>
      <c r="BF80" s="54"/>
      <c r="BG80" s="54"/>
      <c r="BH80" s="54"/>
      <c r="BI80" s="151"/>
      <c r="BJ80" s="54"/>
      <c r="BK80" s="54"/>
      <c r="BL80" s="54"/>
      <c r="BM80" s="53">
        <f>+AC80+AG80+AK80+AO80+AS80+AW80+BA80+BE80+BI80</f>
        <v>375360000</v>
      </c>
      <c r="BN80" s="54">
        <f>AD80+AH80+AL80+AP80+AT80+AX80+BB80+BF80+BJ80</f>
        <v>585906237</v>
      </c>
      <c r="BO80" s="54">
        <f>AE80+AI80+AM80+AQ80+AU80+AY80+BC80+BG80+BK80</f>
        <v>545144155</v>
      </c>
      <c r="BP80" s="54">
        <f>AF80+AJ80+AN80+AR80+AV80+AZ80+BD80+BH80+BL80</f>
        <v>545144155</v>
      </c>
      <c r="BQ80" s="83"/>
      <c r="BR80" s="83"/>
      <c r="BS80" s="83"/>
      <c r="BT80" s="83"/>
      <c r="BU80" s="84">
        <v>386620800</v>
      </c>
      <c r="BV80" s="83">
        <f>50100000+88606963</f>
        <v>138706963</v>
      </c>
      <c r="BW80" s="83">
        <v>138706963</v>
      </c>
      <c r="BX80" s="83">
        <v>138706963</v>
      </c>
      <c r="BY80" s="83"/>
      <c r="BZ80" s="83"/>
      <c r="CA80" s="83">
        <v>901202600</v>
      </c>
      <c r="CB80" s="83">
        <v>901202600</v>
      </c>
      <c r="CC80" s="83">
        <v>876282600</v>
      </c>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1">
        <f>BQ80+BU80+BZ80+CE80+CI80+CM80+CQ80+CV80+DA80</f>
        <v>386620800</v>
      </c>
      <c r="DF80" s="95">
        <f>BR80+BV80+CA80+CF80+CJ80+CN80+CR80+CW80+DB80</f>
        <v>1039909563</v>
      </c>
      <c r="DG80" s="95">
        <f>BS80+BW80+CB80+CG80+CK80+CO80+CS80+CX80+DC80</f>
        <v>1039909563</v>
      </c>
      <c r="DH80" s="95">
        <f>BT80+BX80+CC80+CH80+CL80+CP80+CT80+CY80+DD80</f>
        <v>1014989563</v>
      </c>
      <c r="DI80" s="95"/>
      <c r="DJ80" s="84"/>
      <c r="DK80" s="65"/>
      <c r="DL80" s="84"/>
      <c r="DM80" s="84"/>
      <c r="DN80" s="84"/>
      <c r="DO80" s="65">
        <v>226713698</v>
      </c>
      <c r="DP80" s="84">
        <v>203289884.66</v>
      </c>
      <c r="DQ80" s="84">
        <v>188664528.66</v>
      </c>
      <c r="DR80" s="84"/>
      <c r="DS80" s="84">
        <v>398219424</v>
      </c>
      <c r="DT80" s="84">
        <v>862000000</v>
      </c>
      <c r="DU80" s="84">
        <v>689897000</v>
      </c>
      <c r="DV80" s="84">
        <v>689897000</v>
      </c>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3"/>
      <c r="EU80" s="83"/>
      <c r="EV80" s="83"/>
      <c r="EW80" s="81">
        <f>DJ80+DN80+DS80+DX80+EB80+EF80+EJ80+EN80+ES80</f>
        <v>398219424</v>
      </c>
      <c r="EX80" s="85">
        <f>DK80+DO80+DT80+DY80+EC80+EG80+EK80+EO80+ET80</f>
        <v>1088713698</v>
      </c>
      <c r="EY80" s="86">
        <f>DL80+DP80+DU80+DZ80+ED80+EH80+EL80+EP80+EU80</f>
        <v>893186884.65999997</v>
      </c>
      <c r="EZ80" s="86">
        <f>DM80+DQ80+DV80+EA80+EE80+EI80+EM80+EQ80+EV80</f>
        <v>878561528.65999997</v>
      </c>
      <c r="FA80" s="176"/>
      <c r="FB80" s="83"/>
      <c r="FC80" s="84"/>
      <c r="FD80" s="84"/>
      <c r="FE80" s="84"/>
      <c r="FF80" s="140"/>
      <c r="FG80" s="83"/>
      <c r="FH80" s="83">
        <v>601965511</v>
      </c>
      <c r="FI80" s="83">
        <v>456000000</v>
      </c>
      <c r="FJ80" s="83">
        <v>436001389</v>
      </c>
      <c r="FK80" s="83">
        <v>14625356</v>
      </c>
      <c r="FL80" s="83">
        <v>410166007</v>
      </c>
      <c r="FM80" s="83">
        <v>829924879</v>
      </c>
      <c r="FN80" s="83">
        <v>513822000</v>
      </c>
      <c r="FO80" s="83">
        <v>261574611</v>
      </c>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1">
        <f>FB80+FG80+FL80+FQ80+FV80+GA80+GF80+GK80+GP80</f>
        <v>410166007</v>
      </c>
      <c r="GV80" s="81">
        <f>GQ80+GL80+GG80+GB80+FW80+FR80+FM80+FH80+FC80</f>
        <v>1431890390</v>
      </c>
      <c r="GW80" s="81">
        <f>GR80+GM80+GH80+GC80+FX80+FS80+FN80+FI80+FD80</f>
        <v>969822000</v>
      </c>
      <c r="GX80" s="81">
        <f>GS80+GN80+GI80+GD80+FY80+FT80+FO80+FJ80+FE80</f>
        <v>697576000</v>
      </c>
      <c r="GY80" s="673">
        <f>GT80+GO80+GJ80+GE80+FZ80+FU80+FP80+FK80+FF80</f>
        <v>14625356</v>
      </c>
      <c r="GZ80" s="67">
        <f>BM80+DE80+EW80+GU80</f>
        <v>1570366231</v>
      </c>
    </row>
    <row r="81" spans="1:208" s="343" customFormat="1" ht="24.75" customHeight="1" x14ac:dyDescent="0.2">
      <c r="A81" s="326"/>
      <c r="B81" s="234">
        <v>4</v>
      </c>
      <c r="C81" s="324" t="s">
        <v>213</v>
      </c>
      <c r="D81" s="239"/>
      <c r="E81" s="239"/>
      <c r="F81" s="239"/>
      <c r="G81" s="238"/>
      <c r="H81" s="238"/>
      <c r="I81" s="238"/>
      <c r="J81" s="238"/>
      <c r="K81" s="238"/>
      <c r="L81" s="238"/>
      <c r="M81" s="238"/>
      <c r="N81" s="238"/>
      <c r="O81" s="238"/>
      <c r="P81" s="238"/>
      <c r="Q81" s="238"/>
      <c r="R81" s="238"/>
      <c r="S81" s="238"/>
      <c r="T81" s="238"/>
      <c r="U81" s="238"/>
      <c r="V81" s="238"/>
      <c r="W81" s="238"/>
      <c r="X81" s="512"/>
      <c r="Y81" s="241"/>
      <c r="Z81" s="238"/>
      <c r="AA81" s="238"/>
      <c r="AB81" s="238"/>
      <c r="AC81" s="50">
        <f t="shared" ref="AC81:CN81" si="152">AC82+AC86</f>
        <v>0</v>
      </c>
      <c r="AD81" s="50">
        <f t="shared" si="152"/>
        <v>0</v>
      </c>
      <c r="AE81" s="50">
        <f t="shared" si="152"/>
        <v>0</v>
      </c>
      <c r="AF81" s="50">
        <f t="shared" si="152"/>
        <v>0</v>
      </c>
      <c r="AG81" s="50">
        <f t="shared" si="152"/>
        <v>7625296341</v>
      </c>
      <c r="AH81" s="50">
        <f t="shared" si="152"/>
        <v>8236643741</v>
      </c>
      <c r="AI81" s="50">
        <f t="shared" si="152"/>
        <v>6262570752.6400003</v>
      </c>
      <c r="AJ81" s="50">
        <f t="shared" si="152"/>
        <v>4404794756</v>
      </c>
      <c r="AK81" s="50">
        <f t="shared" si="152"/>
        <v>563293889</v>
      </c>
      <c r="AL81" s="50">
        <f t="shared" si="152"/>
        <v>744891377</v>
      </c>
      <c r="AM81" s="50">
        <f t="shared" si="152"/>
        <v>259911290</v>
      </c>
      <c r="AN81" s="50">
        <f t="shared" si="152"/>
        <v>237631357</v>
      </c>
      <c r="AO81" s="50">
        <f t="shared" si="152"/>
        <v>20519904</v>
      </c>
      <c r="AP81" s="50">
        <f t="shared" si="152"/>
        <v>148519904</v>
      </c>
      <c r="AQ81" s="50">
        <f t="shared" si="152"/>
        <v>20519904</v>
      </c>
      <c r="AR81" s="50">
        <f t="shared" si="152"/>
        <v>0</v>
      </c>
      <c r="AS81" s="50">
        <f t="shared" si="152"/>
        <v>0</v>
      </c>
      <c r="AT81" s="50">
        <f t="shared" si="152"/>
        <v>0</v>
      </c>
      <c r="AU81" s="50">
        <f t="shared" si="152"/>
        <v>0</v>
      </c>
      <c r="AV81" s="50">
        <f t="shared" si="152"/>
        <v>0</v>
      </c>
      <c r="AW81" s="50">
        <f t="shared" si="152"/>
        <v>0</v>
      </c>
      <c r="AX81" s="50">
        <f t="shared" si="152"/>
        <v>0</v>
      </c>
      <c r="AY81" s="50">
        <f t="shared" si="152"/>
        <v>0</v>
      </c>
      <c r="AZ81" s="50">
        <f t="shared" si="152"/>
        <v>0</v>
      </c>
      <c r="BA81" s="50">
        <f t="shared" si="152"/>
        <v>0</v>
      </c>
      <c r="BB81" s="50">
        <f t="shared" si="152"/>
        <v>0</v>
      </c>
      <c r="BC81" s="50">
        <f t="shared" si="152"/>
        <v>0</v>
      </c>
      <c r="BD81" s="50">
        <f t="shared" si="152"/>
        <v>0</v>
      </c>
      <c r="BE81" s="50">
        <f t="shared" si="152"/>
        <v>0</v>
      </c>
      <c r="BF81" s="50">
        <f t="shared" si="152"/>
        <v>0</v>
      </c>
      <c r="BG81" s="50">
        <f t="shared" si="152"/>
        <v>0</v>
      </c>
      <c r="BH81" s="50">
        <f t="shared" si="152"/>
        <v>0</v>
      </c>
      <c r="BI81" s="50">
        <f t="shared" si="152"/>
        <v>2400000000</v>
      </c>
      <c r="BJ81" s="50">
        <f t="shared" si="152"/>
        <v>0</v>
      </c>
      <c r="BK81" s="50">
        <f t="shared" si="152"/>
        <v>0</v>
      </c>
      <c r="BL81" s="50">
        <f t="shared" si="152"/>
        <v>0</v>
      </c>
      <c r="BM81" s="50">
        <f t="shared" si="152"/>
        <v>10609110134</v>
      </c>
      <c r="BN81" s="50">
        <f t="shared" si="152"/>
        <v>9130055022</v>
      </c>
      <c r="BO81" s="50">
        <f t="shared" si="152"/>
        <v>6543001946.6400003</v>
      </c>
      <c r="BP81" s="50">
        <f t="shared" si="152"/>
        <v>4642426113</v>
      </c>
      <c r="BQ81" s="50">
        <f t="shared" si="152"/>
        <v>3000000000</v>
      </c>
      <c r="BR81" s="50">
        <f t="shared" si="152"/>
        <v>0</v>
      </c>
      <c r="BS81" s="50">
        <f t="shared" si="152"/>
        <v>0</v>
      </c>
      <c r="BT81" s="50">
        <f t="shared" si="152"/>
        <v>0</v>
      </c>
      <c r="BU81" s="50">
        <f t="shared" si="152"/>
        <v>7958719927</v>
      </c>
      <c r="BV81" s="50">
        <f t="shared" si="152"/>
        <v>6399036898</v>
      </c>
      <c r="BW81" s="50">
        <f t="shared" si="152"/>
        <v>4823347030.6599998</v>
      </c>
      <c r="BX81" s="50">
        <f t="shared" si="152"/>
        <v>4153752568.8600001</v>
      </c>
      <c r="BY81" s="50">
        <f t="shared" si="152"/>
        <v>0</v>
      </c>
      <c r="BZ81" s="50">
        <f t="shared" si="152"/>
        <v>100000000</v>
      </c>
      <c r="CA81" s="50">
        <f t="shared" si="152"/>
        <v>7801815878.2799997</v>
      </c>
      <c r="CB81" s="50">
        <f t="shared" si="152"/>
        <v>5266304084.9800005</v>
      </c>
      <c r="CC81" s="50">
        <f t="shared" si="152"/>
        <v>5047464084.9800005</v>
      </c>
      <c r="CD81" s="50">
        <f t="shared" si="152"/>
        <v>16474147</v>
      </c>
      <c r="CE81" s="50">
        <f t="shared" si="152"/>
        <v>0</v>
      </c>
      <c r="CF81" s="50">
        <f t="shared" si="152"/>
        <v>611890318</v>
      </c>
      <c r="CG81" s="50">
        <f t="shared" si="152"/>
        <v>0</v>
      </c>
      <c r="CH81" s="50">
        <f t="shared" si="152"/>
        <v>0</v>
      </c>
      <c r="CI81" s="50">
        <f t="shared" si="152"/>
        <v>0</v>
      </c>
      <c r="CJ81" s="50">
        <f t="shared" si="152"/>
        <v>0</v>
      </c>
      <c r="CK81" s="50">
        <f t="shared" si="152"/>
        <v>0</v>
      </c>
      <c r="CL81" s="50">
        <f t="shared" si="152"/>
        <v>0</v>
      </c>
      <c r="CM81" s="50">
        <f t="shared" si="152"/>
        <v>0</v>
      </c>
      <c r="CN81" s="50">
        <f t="shared" si="152"/>
        <v>0</v>
      </c>
      <c r="CO81" s="50">
        <f t="shared" ref="CO81:EV81" si="153">CO82+CO86</f>
        <v>0</v>
      </c>
      <c r="CP81" s="50">
        <f t="shared" si="153"/>
        <v>0</v>
      </c>
      <c r="CQ81" s="50">
        <f t="shared" si="153"/>
        <v>0</v>
      </c>
      <c r="CR81" s="50">
        <f t="shared" si="153"/>
        <v>0</v>
      </c>
      <c r="CS81" s="50">
        <f t="shared" si="153"/>
        <v>0</v>
      </c>
      <c r="CT81" s="50">
        <f t="shared" si="153"/>
        <v>0</v>
      </c>
      <c r="CU81" s="50">
        <f t="shared" si="153"/>
        <v>0</v>
      </c>
      <c r="CV81" s="50">
        <f t="shared" si="153"/>
        <v>0</v>
      </c>
      <c r="CW81" s="50">
        <f t="shared" si="153"/>
        <v>0</v>
      </c>
      <c r="CX81" s="50">
        <f t="shared" si="153"/>
        <v>0</v>
      </c>
      <c r="CY81" s="50">
        <f t="shared" si="153"/>
        <v>0</v>
      </c>
      <c r="CZ81" s="50">
        <f t="shared" si="153"/>
        <v>0</v>
      </c>
      <c r="DA81" s="50">
        <f t="shared" si="153"/>
        <v>12000000000</v>
      </c>
      <c r="DB81" s="50">
        <f t="shared" si="153"/>
        <v>0</v>
      </c>
      <c r="DC81" s="50">
        <f t="shared" si="153"/>
        <v>0</v>
      </c>
      <c r="DD81" s="50">
        <f t="shared" si="153"/>
        <v>0</v>
      </c>
      <c r="DE81" s="50">
        <f t="shared" si="153"/>
        <v>23058719927</v>
      </c>
      <c r="DF81" s="50">
        <f t="shared" si="153"/>
        <v>14812743094.279999</v>
      </c>
      <c r="DG81" s="50">
        <f t="shared" si="153"/>
        <v>10089651115.639999</v>
      </c>
      <c r="DH81" s="50">
        <f t="shared" si="153"/>
        <v>9201216653.8400002</v>
      </c>
      <c r="DI81" s="50">
        <f t="shared" si="153"/>
        <v>16474147</v>
      </c>
      <c r="DJ81" s="50">
        <f t="shared" si="153"/>
        <v>10000000000</v>
      </c>
      <c r="DK81" s="50">
        <f t="shared" si="153"/>
        <v>8642341966.5</v>
      </c>
      <c r="DL81" s="50">
        <f t="shared" si="153"/>
        <v>7076958184.5</v>
      </c>
      <c r="DM81" s="50">
        <f t="shared" si="153"/>
        <v>3907053634.8099999</v>
      </c>
      <c r="DN81" s="50">
        <f t="shared" si="153"/>
        <v>8364317496</v>
      </c>
      <c r="DO81" s="50">
        <f t="shared" si="153"/>
        <v>8436477409.8999996</v>
      </c>
      <c r="DP81" s="50">
        <f t="shared" si="153"/>
        <v>7852960317.1000004</v>
      </c>
      <c r="DQ81" s="50">
        <f t="shared" si="153"/>
        <v>4401515069.3200006</v>
      </c>
      <c r="DR81" s="50">
        <f t="shared" si="153"/>
        <v>31150699</v>
      </c>
      <c r="DS81" s="50">
        <f t="shared" si="153"/>
        <v>40000000</v>
      </c>
      <c r="DT81" s="50">
        <f t="shared" si="153"/>
        <v>6983191150</v>
      </c>
      <c r="DU81" s="50">
        <f t="shared" si="153"/>
        <v>4791380190.71</v>
      </c>
      <c r="DV81" s="50">
        <f t="shared" si="153"/>
        <v>3935288040.1100001</v>
      </c>
      <c r="DW81" s="50">
        <f t="shared" si="153"/>
        <v>0</v>
      </c>
      <c r="DX81" s="50">
        <f t="shared" si="153"/>
        <v>0</v>
      </c>
      <c r="DY81" s="50">
        <f t="shared" si="153"/>
        <v>0</v>
      </c>
      <c r="DZ81" s="50">
        <f t="shared" si="153"/>
        <v>0</v>
      </c>
      <c r="EA81" s="50">
        <f t="shared" si="153"/>
        <v>0</v>
      </c>
      <c r="EB81" s="50">
        <f t="shared" si="153"/>
        <v>0</v>
      </c>
      <c r="EC81" s="50">
        <f t="shared" si="153"/>
        <v>0</v>
      </c>
      <c r="ED81" s="50">
        <f t="shared" si="153"/>
        <v>0</v>
      </c>
      <c r="EE81" s="50">
        <f t="shared" si="153"/>
        <v>0</v>
      </c>
      <c r="EF81" s="50">
        <f t="shared" si="153"/>
        <v>0</v>
      </c>
      <c r="EG81" s="50">
        <f t="shared" si="153"/>
        <v>0</v>
      </c>
      <c r="EH81" s="50">
        <f t="shared" si="153"/>
        <v>0</v>
      </c>
      <c r="EI81" s="50">
        <f t="shared" si="153"/>
        <v>0</v>
      </c>
      <c r="EJ81" s="50">
        <f t="shared" si="153"/>
        <v>0</v>
      </c>
      <c r="EK81" s="50">
        <f t="shared" si="153"/>
        <v>0</v>
      </c>
      <c r="EL81" s="50">
        <f t="shared" si="153"/>
        <v>0</v>
      </c>
      <c r="EM81" s="50">
        <f t="shared" si="153"/>
        <v>0</v>
      </c>
      <c r="EN81" s="50">
        <f t="shared" si="153"/>
        <v>0</v>
      </c>
      <c r="EO81" s="50">
        <f t="shared" si="153"/>
        <v>0</v>
      </c>
      <c r="EP81" s="50">
        <f t="shared" si="153"/>
        <v>0</v>
      </c>
      <c r="EQ81" s="50">
        <f t="shared" si="153"/>
        <v>0</v>
      </c>
      <c r="ER81" s="50">
        <f t="shared" si="153"/>
        <v>0</v>
      </c>
      <c r="ES81" s="50">
        <f t="shared" si="153"/>
        <v>3000000000</v>
      </c>
      <c r="ET81" s="50">
        <f t="shared" si="153"/>
        <v>0</v>
      </c>
      <c r="EU81" s="50">
        <f t="shared" si="153"/>
        <v>0</v>
      </c>
      <c r="EV81" s="50">
        <f t="shared" si="153"/>
        <v>0</v>
      </c>
      <c r="EW81" s="50">
        <f t="shared" ref="EW81" si="154">EW82+EW86</f>
        <v>21404317496</v>
      </c>
      <c r="EX81" s="50">
        <f>EX82+EX86</f>
        <v>24062010526.400002</v>
      </c>
      <c r="EY81" s="50">
        <f t="shared" ref="EY81:GZ81" si="155">EY82+EY86</f>
        <v>19721298692.310001</v>
      </c>
      <c r="EZ81" s="50">
        <f t="shared" si="155"/>
        <v>12243856744.24</v>
      </c>
      <c r="FA81" s="50">
        <f t="shared" si="155"/>
        <v>31150699</v>
      </c>
      <c r="FB81" s="50">
        <f t="shared" si="155"/>
        <v>10000000000</v>
      </c>
      <c r="FC81" s="50">
        <f t="shared" si="155"/>
        <v>17936150863</v>
      </c>
      <c r="FD81" s="50">
        <f t="shared" si="155"/>
        <v>948343996</v>
      </c>
      <c r="FE81" s="50">
        <f t="shared" si="155"/>
        <v>63780402</v>
      </c>
      <c r="FF81" s="50">
        <f t="shared" si="155"/>
        <v>1727583726.8099999</v>
      </c>
      <c r="FG81" s="50">
        <f t="shared" si="155"/>
        <v>8778801135</v>
      </c>
      <c r="FH81" s="50">
        <f t="shared" si="155"/>
        <v>4633150837</v>
      </c>
      <c r="FI81" s="50">
        <f t="shared" si="155"/>
        <v>1533839508.5049999</v>
      </c>
      <c r="FJ81" s="50">
        <f t="shared" si="155"/>
        <v>1060652442.9000001</v>
      </c>
      <c r="FK81" s="50">
        <f t="shared" si="155"/>
        <v>271425549.69</v>
      </c>
      <c r="FL81" s="50">
        <f t="shared" si="155"/>
        <v>20000000</v>
      </c>
      <c r="FM81" s="50">
        <f t="shared" si="155"/>
        <v>6741370821</v>
      </c>
      <c r="FN81" s="50">
        <f t="shared" si="155"/>
        <v>1442261668</v>
      </c>
      <c r="FO81" s="50">
        <f t="shared" si="155"/>
        <v>893082533.65999997</v>
      </c>
      <c r="FP81" s="50">
        <f t="shared" si="155"/>
        <v>147501937.59999999</v>
      </c>
      <c r="FQ81" s="50">
        <f t="shared" si="155"/>
        <v>0</v>
      </c>
      <c r="FR81" s="50">
        <f t="shared" si="155"/>
        <v>815853756</v>
      </c>
      <c r="FS81" s="50">
        <f t="shared" si="155"/>
        <v>803071603</v>
      </c>
      <c r="FT81" s="50">
        <f t="shared" si="155"/>
        <v>0</v>
      </c>
      <c r="FU81" s="50">
        <f t="shared" si="155"/>
        <v>0</v>
      </c>
      <c r="FV81" s="50">
        <f t="shared" si="155"/>
        <v>0</v>
      </c>
      <c r="FW81" s="50">
        <f t="shared" si="155"/>
        <v>0</v>
      </c>
      <c r="FX81" s="50">
        <f t="shared" si="155"/>
        <v>0</v>
      </c>
      <c r="FY81" s="50">
        <f t="shared" si="155"/>
        <v>0</v>
      </c>
      <c r="FZ81" s="50">
        <f t="shared" si="155"/>
        <v>0</v>
      </c>
      <c r="GA81" s="50">
        <f t="shared" si="155"/>
        <v>0</v>
      </c>
      <c r="GB81" s="50">
        <f t="shared" si="155"/>
        <v>0</v>
      </c>
      <c r="GC81" s="50">
        <f t="shared" si="155"/>
        <v>0</v>
      </c>
      <c r="GD81" s="50">
        <f t="shared" si="155"/>
        <v>0</v>
      </c>
      <c r="GE81" s="50">
        <f t="shared" si="155"/>
        <v>0</v>
      </c>
      <c r="GF81" s="50">
        <f t="shared" si="155"/>
        <v>0</v>
      </c>
      <c r="GG81" s="50">
        <f t="shared" si="155"/>
        <v>0</v>
      </c>
      <c r="GH81" s="50">
        <f t="shared" si="155"/>
        <v>0</v>
      </c>
      <c r="GI81" s="50">
        <f t="shared" si="155"/>
        <v>0</v>
      </c>
      <c r="GJ81" s="50">
        <f t="shared" si="155"/>
        <v>0</v>
      </c>
      <c r="GK81" s="50">
        <f t="shared" si="155"/>
        <v>0</v>
      </c>
      <c r="GL81" s="50">
        <f t="shared" si="155"/>
        <v>0</v>
      </c>
      <c r="GM81" s="50">
        <f t="shared" si="155"/>
        <v>0</v>
      </c>
      <c r="GN81" s="50">
        <f t="shared" si="155"/>
        <v>0</v>
      </c>
      <c r="GO81" s="50">
        <f t="shared" si="155"/>
        <v>0</v>
      </c>
      <c r="GP81" s="50">
        <f t="shared" si="155"/>
        <v>6054879885</v>
      </c>
      <c r="GQ81" s="50">
        <f t="shared" si="155"/>
        <v>0</v>
      </c>
      <c r="GR81" s="50">
        <f t="shared" si="155"/>
        <v>0</v>
      </c>
      <c r="GS81" s="50">
        <f t="shared" si="155"/>
        <v>0</v>
      </c>
      <c r="GT81" s="50">
        <f t="shared" si="155"/>
        <v>0</v>
      </c>
      <c r="GU81" s="50">
        <f t="shared" si="155"/>
        <v>24853681020</v>
      </c>
      <c r="GV81" s="50">
        <f t="shared" si="155"/>
        <v>30126526277</v>
      </c>
      <c r="GW81" s="50">
        <f t="shared" si="155"/>
        <v>4727516775.5050001</v>
      </c>
      <c r="GX81" s="50">
        <f t="shared" si="155"/>
        <v>2017515378.5599999</v>
      </c>
      <c r="GY81" s="50">
        <f t="shared" si="155"/>
        <v>2146511214.0999999</v>
      </c>
      <c r="GZ81" s="50">
        <f t="shared" si="155"/>
        <v>79925828577</v>
      </c>
    </row>
    <row r="82" spans="1:208" s="343" customFormat="1" ht="24.75" customHeight="1" x14ac:dyDescent="0.2">
      <c r="A82" s="326"/>
      <c r="B82" s="1004"/>
      <c r="C82" s="246">
        <v>14</v>
      </c>
      <c r="D82" s="247" t="s">
        <v>214</v>
      </c>
      <c r="E82" s="248"/>
      <c r="F82" s="247"/>
      <c r="G82" s="313"/>
      <c r="H82" s="313"/>
      <c r="I82" s="313"/>
      <c r="J82" s="313"/>
      <c r="K82" s="313"/>
      <c r="L82" s="313"/>
      <c r="M82" s="313"/>
      <c r="N82" s="313"/>
      <c r="O82" s="313"/>
      <c r="P82" s="313"/>
      <c r="Q82" s="313"/>
      <c r="R82" s="313"/>
      <c r="S82" s="313"/>
      <c r="T82" s="313"/>
      <c r="U82" s="313"/>
      <c r="V82" s="313"/>
      <c r="W82" s="313"/>
      <c r="X82" s="246"/>
      <c r="Y82" s="296"/>
      <c r="Z82" s="313"/>
      <c r="AA82" s="313"/>
      <c r="AB82" s="313"/>
      <c r="AC82" s="52">
        <f t="shared" ref="AC82:BL82" si="156">SUM(AC83:AC85)</f>
        <v>0</v>
      </c>
      <c r="AD82" s="52">
        <f t="shared" si="156"/>
        <v>0</v>
      </c>
      <c r="AE82" s="52">
        <f t="shared" si="156"/>
        <v>0</v>
      </c>
      <c r="AF82" s="52">
        <f t="shared" si="156"/>
        <v>0</v>
      </c>
      <c r="AG82" s="52">
        <f t="shared" si="156"/>
        <v>502256341</v>
      </c>
      <c r="AH82" s="52">
        <f t="shared" si="156"/>
        <v>727867045.58000004</v>
      </c>
      <c r="AI82" s="52">
        <f t="shared" si="156"/>
        <v>402334883.62</v>
      </c>
      <c r="AJ82" s="52">
        <f t="shared" si="156"/>
        <v>402334883.62</v>
      </c>
      <c r="AK82" s="52">
        <f t="shared" si="156"/>
        <v>363293889</v>
      </c>
      <c r="AL82" s="52">
        <f t="shared" si="156"/>
        <v>404891377</v>
      </c>
      <c r="AM82" s="52">
        <f t="shared" si="156"/>
        <v>182485098</v>
      </c>
      <c r="AN82" s="52">
        <f t="shared" si="156"/>
        <v>182485098</v>
      </c>
      <c r="AO82" s="52">
        <f t="shared" si="156"/>
        <v>0</v>
      </c>
      <c r="AP82" s="52">
        <f t="shared" si="156"/>
        <v>0</v>
      </c>
      <c r="AQ82" s="52">
        <f t="shared" si="156"/>
        <v>0</v>
      </c>
      <c r="AR82" s="52">
        <f t="shared" si="156"/>
        <v>0</v>
      </c>
      <c r="AS82" s="52">
        <f t="shared" si="156"/>
        <v>0</v>
      </c>
      <c r="AT82" s="52">
        <f t="shared" si="156"/>
        <v>0</v>
      </c>
      <c r="AU82" s="52">
        <f t="shared" si="156"/>
        <v>0</v>
      </c>
      <c r="AV82" s="52">
        <f t="shared" si="156"/>
        <v>0</v>
      </c>
      <c r="AW82" s="52">
        <f t="shared" si="156"/>
        <v>0</v>
      </c>
      <c r="AX82" s="52">
        <f t="shared" si="156"/>
        <v>0</v>
      </c>
      <c r="AY82" s="52">
        <f t="shared" si="156"/>
        <v>0</v>
      </c>
      <c r="AZ82" s="52">
        <f t="shared" si="156"/>
        <v>0</v>
      </c>
      <c r="BA82" s="52">
        <f t="shared" si="156"/>
        <v>0</v>
      </c>
      <c r="BB82" s="52">
        <f t="shared" si="156"/>
        <v>0</v>
      </c>
      <c r="BC82" s="52">
        <f t="shared" si="156"/>
        <v>0</v>
      </c>
      <c r="BD82" s="52">
        <f t="shared" si="156"/>
        <v>0</v>
      </c>
      <c r="BE82" s="52">
        <f t="shared" si="156"/>
        <v>0</v>
      </c>
      <c r="BF82" s="52">
        <f t="shared" si="156"/>
        <v>0</v>
      </c>
      <c r="BG82" s="52">
        <f t="shared" si="156"/>
        <v>0</v>
      </c>
      <c r="BH82" s="52">
        <f t="shared" si="156"/>
        <v>0</v>
      </c>
      <c r="BI82" s="52">
        <f t="shared" si="156"/>
        <v>0</v>
      </c>
      <c r="BJ82" s="52">
        <f t="shared" si="156"/>
        <v>0</v>
      </c>
      <c r="BK82" s="52">
        <f t="shared" si="156"/>
        <v>0</v>
      </c>
      <c r="BL82" s="52">
        <f t="shared" si="156"/>
        <v>0</v>
      </c>
      <c r="BM82" s="52">
        <f t="shared" ref="BM82:DX82" si="157">SUM(BM83:BM85)</f>
        <v>865550230</v>
      </c>
      <c r="BN82" s="52">
        <f t="shared" si="157"/>
        <v>1132758422.5799999</v>
      </c>
      <c r="BO82" s="52">
        <f t="shared" si="157"/>
        <v>584819981.62</v>
      </c>
      <c r="BP82" s="52">
        <f t="shared" si="157"/>
        <v>584819981.62</v>
      </c>
      <c r="BQ82" s="52">
        <f t="shared" si="157"/>
        <v>0</v>
      </c>
      <c r="BR82" s="52">
        <f t="shared" si="157"/>
        <v>0</v>
      </c>
      <c r="BS82" s="52">
        <f t="shared" si="157"/>
        <v>0</v>
      </c>
      <c r="BT82" s="52">
        <f t="shared" si="157"/>
        <v>0</v>
      </c>
      <c r="BU82" s="52">
        <f t="shared" si="157"/>
        <v>621988727</v>
      </c>
      <c r="BV82" s="52">
        <f t="shared" si="157"/>
        <v>749266546</v>
      </c>
      <c r="BW82" s="52">
        <f t="shared" si="157"/>
        <v>659594390.64999998</v>
      </c>
      <c r="BX82" s="52">
        <f t="shared" si="157"/>
        <v>656794390.64999998</v>
      </c>
      <c r="BY82" s="52">
        <f t="shared" si="157"/>
        <v>0</v>
      </c>
      <c r="BZ82" s="52">
        <f t="shared" si="157"/>
        <v>0</v>
      </c>
      <c r="CA82" s="52">
        <f t="shared" si="157"/>
        <v>662622516.06999993</v>
      </c>
      <c r="CB82" s="52">
        <f t="shared" si="157"/>
        <v>520248265.06999999</v>
      </c>
      <c r="CC82" s="52">
        <f t="shared" si="157"/>
        <v>362788265.06999999</v>
      </c>
      <c r="CD82" s="52">
        <f t="shared" si="157"/>
        <v>0</v>
      </c>
      <c r="CE82" s="52">
        <f t="shared" si="157"/>
        <v>0</v>
      </c>
      <c r="CF82" s="52">
        <f t="shared" si="157"/>
        <v>0</v>
      </c>
      <c r="CG82" s="52">
        <f t="shared" si="157"/>
        <v>0</v>
      </c>
      <c r="CH82" s="52">
        <f t="shared" si="157"/>
        <v>0</v>
      </c>
      <c r="CI82" s="52">
        <f t="shared" si="157"/>
        <v>0</v>
      </c>
      <c r="CJ82" s="52">
        <f t="shared" si="157"/>
        <v>0</v>
      </c>
      <c r="CK82" s="52">
        <f t="shared" si="157"/>
        <v>0</v>
      </c>
      <c r="CL82" s="52">
        <f t="shared" si="157"/>
        <v>0</v>
      </c>
      <c r="CM82" s="52">
        <f t="shared" si="157"/>
        <v>0</v>
      </c>
      <c r="CN82" s="52">
        <f t="shared" si="157"/>
        <v>0</v>
      </c>
      <c r="CO82" s="52">
        <f t="shared" si="157"/>
        <v>0</v>
      </c>
      <c r="CP82" s="52">
        <f t="shared" si="157"/>
        <v>0</v>
      </c>
      <c r="CQ82" s="52">
        <f t="shared" si="157"/>
        <v>0</v>
      </c>
      <c r="CR82" s="52">
        <f t="shared" si="157"/>
        <v>0</v>
      </c>
      <c r="CS82" s="52">
        <f t="shared" si="157"/>
        <v>0</v>
      </c>
      <c r="CT82" s="52">
        <f t="shared" si="157"/>
        <v>0</v>
      </c>
      <c r="CU82" s="52">
        <f t="shared" si="157"/>
        <v>0</v>
      </c>
      <c r="CV82" s="52">
        <f t="shared" si="157"/>
        <v>0</v>
      </c>
      <c r="CW82" s="52">
        <f t="shared" si="157"/>
        <v>0</v>
      </c>
      <c r="CX82" s="52">
        <f t="shared" si="157"/>
        <v>0</v>
      </c>
      <c r="CY82" s="52">
        <f t="shared" si="157"/>
        <v>0</v>
      </c>
      <c r="CZ82" s="52">
        <f t="shared" si="157"/>
        <v>0</v>
      </c>
      <c r="DA82" s="52">
        <f t="shared" si="157"/>
        <v>0</v>
      </c>
      <c r="DB82" s="52">
        <f t="shared" si="157"/>
        <v>0</v>
      </c>
      <c r="DC82" s="52">
        <f t="shared" si="157"/>
        <v>0</v>
      </c>
      <c r="DD82" s="52">
        <f t="shared" si="157"/>
        <v>0</v>
      </c>
      <c r="DE82" s="52">
        <f t="shared" si="157"/>
        <v>621988727</v>
      </c>
      <c r="DF82" s="52">
        <f t="shared" si="157"/>
        <v>1411889062.0699999</v>
      </c>
      <c r="DG82" s="52">
        <f t="shared" si="157"/>
        <v>1179842655.72</v>
      </c>
      <c r="DH82" s="52">
        <f t="shared" si="157"/>
        <v>1019582655.72</v>
      </c>
      <c r="DI82" s="52">
        <f t="shared" si="157"/>
        <v>0</v>
      </c>
      <c r="DJ82" s="52">
        <f t="shared" si="157"/>
        <v>2000000000</v>
      </c>
      <c r="DK82" s="52">
        <f t="shared" si="157"/>
        <v>3880000000</v>
      </c>
      <c r="DL82" s="52">
        <f t="shared" si="157"/>
        <v>2870893712</v>
      </c>
      <c r="DM82" s="52">
        <f t="shared" si="157"/>
        <v>2604664453.4000001</v>
      </c>
      <c r="DN82" s="52">
        <f t="shared" si="157"/>
        <v>807484360</v>
      </c>
      <c r="DO82" s="52">
        <f t="shared" si="157"/>
        <v>1362046545.9000001</v>
      </c>
      <c r="DP82" s="52">
        <f t="shared" si="157"/>
        <v>1181634788.3</v>
      </c>
      <c r="DQ82" s="52">
        <f t="shared" si="157"/>
        <v>1149877088.3400002</v>
      </c>
      <c r="DR82" s="52">
        <f t="shared" si="157"/>
        <v>2800000</v>
      </c>
      <c r="DS82" s="52">
        <f t="shared" si="157"/>
        <v>0</v>
      </c>
      <c r="DT82" s="52">
        <f t="shared" si="157"/>
        <v>642191150</v>
      </c>
      <c r="DU82" s="52">
        <f t="shared" si="157"/>
        <v>642191150</v>
      </c>
      <c r="DV82" s="52">
        <f t="shared" si="157"/>
        <v>612191150</v>
      </c>
      <c r="DW82" s="52">
        <f t="shared" si="157"/>
        <v>0</v>
      </c>
      <c r="DX82" s="52">
        <f t="shared" si="157"/>
        <v>0</v>
      </c>
      <c r="DY82" s="52">
        <f t="shared" ref="DY82:EW82" si="158">SUM(DY83:DY85)</f>
        <v>0</v>
      </c>
      <c r="DZ82" s="52">
        <f t="shared" si="158"/>
        <v>0</v>
      </c>
      <c r="EA82" s="52">
        <f t="shared" si="158"/>
        <v>0</v>
      </c>
      <c r="EB82" s="52">
        <f t="shared" si="158"/>
        <v>0</v>
      </c>
      <c r="EC82" s="52">
        <f t="shared" si="158"/>
        <v>0</v>
      </c>
      <c r="ED82" s="52">
        <f t="shared" si="158"/>
        <v>0</v>
      </c>
      <c r="EE82" s="52">
        <f t="shared" si="158"/>
        <v>0</v>
      </c>
      <c r="EF82" s="52">
        <f t="shared" si="158"/>
        <v>0</v>
      </c>
      <c r="EG82" s="52">
        <f t="shared" si="158"/>
        <v>0</v>
      </c>
      <c r="EH82" s="52">
        <f t="shared" si="158"/>
        <v>0</v>
      </c>
      <c r="EI82" s="52">
        <f t="shared" si="158"/>
        <v>0</v>
      </c>
      <c r="EJ82" s="52">
        <f t="shared" si="158"/>
        <v>0</v>
      </c>
      <c r="EK82" s="52">
        <f t="shared" si="158"/>
        <v>0</v>
      </c>
      <c r="EL82" s="52">
        <f t="shared" si="158"/>
        <v>0</v>
      </c>
      <c r="EM82" s="52">
        <f t="shared" si="158"/>
        <v>0</v>
      </c>
      <c r="EN82" s="52">
        <f t="shared" si="158"/>
        <v>0</v>
      </c>
      <c r="EO82" s="52">
        <f t="shared" si="158"/>
        <v>0</v>
      </c>
      <c r="EP82" s="52">
        <f t="shared" si="158"/>
        <v>0</v>
      </c>
      <c r="EQ82" s="52">
        <f t="shared" si="158"/>
        <v>0</v>
      </c>
      <c r="ER82" s="52">
        <f t="shared" si="158"/>
        <v>0</v>
      </c>
      <c r="ES82" s="52">
        <f t="shared" si="158"/>
        <v>2000000000</v>
      </c>
      <c r="ET82" s="52">
        <f t="shared" si="158"/>
        <v>0</v>
      </c>
      <c r="EU82" s="52">
        <f t="shared" si="158"/>
        <v>0</v>
      </c>
      <c r="EV82" s="52">
        <f t="shared" si="158"/>
        <v>0</v>
      </c>
      <c r="EW82" s="52">
        <f t="shared" si="158"/>
        <v>4807484360</v>
      </c>
      <c r="EX82" s="52">
        <f t="shared" ref="EX82:GZ82" si="159">SUM(EX83:EX85)</f>
        <v>5884237695.8999996</v>
      </c>
      <c r="EY82" s="52">
        <f t="shared" si="159"/>
        <v>4694719650.3000002</v>
      </c>
      <c r="EZ82" s="52">
        <f t="shared" si="159"/>
        <v>4366732691.7399998</v>
      </c>
      <c r="FA82" s="52">
        <f t="shared" si="159"/>
        <v>2800000</v>
      </c>
      <c r="FB82" s="52">
        <f t="shared" si="159"/>
        <v>4000000000</v>
      </c>
      <c r="FC82" s="51">
        <f t="shared" si="159"/>
        <v>4685383782</v>
      </c>
      <c r="FD82" s="51">
        <f t="shared" si="159"/>
        <v>339707000</v>
      </c>
      <c r="FE82" s="51">
        <f t="shared" si="159"/>
        <v>0</v>
      </c>
      <c r="FF82" s="51">
        <f t="shared" si="159"/>
        <v>165819564.59999999</v>
      </c>
      <c r="FG82" s="52">
        <f t="shared" si="159"/>
        <v>995263005</v>
      </c>
      <c r="FH82" s="51">
        <f t="shared" si="159"/>
        <v>356510678</v>
      </c>
      <c r="FI82" s="51">
        <f t="shared" si="159"/>
        <v>141334067.95999998</v>
      </c>
      <c r="FJ82" s="51">
        <f t="shared" si="159"/>
        <v>116879534.95999999</v>
      </c>
      <c r="FK82" s="51">
        <f t="shared" si="159"/>
        <v>0</v>
      </c>
      <c r="FL82" s="52">
        <f t="shared" si="159"/>
        <v>0</v>
      </c>
      <c r="FM82" s="51">
        <f t="shared" si="159"/>
        <v>959573502</v>
      </c>
      <c r="FN82" s="51">
        <f t="shared" si="159"/>
        <v>712840685</v>
      </c>
      <c r="FO82" s="51">
        <f t="shared" si="159"/>
        <v>360704533.65999997</v>
      </c>
      <c r="FP82" s="51">
        <f t="shared" si="159"/>
        <v>30000000</v>
      </c>
      <c r="FQ82" s="52">
        <f t="shared" si="159"/>
        <v>0</v>
      </c>
      <c r="FR82" s="51">
        <f t="shared" si="159"/>
        <v>0</v>
      </c>
      <c r="FS82" s="51">
        <f t="shared" si="159"/>
        <v>0</v>
      </c>
      <c r="FT82" s="51">
        <f t="shared" si="159"/>
        <v>0</v>
      </c>
      <c r="FU82" s="51">
        <f t="shared" si="159"/>
        <v>0</v>
      </c>
      <c r="FV82" s="52">
        <f t="shared" si="159"/>
        <v>0</v>
      </c>
      <c r="FW82" s="51">
        <f t="shared" si="159"/>
        <v>0</v>
      </c>
      <c r="FX82" s="51">
        <f t="shared" si="159"/>
        <v>0</v>
      </c>
      <c r="FY82" s="51">
        <f t="shared" si="159"/>
        <v>0</v>
      </c>
      <c r="FZ82" s="51">
        <f t="shared" si="159"/>
        <v>0</v>
      </c>
      <c r="GA82" s="52">
        <f t="shared" si="159"/>
        <v>0</v>
      </c>
      <c r="GB82" s="51">
        <f t="shared" si="159"/>
        <v>0</v>
      </c>
      <c r="GC82" s="51">
        <f t="shared" si="159"/>
        <v>0</v>
      </c>
      <c r="GD82" s="51">
        <f t="shared" si="159"/>
        <v>0</v>
      </c>
      <c r="GE82" s="51">
        <f t="shared" si="159"/>
        <v>0</v>
      </c>
      <c r="GF82" s="52">
        <f t="shared" si="159"/>
        <v>0</v>
      </c>
      <c r="GG82" s="51">
        <f t="shared" si="159"/>
        <v>0</v>
      </c>
      <c r="GH82" s="51">
        <f t="shared" si="159"/>
        <v>0</v>
      </c>
      <c r="GI82" s="51">
        <f t="shared" si="159"/>
        <v>0</v>
      </c>
      <c r="GJ82" s="51">
        <f t="shared" si="159"/>
        <v>0</v>
      </c>
      <c r="GK82" s="52">
        <f t="shared" si="159"/>
        <v>0</v>
      </c>
      <c r="GL82" s="51">
        <f t="shared" si="159"/>
        <v>0</v>
      </c>
      <c r="GM82" s="51">
        <f t="shared" si="159"/>
        <v>0</v>
      </c>
      <c r="GN82" s="51">
        <f t="shared" si="159"/>
        <v>0</v>
      </c>
      <c r="GO82" s="51">
        <f t="shared" si="159"/>
        <v>0</v>
      </c>
      <c r="GP82" s="52">
        <f t="shared" si="159"/>
        <v>1000000000</v>
      </c>
      <c r="GQ82" s="51">
        <f t="shared" si="159"/>
        <v>0</v>
      </c>
      <c r="GR82" s="51">
        <f t="shared" si="159"/>
        <v>0</v>
      </c>
      <c r="GS82" s="51">
        <f t="shared" si="159"/>
        <v>0</v>
      </c>
      <c r="GT82" s="51">
        <f t="shared" si="159"/>
        <v>0</v>
      </c>
      <c r="GU82" s="52">
        <f t="shared" si="159"/>
        <v>5995263005</v>
      </c>
      <c r="GV82" s="51">
        <f t="shared" si="159"/>
        <v>6001467962</v>
      </c>
      <c r="GW82" s="51">
        <f t="shared" si="159"/>
        <v>1193881752.96</v>
      </c>
      <c r="GX82" s="51">
        <f t="shared" si="159"/>
        <v>477584068.61999995</v>
      </c>
      <c r="GY82" s="51">
        <f t="shared" si="159"/>
        <v>195819564.59999999</v>
      </c>
      <c r="GZ82" s="51">
        <f t="shared" si="159"/>
        <v>12290286322</v>
      </c>
    </row>
    <row r="83" spans="1:208" ht="190.5" customHeight="1" x14ac:dyDescent="0.2">
      <c r="A83" s="326"/>
      <c r="B83" s="341"/>
      <c r="C83" s="456">
        <v>9</v>
      </c>
      <c r="D83" s="721" t="s">
        <v>215</v>
      </c>
      <c r="E83" s="994">
        <v>0.59</v>
      </c>
      <c r="F83" s="994">
        <v>0.87</v>
      </c>
      <c r="G83" s="374">
        <v>54</v>
      </c>
      <c r="H83" s="287" t="s">
        <v>216</v>
      </c>
      <c r="I83" s="258" t="s">
        <v>217</v>
      </c>
      <c r="J83" s="262" t="s">
        <v>218</v>
      </c>
      <c r="K83" s="262">
        <v>9</v>
      </c>
      <c r="L83" s="263" t="s">
        <v>58</v>
      </c>
      <c r="M83" s="264">
        <v>129.85</v>
      </c>
      <c r="N83" s="265">
        <v>130</v>
      </c>
      <c r="O83" s="265">
        <v>130</v>
      </c>
      <c r="P83" s="266">
        <v>132</v>
      </c>
      <c r="Q83" s="264">
        <v>130</v>
      </c>
      <c r="R83" s="268"/>
      <c r="S83" s="266">
        <f>0.5+130</f>
        <v>130.5</v>
      </c>
      <c r="T83" s="264">
        <v>130</v>
      </c>
      <c r="U83" s="264"/>
      <c r="V83" s="330">
        <f>211.23+5</f>
        <v>216.23</v>
      </c>
      <c r="W83" s="264">
        <v>130</v>
      </c>
      <c r="X83" s="264"/>
      <c r="Y83" s="662">
        <f>105.8+2</f>
        <v>107.8</v>
      </c>
      <c r="Z83" s="315">
        <f>BM83/$BM$82</f>
        <v>0.3723138528886995</v>
      </c>
      <c r="AA83" s="259">
        <v>9</v>
      </c>
      <c r="AB83" s="265" t="s">
        <v>180</v>
      </c>
      <c r="AC83" s="54"/>
      <c r="AD83" s="54"/>
      <c r="AE83" s="54"/>
      <c r="AF83" s="54"/>
      <c r="AG83" s="54">
        <f>292256341-49000000+30000000+49000000</f>
        <v>322256341</v>
      </c>
      <c r="AH83" s="54">
        <f>359404493+188462552.58</f>
        <v>547867045.58000004</v>
      </c>
      <c r="AI83" s="54">
        <v>402334883.62</v>
      </c>
      <c r="AJ83" s="54">
        <v>402334883.62</v>
      </c>
      <c r="AK83" s="54"/>
      <c r="AL83" s="63">
        <v>41597488</v>
      </c>
      <c r="AM83" s="54">
        <v>0</v>
      </c>
      <c r="AN83" s="54">
        <v>0</v>
      </c>
      <c r="AO83" s="53"/>
      <c r="AP83" s="54"/>
      <c r="AQ83" s="54"/>
      <c r="AR83" s="54"/>
      <c r="AS83" s="53"/>
      <c r="AT83" s="54"/>
      <c r="AU83" s="54"/>
      <c r="AV83" s="54"/>
      <c r="AW83" s="53"/>
      <c r="AX83" s="54"/>
      <c r="AY83" s="54"/>
      <c r="AZ83" s="54"/>
      <c r="BA83" s="53"/>
      <c r="BB83" s="54"/>
      <c r="BC83" s="54"/>
      <c r="BD83" s="54"/>
      <c r="BE83" s="53"/>
      <c r="BF83" s="54"/>
      <c r="BG83" s="54"/>
      <c r="BH83" s="54"/>
      <c r="BI83" s="53"/>
      <c r="BJ83" s="54"/>
      <c r="BK83" s="54"/>
      <c r="BL83" s="54"/>
      <c r="BM83" s="53">
        <f>+AC83+AG83+AK83+AO83+AS83+AW83+BA83+BE83+BI83</f>
        <v>322256341</v>
      </c>
      <c r="BN83" s="54">
        <f t="shared" ref="BN83:BP85" si="160">AD83+AH83+AL83+AP83+AT83+AX83+BB83+BF83+BJ83</f>
        <v>589464533.58000004</v>
      </c>
      <c r="BO83" s="54">
        <f t="shared" si="160"/>
        <v>402334883.62</v>
      </c>
      <c r="BP83" s="54">
        <f t="shared" si="160"/>
        <v>402334883.62</v>
      </c>
      <c r="BQ83" s="83"/>
      <c r="BR83" s="83"/>
      <c r="BS83" s="83"/>
      <c r="BT83" s="83"/>
      <c r="BU83" s="83">
        <v>231688727</v>
      </c>
      <c r="BV83" s="83">
        <f>289214704.07+214850780</f>
        <v>504065484.06999999</v>
      </c>
      <c r="BW83" s="82">
        <f>239817777.65+214850780</f>
        <v>454668557.64999998</v>
      </c>
      <c r="BX83" s="82">
        <f>239817777.65+214850780</f>
        <v>454668557.64999998</v>
      </c>
      <c r="BY83" s="82"/>
      <c r="BZ83" s="83"/>
      <c r="CA83" s="83">
        <v>435918366.93000001</v>
      </c>
      <c r="CB83" s="83">
        <v>344558999.06999999</v>
      </c>
      <c r="CC83" s="83">
        <v>187098999.06999999</v>
      </c>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1">
        <f t="shared" ref="DE83:DH85" si="161">BQ83+BU83+BZ83+CE83+CI83+CM83+CQ83+CV83+DA83</f>
        <v>231688727</v>
      </c>
      <c r="DF83" s="95">
        <f t="shared" si="161"/>
        <v>939983851</v>
      </c>
      <c r="DG83" s="95">
        <f t="shared" si="161"/>
        <v>799227556.72000003</v>
      </c>
      <c r="DH83" s="95">
        <f t="shared" si="161"/>
        <v>641767556.72000003</v>
      </c>
      <c r="DI83" s="95"/>
      <c r="DJ83" s="83"/>
      <c r="DK83" s="82">
        <v>2020000000</v>
      </c>
      <c r="DL83" s="83">
        <v>1678152048</v>
      </c>
      <c r="DM83" s="83">
        <v>1560395145.4000001</v>
      </c>
      <c r="DN83" s="83">
        <v>300000000</v>
      </c>
      <c r="DO83" s="82">
        <f>725140083.9+240000000</f>
        <v>965140083.89999998</v>
      </c>
      <c r="DP83" s="82">
        <f>566418007+239749344.3</f>
        <v>806167351.29999995</v>
      </c>
      <c r="DQ83" s="82">
        <f>547137418+236672233.34</f>
        <v>783809651.34000003</v>
      </c>
      <c r="DR83" s="82"/>
      <c r="DS83" s="83"/>
      <c r="DT83" s="82">
        <v>248486462</v>
      </c>
      <c r="DU83" s="82">
        <v>248486462</v>
      </c>
      <c r="DV83" s="82">
        <v>248403612</v>
      </c>
      <c r="DW83" s="82"/>
      <c r="DX83" s="83"/>
      <c r="DY83" s="83"/>
      <c r="DZ83" s="83"/>
      <c r="EA83" s="83"/>
      <c r="EB83" s="83"/>
      <c r="EC83" s="83"/>
      <c r="ED83" s="83"/>
      <c r="EE83" s="83"/>
      <c r="EF83" s="83"/>
      <c r="EG83" s="83"/>
      <c r="EH83" s="83"/>
      <c r="EI83" s="83"/>
      <c r="EJ83" s="83"/>
      <c r="EK83" s="83"/>
      <c r="EL83" s="83"/>
      <c r="EM83" s="83"/>
      <c r="EN83" s="83"/>
      <c r="EO83" s="83"/>
      <c r="EP83" s="83"/>
      <c r="EQ83" s="83"/>
      <c r="ER83" s="83"/>
      <c r="ES83" s="83">
        <v>2000000000</v>
      </c>
      <c r="ET83" s="83"/>
      <c r="EU83" s="83"/>
      <c r="EV83" s="83"/>
      <c r="EW83" s="81">
        <f t="shared" ref="EW83:EX85" si="162">DJ83+DN83+DS83+DX83+EB83+EF83+EJ83+EN83+ES83</f>
        <v>2300000000</v>
      </c>
      <c r="EX83" s="86">
        <f t="shared" si="162"/>
        <v>3233626545.9000001</v>
      </c>
      <c r="EY83" s="86">
        <f t="shared" ref="EY83:EZ85" si="163">DL83+DP83+DU83+DZ83+ED83+EH83+EL83+EP83+EU83</f>
        <v>2732805861.3000002</v>
      </c>
      <c r="EZ83" s="86">
        <f t="shared" si="163"/>
        <v>2592608408.7400002</v>
      </c>
      <c r="FA83" s="176"/>
      <c r="FB83" s="83">
        <v>4000000000</v>
      </c>
      <c r="FC83" s="84">
        <v>3885383782</v>
      </c>
      <c r="FD83" s="84">
        <v>339707000</v>
      </c>
      <c r="FE83" s="84"/>
      <c r="FF83" s="140">
        <v>117733522.59999999</v>
      </c>
      <c r="FG83" s="83">
        <v>473550204</v>
      </c>
      <c r="FH83" s="83">
        <v>313916292</v>
      </c>
      <c r="FI83" s="83">
        <v>111281534.95999999</v>
      </c>
      <c r="FJ83" s="83">
        <v>111281534.95999999</v>
      </c>
      <c r="FK83" s="83"/>
      <c r="FL83" s="83"/>
      <c r="FM83" s="667">
        <v>459573502</v>
      </c>
      <c r="FN83" s="83">
        <v>288373389</v>
      </c>
      <c r="FO83" s="83">
        <v>95614434</v>
      </c>
      <c r="FP83" s="83">
        <v>17115000</v>
      </c>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1">
        <f t="shared" ref="GU83:GY85" si="164">FB83+FG83+FL83+FQ83+FV83+GA83+GF83+GK83+GP83</f>
        <v>4473550204</v>
      </c>
      <c r="GV83" s="81">
        <f t="shared" si="164"/>
        <v>4658873576</v>
      </c>
      <c r="GW83" s="81">
        <f t="shared" si="164"/>
        <v>739361923.96000004</v>
      </c>
      <c r="GX83" s="81">
        <f t="shared" si="164"/>
        <v>206895968.95999998</v>
      </c>
      <c r="GY83" s="673">
        <f t="shared" si="164"/>
        <v>134848522.59999999</v>
      </c>
      <c r="GZ83" s="67">
        <f>BM83+DE83+EW83+GU83</f>
        <v>7327495272</v>
      </c>
    </row>
    <row r="84" spans="1:208" ht="208.5" customHeight="1" x14ac:dyDescent="0.2">
      <c r="A84" s="326"/>
      <c r="B84" s="341"/>
      <c r="C84" s="279"/>
      <c r="D84" s="722"/>
      <c r="E84" s="353"/>
      <c r="F84" s="353"/>
      <c r="G84" s="374">
        <v>55</v>
      </c>
      <c r="H84" s="287" t="s">
        <v>219</v>
      </c>
      <c r="I84" s="258" t="s">
        <v>220</v>
      </c>
      <c r="J84" s="262" t="s">
        <v>218</v>
      </c>
      <c r="K84" s="262">
        <v>9</v>
      </c>
      <c r="L84" s="263" t="s">
        <v>58</v>
      </c>
      <c r="M84" s="264">
        <v>12</v>
      </c>
      <c r="N84" s="264">
        <v>12</v>
      </c>
      <c r="O84" s="265">
        <v>12</v>
      </c>
      <c r="P84" s="266">
        <v>12</v>
      </c>
      <c r="Q84" s="264">
        <v>12</v>
      </c>
      <c r="R84" s="268"/>
      <c r="S84" s="266">
        <v>11</v>
      </c>
      <c r="T84" s="264">
        <v>12</v>
      </c>
      <c r="U84" s="264"/>
      <c r="V84" s="270">
        <v>12</v>
      </c>
      <c r="W84" s="264">
        <v>12</v>
      </c>
      <c r="X84" s="264"/>
      <c r="Y84" s="653">
        <v>9</v>
      </c>
      <c r="Z84" s="315">
        <f>BM84/$BM$82</f>
        <v>0.41972594588762341</v>
      </c>
      <c r="AA84" s="259">
        <v>9</v>
      </c>
      <c r="AB84" s="265" t="s">
        <v>180</v>
      </c>
      <c r="AC84" s="54"/>
      <c r="AD84" s="54"/>
      <c r="AE84" s="54"/>
      <c r="AF84" s="54"/>
      <c r="AG84" s="54"/>
      <c r="AH84" s="54"/>
      <c r="AI84" s="54"/>
      <c r="AJ84" s="54"/>
      <c r="AK84" s="59">
        <v>363293889</v>
      </c>
      <c r="AL84" s="55">
        <v>363293889</v>
      </c>
      <c r="AM84" s="59">
        <v>182485098</v>
      </c>
      <c r="AN84" s="59">
        <v>182485098</v>
      </c>
      <c r="AO84" s="60"/>
      <c r="AP84" s="59"/>
      <c r="AQ84" s="59"/>
      <c r="AR84" s="59"/>
      <c r="AS84" s="60"/>
      <c r="AT84" s="59"/>
      <c r="AU84" s="59"/>
      <c r="AV84" s="54"/>
      <c r="AW84" s="53"/>
      <c r="AX84" s="54"/>
      <c r="AY84" s="54"/>
      <c r="AZ84" s="54"/>
      <c r="BA84" s="53"/>
      <c r="BB84" s="54"/>
      <c r="BC84" s="54"/>
      <c r="BD84" s="54"/>
      <c r="BE84" s="53"/>
      <c r="BF84" s="54"/>
      <c r="BG84" s="54"/>
      <c r="BH84" s="54"/>
      <c r="BI84" s="53"/>
      <c r="BJ84" s="54"/>
      <c r="BK84" s="54"/>
      <c r="BL84" s="54"/>
      <c r="BM84" s="53">
        <f>+AC84+AG84+AK84+AO84+AS84+AW84+BA84+BE84+BI84</f>
        <v>363293889</v>
      </c>
      <c r="BN84" s="54">
        <f t="shared" si="160"/>
        <v>363293889</v>
      </c>
      <c r="BO84" s="54">
        <f t="shared" si="160"/>
        <v>182485098</v>
      </c>
      <c r="BP84" s="54">
        <f t="shared" si="160"/>
        <v>182485098</v>
      </c>
      <c r="BQ84" s="81"/>
      <c r="BR84" s="81"/>
      <c r="BS84" s="81"/>
      <c r="BT84" s="81"/>
      <c r="BU84" s="83">
        <v>261000000</v>
      </c>
      <c r="BV84" s="83">
        <v>245201061.93000001</v>
      </c>
      <c r="BW84" s="83">
        <v>204925833</v>
      </c>
      <c r="BX84" s="83">
        <v>202125833</v>
      </c>
      <c r="BY84" s="83"/>
      <c r="BZ84" s="81"/>
      <c r="CA84" s="81">
        <v>211221438.06999999</v>
      </c>
      <c r="CB84" s="81">
        <v>171745933</v>
      </c>
      <c r="CC84" s="81">
        <v>171745933</v>
      </c>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f t="shared" si="161"/>
        <v>261000000</v>
      </c>
      <c r="DF84" s="95">
        <f t="shared" si="161"/>
        <v>456422500</v>
      </c>
      <c r="DG84" s="95">
        <f t="shared" si="161"/>
        <v>376671766</v>
      </c>
      <c r="DH84" s="95">
        <f t="shared" si="161"/>
        <v>373871766</v>
      </c>
      <c r="DI84" s="95"/>
      <c r="DJ84" s="83">
        <v>2000000000</v>
      </c>
      <c r="DK84" s="170">
        <v>960000000</v>
      </c>
      <c r="DL84" s="82">
        <v>798596160</v>
      </c>
      <c r="DM84" s="82">
        <v>787896160</v>
      </c>
      <c r="DN84" s="82">
        <v>338000000</v>
      </c>
      <c r="DO84" s="82">
        <v>324906462</v>
      </c>
      <c r="DP84" s="82">
        <v>303647000</v>
      </c>
      <c r="DQ84" s="82">
        <v>294247000</v>
      </c>
      <c r="DR84" s="82">
        <f>'[1]Res. Pptales Dec 08'!$N$9</f>
        <v>2800000</v>
      </c>
      <c r="DS84" s="82"/>
      <c r="DT84" s="82">
        <v>393704688</v>
      </c>
      <c r="DU84" s="82">
        <v>393704688</v>
      </c>
      <c r="DV84" s="83">
        <v>363787538</v>
      </c>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1">
        <f t="shared" si="162"/>
        <v>2338000000</v>
      </c>
      <c r="EX84" s="85">
        <f t="shared" si="162"/>
        <v>1678611150</v>
      </c>
      <c r="EY84" s="86">
        <f t="shared" si="163"/>
        <v>1495947848</v>
      </c>
      <c r="EZ84" s="86">
        <f t="shared" si="163"/>
        <v>1445930698</v>
      </c>
      <c r="FA84" s="176">
        <f>DR84</f>
        <v>2800000</v>
      </c>
      <c r="FB84" s="83"/>
      <c r="FC84" s="84">
        <v>800000000</v>
      </c>
      <c r="FD84" s="84"/>
      <c r="FE84" s="84"/>
      <c r="FF84" s="140"/>
      <c r="FG84" s="83">
        <v>521712801</v>
      </c>
      <c r="FH84" s="83">
        <v>42594386</v>
      </c>
      <c r="FI84" s="83">
        <v>30052533</v>
      </c>
      <c r="FJ84" s="83">
        <v>5598000</v>
      </c>
      <c r="FK84" s="83"/>
      <c r="FL84" s="83"/>
      <c r="FM84" s="667">
        <v>500000000</v>
      </c>
      <c r="FN84" s="83">
        <v>424467296</v>
      </c>
      <c r="FO84" s="83">
        <v>265090099.66</v>
      </c>
      <c r="FP84" s="83">
        <v>12885000</v>
      </c>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v>1000000000</v>
      </c>
      <c r="GQ84" s="83"/>
      <c r="GR84" s="83"/>
      <c r="GS84" s="83"/>
      <c r="GT84" s="83"/>
      <c r="GU84" s="81">
        <f t="shared" si="164"/>
        <v>1521712801</v>
      </c>
      <c r="GV84" s="81">
        <f t="shared" si="164"/>
        <v>1342594386</v>
      </c>
      <c r="GW84" s="81">
        <f t="shared" si="164"/>
        <v>454519829</v>
      </c>
      <c r="GX84" s="81">
        <f t="shared" si="164"/>
        <v>270688099.65999997</v>
      </c>
      <c r="GY84" s="673">
        <f t="shared" si="164"/>
        <v>12885000</v>
      </c>
      <c r="GZ84" s="67">
        <f>BM84+DE84+EW84+GU84</f>
        <v>4484006690</v>
      </c>
    </row>
    <row r="85" spans="1:208" s="711" customFormat="1" ht="132.75" customHeight="1" x14ac:dyDescent="0.2">
      <c r="A85" s="703"/>
      <c r="B85" s="703"/>
      <c r="C85" s="715"/>
      <c r="D85" s="826"/>
      <c r="E85" s="838"/>
      <c r="F85" s="838"/>
      <c r="G85" s="714">
        <v>56</v>
      </c>
      <c r="H85" s="821" t="s">
        <v>221</v>
      </c>
      <c r="I85" s="676" t="s">
        <v>222</v>
      </c>
      <c r="J85" s="813" t="s">
        <v>218</v>
      </c>
      <c r="K85" s="813">
        <v>9</v>
      </c>
      <c r="L85" s="813" t="s">
        <v>73</v>
      </c>
      <c r="M85" s="682">
        <v>9</v>
      </c>
      <c r="N85" s="682">
        <v>8</v>
      </c>
      <c r="O85" s="682">
        <v>3</v>
      </c>
      <c r="P85" s="810">
        <v>0</v>
      </c>
      <c r="Q85" s="682">
        <v>3</v>
      </c>
      <c r="R85" s="807">
        <v>6</v>
      </c>
      <c r="S85" s="810">
        <v>5</v>
      </c>
      <c r="T85" s="682">
        <v>2</v>
      </c>
      <c r="U85" s="682">
        <v>3</v>
      </c>
      <c r="V85" s="810">
        <v>9</v>
      </c>
      <c r="W85" s="682">
        <v>0</v>
      </c>
      <c r="X85" s="813"/>
      <c r="Y85" s="630"/>
      <c r="Z85" s="809">
        <f>BM85/$BM$82</f>
        <v>0.20796020122367712</v>
      </c>
      <c r="AA85" s="621">
        <v>9</v>
      </c>
      <c r="AB85" s="682" t="s">
        <v>180</v>
      </c>
      <c r="AC85" s="818"/>
      <c r="AD85" s="818"/>
      <c r="AE85" s="818"/>
      <c r="AF85" s="818"/>
      <c r="AG85" s="818">
        <v>180000000</v>
      </c>
      <c r="AH85" s="818">
        <v>180000000</v>
      </c>
      <c r="AI85" s="818">
        <v>0</v>
      </c>
      <c r="AJ85" s="818">
        <v>0</v>
      </c>
      <c r="AK85" s="818"/>
      <c r="AL85" s="818"/>
      <c r="AM85" s="818"/>
      <c r="AN85" s="818"/>
      <c r="AO85" s="817"/>
      <c r="AP85" s="818"/>
      <c r="AQ85" s="818"/>
      <c r="AR85" s="818"/>
      <c r="AS85" s="817"/>
      <c r="AT85" s="818"/>
      <c r="AU85" s="818"/>
      <c r="AV85" s="818"/>
      <c r="AW85" s="817"/>
      <c r="AX85" s="818"/>
      <c r="AY85" s="818"/>
      <c r="AZ85" s="818"/>
      <c r="BA85" s="817"/>
      <c r="BB85" s="818"/>
      <c r="BC85" s="818"/>
      <c r="BD85" s="818"/>
      <c r="BE85" s="817"/>
      <c r="BF85" s="818"/>
      <c r="BG85" s="818"/>
      <c r="BH85" s="818"/>
      <c r="BI85" s="817"/>
      <c r="BJ85" s="818"/>
      <c r="BK85" s="818"/>
      <c r="BL85" s="818"/>
      <c r="BM85" s="817">
        <f>+AC85+AG85+AK85+AO85+AS85+AW85+BA85+BE85+BI85</f>
        <v>180000000</v>
      </c>
      <c r="BN85" s="818">
        <f t="shared" si="160"/>
        <v>180000000</v>
      </c>
      <c r="BO85" s="818">
        <f t="shared" si="160"/>
        <v>0</v>
      </c>
      <c r="BP85" s="818">
        <f t="shared" si="160"/>
        <v>0</v>
      </c>
      <c r="BQ85" s="667"/>
      <c r="BR85" s="667"/>
      <c r="BS85" s="667"/>
      <c r="BT85" s="667"/>
      <c r="BU85" s="667">
        <v>129300000</v>
      </c>
      <c r="BV85" s="667"/>
      <c r="BW85" s="667"/>
      <c r="BX85" s="667"/>
      <c r="BY85" s="667"/>
      <c r="BZ85" s="667"/>
      <c r="CA85" s="667">
        <v>15482711.069999993</v>
      </c>
      <c r="CB85" s="667">
        <v>3943333</v>
      </c>
      <c r="CC85" s="667">
        <v>3943333</v>
      </c>
      <c r="CD85" s="667"/>
      <c r="CE85" s="667"/>
      <c r="CF85" s="667"/>
      <c r="CG85" s="667"/>
      <c r="CH85" s="667"/>
      <c r="CI85" s="667"/>
      <c r="CJ85" s="667"/>
      <c r="CK85" s="667"/>
      <c r="CL85" s="667"/>
      <c r="CM85" s="667"/>
      <c r="CN85" s="667"/>
      <c r="CO85" s="667"/>
      <c r="CP85" s="667"/>
      <c r="CQ85" s="667"/>
      <c r="CR85" s="667"/>
      <c r="CS85" s="667"/>
      <c r="CT85" s="667"/>
      <c r="CU85" s="667"/>
      <c r="CV85" s="667"/>
      <c r="CW85" s="667"/>
      <c r="CX85" s="667"/>
      <c r="CY85" s="667"/>
      <c r="CZ85" s="667"/>
      <c r="DA85" s="667"/>
      <c r="DB85" s="667"/>
      <c r="DC85" s="667"/>
      <c r="DD85" s="667"/>
      <c r="DE85" s="708">
        <f t="shared" si="161"/>
        <v>129300000</v>
      </c>
      <c r="DF85" s="708">
        <f t="shared" si="161"/>
        <v>15482711.069999993</v>
      </c>
      <c r="DG85" s="708">
        <f t="shared" si="161"/>
        <v>3943333</v>
      </c>
      <c r="DH85" s="708">
        <f t="shared" si="161"/>
        <v>3943333</v>
      </c>
      <c r="DI85" s="708"/>
      <c r="DJ85" s="667"/>
      <c r="DK85" s="667">
        <v>900000000</v>
      </c>
      <c r="DL85" s="667">
        <v>394145504</v>
      </c>
      <c r="DM85" s="667">
        <v>256373148</v>
      </c>
      <c r="DN85" s="667">
        <v>169484360</v>
      </c>
      <c r="DO85" s="667">
        <v>72000000</v>
      </c>
      <c r="DP85" s="667">
        <v>71820437</v>
      </c>
      <c r="DQ85" s="667">
        <v>71820437</v>
      </c>
      <c r="DR85" s="667"/>
      <c r="DS85" s="667"/>
      <c r="DT85" s="667"/>
      <c r="DU85" s="667"/>
      <c r="DV85" s="667"/>
      <c r="DW85" s="667"/>
      <c r="DX85" s="667"/>
      <c r="DY85" s="667"/>
      <c r="DZ85" s="667"/>
      <c r="EA85" s="667"/>
      <c r="EB85" s="667"/>
      <c r="EC85" s="667"/>
      <c r="ED85" s="667"/>
      <c r="EE85" s="667"/>
      <c r="EF85" s="667"/>
      <c r="EG85" s="667"/>
      <c r="EH85" s="667"/>
      <c r="EI85" s="667"/>
      <c r="EJ85" s="667"/>
      <c r="EK85" s="667"/>
      <c r="EL85" s="667"/>
      <c r="EM85" s="667"/>
      <c r="EN85" s="667"/>
      <c r="EO85" s="667"/>
      <c r="EP85" s="667"/>
      <c r="EQ85" s="667"/>
      <c r="ER85" s="667"/>
      <c r="ES85" s="667"/>
      <c r="ET85" s="667"/>
      <c r="EU85" s="667"/>
      <c r="EV85" s="667"/>
      <c r="EW85" s="708">
        <f t="shared" si="162"/>
        <v>169484360</v>
      </c>
      <c r="EX85" s="819">
        <f t="shared" si="162"/>
        <v>972000000</v>
      </c>
      <c r="EY85" s="819">
        <f t="shared" si="163"/>
        <v>465965941</v>
      </c>
      <c r="EZ85" s="819">
        <f t="shared" si="163"/>
        <v>328193585</v>
      </c>
      <c r="FA85" s="820"/>
      <c r="FB85" s="667"/>
      <c r="FC85" s="706"/>
      <c r="FD85" s="706"/>
      <c r="FE85" s="706"/>
      <c r="FF85" s="707">
        <v>48086042</v>
      </c>
      <c r="FG85" s="667"/>
      <c r="FH85" s="667"/>
      <c r="FI85" s="667"/>
      <c r="FJ85" s="667"/>
      <c r="FK85" s="667"/>
      <c r="FL85" s="667"/>
      <c r="FM85" s="667"/>
      <c r="FN85" s="667"/>
      <c r="FO85" s="667"/>
      <c r="FP85" s="667"/>
      <c r="FQ85" s="667"/>
      <c r="FR85" s="667"/>
      <c r="FS85" s="667"/>
      <c r="FT85" s="667"/>
      <c r="FU85" s="667"/>
      <c r="FV85" s="667"/>
      <c r="FW85" s="667"/>
      <c r="FX85" s="667"/>
      <c r="FY85" s="667"/>
      <c r="FZ85" s="667"/>
      <c r="GA85" s="667"/>
      <c r="GB85" s="667"/>
      <c r="GC85" s="667"/>
      <c r="GD85" s="667"/>
      <c r="GE85" s="667"/>
      <c r="GF85" s="667"/>
      <c r="GG85" s="667"/>
      <c r="GH85" s="667"/>
      <c r="GI85" s="667"/>
      <c r="GJ85" s="667"/>
      <c r="GK85" s="667"/>
      <c r="GL85" s="667"/>
      <c r="GM85" s="667"/>
      <c r="GN85" s="667"/>
      <c r="GO85" s="667"/>
      <c r="GP85" s="667"/>
      <c r="GQ85" s="667"/>
      <c r="GR85" s="667"/>
      <c r="GS85" s="667"/>
      <c r="GT85" s="667"/>
      <c r="GU85" s="708">
        <f t="shared" si="164"/>
        <v>0</v>
      </c>
      <c r="GV85" s="708">
        <f t="shared" si="164"/>
        <v>0</v>
      </c>
      <c r="GW85" s="708">
        <f t="shared" si="164"/>
        <v>0</v>
      </c>
      <c r="GX85" s="708">
        <f t="shared" si="164"/>
        <v>0</v>
      </c>
      <c r="GY85" s="709">
        <f t="shared" si="164"/>
        <v>48086042</v>
      </c>
      <c r="GZ85" s="710">
        <f>BM85+DE85+EW85+GU85</f>
        <v>478784360</v>
      </c>
    </row>
    <row r="86" spans="1:208" ht="24.75" customHeight="1" x14ac:dyDescent="0.2">
      <c r="A86" s="326"/>
      <c r="B86" s="341"/>
      <c r="C86" s="246">
        <v>15</v>
      </c>
      <c r="D86" s="247" t="s">
        <v>223</v>
      </c>
      <c r="E86" s="250"/>
      <c r="F86" s="250"/>
      <c r="G86" s="251"/>
      <c r="H86" s="251"/>
      <c r="I86" s="251"/>
      <c r="J86" s="251"/>
      <c r="K86" s="251"/>
      <c r="L86" s="251"/>
      <c r="M86" s="251"/>
      <c r="N86" s="251"/>
      <c r="O86" s="251"/>
      <c r="P86" s="251"/>
      <c r="Q86" s="251"/>
      <c r="R86" s="251"/>
      <c r="S86" s="251"/>
      <c r="T86" s="251"/>
      <c r="U86" s="251"/>
      <c r="V86" s="251"/>
      <c r="W86" s="251"/>
      <c r="X86" s="251"/>
      <c r="Y86" s="252"/>
      <c r="Z86" s="251"/>
      <c r="AA86" s="251"/>
      <c r="AB86" s="251"/>
      <c r="AC86" s="186">
        <f t="shared" ref="AC86:BL86" si="165">SUM(AC87:AC94)</f>
        <v>0</v>
      </c>
      <c r="AD86" s="186">
        <f t="shared" si="165"/>
        <v>0</v>
      </c>
      <c r="AE86" s="186">
        <f t="shared" si="165"/>
        <v>0</v>
      </c>
      <c r="AF86" s="186">
        <f t="shared" si="165"/>
        <v>0</v>
      </c>
      <c r="AG86" s="186">
        <f t="shared" si="165"/>
        <v>7123040000</v>
      </c>
      <c r="AH86" s="186">
        <f t="shared" si="165"/>
        <v>7508776695.4200001</v>
      </c>
      <c r="AI86" s="186">
        <f t="shared" si="165"/>
        <v>5860235869.0200005</v>
      </c>
      <c r="AJ86" s="186">
        <f t="shared" si="165"/>
        <v>4002459872.3800001</v>
      </c>
      <c r="AK86" s="186">
        <f t="shared" si="165"/>
        <v>200000000</v>
      </c>
      <c r="AL86" s="186">
        <f t="shared" si="165"/>
        <v>340000000</v>
      </c>
      <c r="AM86" s="186">
        <f t="shared" si="165"/>
        <v>77426192</v>
      </c>
      <c r="AN86" s="186">
        <f t="shared" si="165"/>
        <v>55146259</v>
      </c>
      <c r="AO86" s="186">
        <f t="shared" si="165"/>
        <v>20519904</v>
      </c>
      <c r="AP86" s="186">
        <f t="shared" si="165"/>
        <v>148519904</v>
      </c>
      <c r="AQ86" s="186">
        <f t="shared" si="165"/>
        <v>20519904</v>
      </c>
      <c r="AR86" s="186">
        <f t="shared" si="165"/>
        <v>0</v>
      </c>
      <c r="AS86" s="186">
        <f t="shared" si="165"/>
        <v>0</v>
      </c>
      <c r="AT86" s="186">
        <f t="shared" si="165"/>
        <v>0</v>
      </c>
      <c r="AU86" s="186">
        <f t="shared" si="165"/>
        <v>0</v>
      </c>
      <c r="AV86" s="186">
        <f t="shared" si="165"/>
        <v>0</v>
      </c>
      <c r="AW86" s="186">
        <f t="shared" si="165"/>
        <v>0</v>
      </c>
      <c r="AX86" s="186">
        <f t="shared" si="165"/>
        <v>0</v>
      </c>
      <c r="AY86" s="186">
        <f t="shared" si="165"/>
        <v>0</v>
      </c>
      <c r="AZ86" s="186">
        <f t="shared" si="165"/>
        <v>0</v>
      </c>
      <c r="BA86" s="186">
        <f t="shared" si="165"/>
        <v>0</v>
      </c>
      <c r="BB86" s="186">
        <f t="shared" si="165"/>
        <v>0</v>
      </c>
      <c r="BC86" s="186">
        <f t="shared" si="165"/>
        <v>0</v>
      </c>
      <c r="BD86" s="186">
        <f t="shared" si="165"/>
        <v>0</v>
      </c>
      <c r="BE86" s="186">
        <f t="shared" si="165"/>
        <v>0</v>
      </c>
      <c r="BF86" s="186">
        <f t="shared" si="165"/>
        <v>0</v>
      </c>
      <c r="BG86" s="186">
        <f t="shared" si="165"/>
        <v>0</v>
      </c>
      <c r="BH86" s="186">
        <f t="shared" si="165"/>
        <v>0</v>
      </c>
      <c r="BI86" s="186">
        <f t="shared" si="165"/>
        <v>2400000000</v>
      </c>
      <c r="BJ86" s="186">
        <f t="shared" si="165"/>
        <v>0</v>
      </c>
      <c r="BK86" s="186">
        <f t="shared" si="165"/>
        <v>0</v>
      </c>
      <c r="BL86" s="186">
        <f t="shared" si="165"/>
        <v>0</v>
      </c>
      <c r="BM86" s="186">
        <f t="shared" ref="BM86:DX86" si="166">SUM(BM87:BM94)</f>
        <v>9743559904</v>
      </c>
      <c r="BN86" s="186">
        <f t="shared" si="166"/>
        <v>7997296599.4200001</v>
      </c>
      <c r="BO86" s="186">
        <f t="shared" si="166"/>
        <v>5958181965.0200005</v>
      </c>
      <c r="BP86" s="186">
        <f t="shared" si="166"/>
        <v>4057606131.3800001</v>
      </c>
      <c r="BQ86" s="186">
        <f t="shared" si="166"/>
        <v>3000000000</v>
      </c>
      <c r="BR86" s="186">
        <f t="shared" si="166"/>
        <v>0</v>
      </c>
      <c r="BS86" s="186">
        <f t="shared" si="166"/>
        <v>0</v>
      </c>
      <c r="BT86" s="186">
        <f t="shared" si="166"/>
        <v>0</v>
      </c>
      <c r="BU86" s="186">
        <f t="shared" si="166"/>
        <v>7336731200</v>
      </c>
      <c r="BV86" s="186">
        <f t="shared" si="166"/>
        <v>5649770352</v>
      </c>
      <c r="BW86" s="186">
        <f t="shared" si="166"/>
        <v>4163752640.0100002</v>
      </c>
      <c r="BX86" s="186">
        <f t="shared" si="166"/>
        <v>3496958178.21</v>
      </c>
      <c r="BY86" s="186">
        <f t="shared" si="166"/>
        <v>0</v>
      </c>
      <c r="BZ86" s="186">
        <f t="shared" si="166"/>
        <v>100000000</v>
      </c>
      <c r="CA86" s="186">
        <f t="shared" si="166"/>
        <v>7139193362.21</v>
      </c>
      <c r="CB86" s="186">
        <f t="shared" si="166"/>
        <v>4746055819.9100008</v>
      </c>
      <c r="CC86" s="186">
        <f t="shared" si="166"/>
        <v>4684675819.9100008</v>
      </c>
      <c r="CD86" s="186">
        <f t="shared" si="166"/>
        <v>16474147</v>
      </c>
      <c r="CE86" s="186">
        <f t="shared" si="166"/>
        <v>0</v>
      </c>
      <c r="CF86" s="186">
        <f t="shared" si="166"/>
        <v>611890318</v>
      </c>
      <c r="CG86" s="186">
        <f t="shared" si="166"/>
        <v>0</v>
      </c>
      <c r="CH86" s="186">
        <f t="shared" si="166"/>
        <v>0</v>
      </c>
      <c r="CI86" s="186">
        <f t="shared" si="166"/>
        <v>0</v>
      </c>
      <c r="CJ86" s="186">
        <f t="shared" si="166"/>
        <v>0</v>
      </c>
      <c r="CK86" s="186">
        <f t="shared" si="166"/>
        <v>0</v>
      </c>
      <c r="CL86" s="186">
        <f t="shared" si="166"/>
        <v>0</v>
      </c>
      <c r="CM86" s="186">
        <f t="shared" si="166"/>
        <v>0</v>
      </c>
      <c r="CN86" s="186">
        <f t="shared" si="166"/>
        <v>0</v>
      </c>
      <c r="CO86" s="186">
        <f t="shared" si="166"/>
        <v>0</v>
      </c>
      <c r="CP86" s="186">
        <f t="shared" si="166"/>
        <v>0</v>
      </c>
      <c r="CQ86" s="186">
        <f t="shared" si="166"/>
        <v>0</v>
      </c>
      <c r="CR86" s="186">
        <f t="shared" si="166"/>
        <v>0</v>
      </c>
      <c r="CS86" s="186">
        <f t="shared" si="166"/>
        <v>0</v>
      </c>
      <c r="CT86" s="186">
        <f t="shared" si="166"/>
        <v>0</v>
      </c>
      <c r="CU86" s="186">
        <f t="shared" si="166"/>
        <v>0</v>
      </c>
      <c r="CV86" s="186">
        <f t="shared" si="166"/>
        <v>0</v>
      </c>
      <c r="CW86" s="186">
        <f t="shared" si="166"/>
        <v>0</v>
      </c>
      <c r="CX86" s="186">
        <f t="shared" si="166"/>
        <v>0</v>
      </c>
      <c r="CY86" s="186">
        <f t="shared" si="166"/>
        <v>0</v>
      </c>
      <c r="CZ86" s="186">
        <f t="shared" si="166"/>
        <v>0</v>
      </c>
      <c r="DA86" s="186">
        <f t="shared" si="166"/>
        <v>12000000000</v>
      </c>
      <c r="DB86" s="186">
        <f t="shared" si="166"/>
        <v>0</v>
      </c>
      <c r="DC86" s="186">
        <f t="shared" si="166"/>
        <v>0</v>
      </c>
      <c r="DD86" s="186">
        <f t="shared" si="166"/>
        <v>0</v>
      </c>
      <c r="DE86" s="186">
        <f t="shared" si="166"/>
        <v>22436731200</v>
      </c>
      <c r="DF86" s="186">
        <f t="shared" si="166"/>
        <v>13400854032.209999</v>
      </c>
      <c r="DG86" s="186">
        <f t="shared" si="166"/>
        <v>8909808459.9200001</v>
      </c>
      <c r="DH86" s="186">
        <f t="shared" si="166"/>
        <v>8181633998.1199999</v>
      </c>
      <c r="DI86" s="186">
        <f t="shared" si="166"/>
        <v>16474147</v>
      </c>
      <c r="DJ86" s="186">
        <f t="shared" si="166"/>
        <v>8000000000</v>
      </c>
      <c r="DK86" s="186">
        <f t="shared" si="166"/>
        <v>4762341966.5</v>
      </c>
      <c r="DL86" s="186">
        <f t="shared" si="166"/>
        <v>4206064472.5</v>
      </c>
      <c r="DM86" s="186">
        <f t="shared" si="166"/>
        <v>1302389181.4099998</v>
      </c>
      <c r="DN86" s="186">
        <f t="shared" si="166"/>
        <v>7556833136</v>
      </c>
      <c r="DO86" s="186">
        <f t="shared" si="166"/>
        <v>7074430864</v>
      </c>
      <c r="DP86" s="186">
        <f t="shared" si="166"/>
        <v>6671325528.8000002</v>
      </c>
      <c r="DQ86" s="186">
        <f t="shared" si="166"/>
        <v>3251637980.9800005</v>
      </c>
      <c r="DR86" s="186">
        <f t="shared" si="166"/>
        <v>28350699</v>
      </c>
      <c r="DS86" s="186">
        <f t="shared" si="166"/>
        <v>40000000</v>
      </c>
      <c r="DT86" s="186">
        <f t="shared" si="166"/>
        <v>6341000000</v>
      </c>
      <c r="DU86" s="186">
        <f t="shared" si="166"/>
        <v>4149189040.71</v>
      </c>
      <c r="DV86" s="186">
        <f t="shared" si="166"/>
        <v>3323096890.1100001</v>
      </c>
      <c r="DW86" s="186">
        <f t="shared" si="166"/>
        <v>0</v>
      </c>
      <c r="DX86" s="186">
        <f t="shared" si="166"/>
        <v>0</v>
      </c>
      <c r="DY86" s="186">
        <f t="shared" ref="DY86:EW86" si="167">SUM(DY87:DY94)</f>
        <v>0</v>
      </c>
      <c r="DZ86" s="186">
        <f t="shared" si="167"/>
        <v>0</v>
      </c>
      <c r="EA86" s="186">
        <f t="shared" si="167"/>
        <v>0</v>
      </c>
      <c r="EB86" s="186">
        <f t="shared" si="167"/>
        <v>0</v>
      </c>
      <c r="EC86" s="186">
        <f t="shared" si="167"/>
        <v>0</v>
      </c>
      <c r="ED86" s="186">
        <f t="shared" si="167"/>
        <v>0</v>
      </c>
      <c r="EE86" s="186">
        <f t="shared" si="167"/>
        <v>0</v>
      </c>
      <c r="EF86" s="186">
        <f t="shared" si="167"/>
        <v>0</v>
      </c>
      <c r="EG86" s="186">
        <f t="shared" si="167"/>
        <v>0</v>
      </c>
      <c r="EH86" s="186">
        <f t="shared" si="167"/>
        <v>0</v>
      </c>
      <c r="EI86" s="186">
        <f t="shared" si="167"/>
        <v>0</v>
      </c>
      <c r="EJ86" s="186">
        <f t="shared" si="167"/>
        <v>0</v>
      </c>
      <c r="EK86" s="186">
        <f t="shared" si="167"/>
        <v>0</v>
      </c>
      <c r="EL86" s="186">
        <f t="shared" si="167"/>
        <v>0</v>
      </c>
      <c r="EM86" s="186">
        <f t="shared" si="167"/>
        <v>0</v>
      </c>
      <c r="EN86" s="186">
        <f t="shared" si="167"/>
        <v>0</v>
      </c>
      <c r="EO86" s="186">
        <f t="shared" si="167"/>
        <v>0</v>
      </c>
      <c r="EP86" s="186">
        <f t="shared" si="167"/>
        <v>0</v>
      </c>
      <c r="EQ86" s="186">
        <f t="shared" si="167"/>
        <v>0</v>
      </c>
      <c r="ER86" s="186">
        <f t="shared" si="167"/>
        <v>0</v>
      </c>
      <c r="ES86" s="186">
        <f t="shared" si="167"/>
        <v>1000000000</v>
      </c>
      <c r="ET86" s="186">
        <f t="shared" si="167"/>
        <v>0</v>
      </c>
      <c r="EU86" s="186">
        <f t="shared" si="167"/>
        <v>0</v>
      </c>
      <c r="EV86" s="186">
        <f t="shared" si="167"/>
        <v>0</v>
      </c>
      <c r="EW86" s="186">
        <f t="shared" si="167"/>
        <v>16596833136</v>
      </c>
      <c r="EX86" s="186">
        <f t="shared" ref="EX86:GZ86" si="168">SUM(EX87:EX94)</f>
        <v>18177772830.5</v>
      </c>
      <c r="EY86" s="186">
        <f t="shared" si="168"/>
        <v>15026579042.01</v>
      </c>
      <c r="EZ86" s="186">
        <f t="shared" si="168"/>
        <v>7877124052.5</v>
      </c>
      <c r="FA86" s="186">
        <f t="shared" si="168"/>
        <v>28350699</v>
      </c>
      <c r="FB86" s="601">
        <f t="shared" si="168"/>
        <v>6000000000</v>
      </c>
      <c r="FC86" s="186">
        <f t="shared" si="168"/>
        <v>13250767081</v>
      </c>
      <c r="FD86" s="186">
        <f t="shared" si="168"/>
        <v>608636996</v>
      </c>
      <c r="FE86" s="186">
        <f t="shared" si="168"/>
        <v>63780402</v>
      </c>
      <c r="FF86" s="186">
        <f t="shared" si="168"/>
        <v>1561764162.21</v>
      </c>
      <c r="FG86" s="186">
        <f t="shared" si="168"/>
        <v>7783538130</v>
      </c>
      <c r="FH86" s="186">
        <f t="shared" si="168"/>
        <v>4276640159</v>
      </c>
      <c r="FI86" s="186">
        <f t="shared" si="168"/>
        <v>1392505440.5449998</v>
      </c>
      <c r="FJ86" s="186">
        <f t="shared" si="168"/>
        <v>943772907.94000006</v>
      </c>
      <c r="FK86" s="186">
        <f t="shared" si="168"/>
        <v>271425549.69</v>
      </c>
      <c r="FL86" s="186">
        <f t="shared" si="168"/>
        <v>20000000</v>
      </c>
      <c r="FM86" s="186">
        <f t="shared" si="168"/>
        <v>5781797319</v>
      </c>
      <c r="FN86" s="186">
        <f t="shared" si="168"/>
        <v>729420983</v>
      </c>
      <c r="FO86" s="186">
        <f t="shared" si="168"/>
        <v>532378000</v>
      </c>
      <c r="FP86" s="186">
        <f t="shared" si="168"/>
        <v>117501937.59999999</v>
      </c>
      <c r="FQ86" s="186">
        <f t="shared" si="168"/>
        <v>0</v>
      </c>
      <c r="FR86" s="186">
        <f t="shared" si="168"/>
        <v>815853756</v>
      </c>
      <c r="FS86" s="186">
        <f t="shared" si="168"/>
        <v>803071603</v>
      </c>
      <c r="FT86" s="186">
        <f t="shared" si="168"/>
        <v>0</v>
      </c>
      <c r="FU86" s="186">
        <f t="shared" si="168"/>
        <v>0</v>
      </c>
      <c r="FV86" s="186">
        <f t="shared" si="168"/>
        <v>0</v>
      </c>
      <c r="FW86" s="186">
        <f t="shared" si="168"/>
        <v>0</v>
      </c>
      <c r="FX86" s="186">
        <f t="shared" si="168"/>
        <v>0</v>
      </c>
      <c r="FY86" s="186">
        <f t="shared" si="168"/>
        <v>0</v>
      </c>
      <c r="FZ86" s="186">
        <f t="shared" si="168"/>
        <v>0</v>
      </c>
      <c r="GA86" s="186">
        <f t="shared" si="168"/>
        <v>0</v>
      </c>
      <c r="GB86" s="186">
        <f t="shared" si="168"/>
        <v>0</v>
      </c>
      <c r="GC86" s="186">
        <f t="shared" si="168"/>
        <v>0</v>
      </c>
      <c r="GD86" s="186">
        <f t="shared" si="168"/>
        <v>0</v>
      </c>
      <c r="GE86" s="186">
        <f t="shared" si="168"/>
        <v>0</v>
      </c>
      <c r="GF86" s="186">
        <f t="shared" si="168"/>
        <v>0</v>
      </c>
      <c r="GG86" s="186">
        <f t="shared" si="168"/>
        <v>0</v>
      </c>
      <c r="GH86" s="186">
        <f t="shared" si="168"/>
        <v>0</v>
      </c>
      <c r="GI86" s="186">
        <f t="shared" si="168"/>
        <v>0</v>
      </c>
      <c r="GJ86" s="186">
        <f t="shared" si="168"/>
        <v>0</v>
      </c>
      <c r="GK86" s="186">
        <f t="shared" si="168"/>
        <v>0</v>
      </c>
      <c r="GL86" s="186">
        <f t="shared" si="168"/>
        <v>0</v>
      </c>
      <c r="GM86" s="186">
        <f t="shared" si="168"/>
        <v>0</v>
      </c>
      <c r="GN86" s="186">
        <f t="shared" si="168"/>
        <v>0</v>
      </c>
      <c r="GO86" s="186">
        <f t="shared" si="168"/>
        <v>0</v>
      </c>
      <c r="GP86" s="186">
        <f t="shared" si="168"/>
        <v>5054879885</v>
      </c>
      <c r="GQ86" s="186">
        <f t="shared" si="168"/>
        <v>0</v>
      </c>
      <c r="GR86" s="186">
        <f t="shared" si="168"/>
        <v>0</v>
      </c>
      <c r="GS86" s="186">
        <f t="shared" si="168"/>
        <v>0</v>
      </c>
      <c r="GT86" s="186">
        <f t="shared" si="168"/>
        <v>0</v>
      </c>
      <c r="GU86" s="186">
        <f t="shared" si="168"/>
        <v>18858418015</v>
      </c>
      <c r="GV86" s="186">
        <f t="shared" si="168"/>
        <v>24125058315</v>
      </c>
      <c r="GW86" s="186">
        <f t="shared" si="168"/>
        <v>3533635022.5450001</v>
      </c>
      <c r="GX86" s="186">
        <f t="shared" si="168"/>
        <v>1539931309.9400001</v>
      </c>
      <c r="GY86" s="186">
        <f t="shared" si="168"/>
        <v>1950691649.5</v>
      </c>
      <c r="GZ86" s="186">
        <f t="shared" si="168"/>
        <v>67635542255</v>
      </c>
    </row>
    <row r="87" spans="1:208" s="711" customFormat="1" ht="279" customHeight="1" x14ac:dyDescent="0.2">
      <c r="A87" s="703"/>
      <c r="B87" s="703"/>
      <c r="C87" s="621">
        <v>14</v>
      </c>
      <c r="D87" s="676" t="s">
        <v>224</v>
      </c>
      <c r="E87" s="839" t="s">
        <v>225</v>
      </c>
      <c r="F87" s="839">
        <v>0.03</v>
      </c>
      <c r="G87" s="684">
        <v>57</v>
      </c>
      <c r="H87" s="676" t="s">
        <v>226</v>
      </c>
      <c r="I87" s="676" t="s">
        <v>227</v>
      </c>
      <c r="J87" s="813" t="s">
        <v>228</v>
      </c>
      <c r="K87" s="813">
        <v>1</v>
      </c>
      <c r="L87" s="813" t="s">
        <v>73</v>
      </c>
      <c r="M87" s="682">
        <v>103</v>
      </c>
      <c r="N87" s="682">
        <v>48</v>
      </c>
      <c r="O87" s="682">
        <v>12</v>
      </c>
      <c r="P87" s="810">
        <v>12</v>
      </c>
      <c r="Q87" s="682">
        <v>12</v>
      </c>
      <c r="R87" s="814"/>
      <c r="S87" s="810">
        <f>18+11</f>
        <v>29</v>
      </c>
      <c r="T87" s="682">
        <v>12</v>
      </c>
      <c r="U87" s="682"/>
      <c r="V87" s="810">
        <v>28</v>
      </c>
      <c r="W87" s="682">
        <v>12</v>
      </c>
      <c r="X87" s="813"/>
      <c r="Y87" s="630">
        <f>20+4</f>
        <v>24</v>
      </c>
      <c r="Z87" s="809">
        <f t="shared" ref="Z87:Z94" si="169">BM87/$BM$86</f>
        <v>0.36439657979035095</v>
      </c>
      <c r="AA87" s="682">
        <v>11</v>
      </c>
      <c r="AB87" s="813" t="s">
        <v>229</v>
      </c>
      <c r="AC87" s="817"/>
      <c r="AD87" s="818"/>
      <c r="AE87" s="818"/>
      <c r="AF87" s="818"/>
      <c r="AG87" s="817">
        <v>3530000000</v>
      </c>
      <c r="AH87" s="818">
        <v>4388984888</v>
      </c>
      <c r="AI87" s="818">
        <v>3625709742.02</v>
      </c>
      <c r="AJ87" s="818">
        <v>2579433745.3800001</v>
      </c>
      <c r="AK87" s="831"/>
      <c r="AL87" s="831"/>
      <c r="AM87" s="831"/>
      <c r="AN87" s="831"/>
      <c r="AO87" s="830">
        <v>20519904</v>
      </c>
      <c r="AP87" s="831">
        <v>20519904</v>
      </c>
      <c r="AQ87" s="831">
        <v>20519904</v>
      </c>
      <c r="AR87" s="831"/>
      <c r="AS87" s="830"/>
      <c r="AT87" s="831"/>
      <c r="AU87" s="818"/>
      <c r="AV87" s="818"/>
      <c r="AW87" s="817"/>
      <c r="AX87" s="818"/>
      <c r="AY87" s="818"/>
      <c r="AZ87" s="818"/>
      <c r="BA87" s="817"/>
      <c r="BB87" s="818"/>
      <c r="BC87" s="818"/>
      <c r="BD87" s="818"/>
      <c r="BE87" s="817"/>
      <c r="BF87" s="818"/>
      <c r="BG87" s="818"/>
      <c r="BH87" s="818"/>
      <c r="BI87" s="817"/>
      <c r="BJ87" s="818"/>
      <c r="BK87" s="818"/>
      <c r="BL87" s="818"/>
      <c r="BM87" s="817">
        <f t="shared" ref="BM87:BM94" si="170">+AC87+AG87+AK87+AO87+AS87+AW87+BA87+BE87+BI87</f>
        <v>3550519904</v>
      </c>
      <c r="BN87" s="818">
        <f t="shared" ref="BN87:BP94" si="171">AD87+AH87+AL87+AP87+AT87+AX87+BB87+BF87+BJ87</f>
        <v>4409504792</v>
      </c>
      <c r="BO87" s="818">
        <f t="shared" si="171"/>
        <v>3646229646.02</v>
      </c>
      <c r="BP87" s="818">
        <f t="shared" si="171"/>
        <v>2579433745.3800001</v>
      </c>
      <c r="BQ87" s="667"/>
      <c r="BR87" s="667"/>
      <c r="BS87" s="667"/>
      <c r="BT87" s="667"/>
      <c r="BU87" s="667">
        <v>4489900000</v>
      </c>
      <c r="BV87" s="667">
        <v>2685878637</v>
      </c>
      <c r="BW87" s="667">
        <v>1538971054.5</v>
      </c>
      <c r="BX87" s="667">
        <v>1175890669.7</v>
      </c>
      <c r="BY87" s="667"/>
      <c r="BZ87" s="667"/>
      <c r="CA87" s="667">
        <v>5786250862.21</v>
      </c>
      <c r="CB87" s="667">
        <v>3966146401.5</v>
      </c>
      <c r="CC87" s="667">
        <v>3904766401.5</v>
      </c>
      <c r="CD87" s="667">
        <v>16474147</v>
      </c>
      <c r="CE87" s="667"/>
      <c r="CF87" s="667"/>
      <c r="CG87" s="667"/>
      <c r="CH87" s="667"/>
      <c r="CI87" s="667"/>
      <c r="CJ87" s="667"/>
      <c r="CK87" s="667"/>
      <c r="CL87" s="667"/>
      <c r="CM87" s="667"/>
      <c r="CN87" s="667"/>
      <c r="CO87" s="667"/>
      <c r="CP87" s="667"/>
      <c r="CQ87" s="667"/>
      <c r="CR87" s="667"/>
      <c r="CS87" s="667"/>
      <c r="CT87" s="667"/>
      <c r="CU87" s="667"/>
      <c r="CV87" s="667"/>
      <c r="CW87" s="667"/>
      <c r="CX87" s="667"/>
      <c r="CY87" s="667"/>
      <c r="CZ87" s="667"/>
      <c r="DA87" s="667"/>
      <c r="DB87" s="667"/>
      <c r="DC87" s="667"/>
      <c r="DD87" s="667"/>
      <c r="DE87" s="708">
        <f t="shared" ref="DE87:DE94" si="172">BQ87+BU87+BZ87+CE87+CI87+CM87+CQ87+CV87+DA87</f>
        <v>4489900000</v>
      </c>
      <c r="DF87" s="708">
        <f t="shared" ref="DF87:DF94" si="173">BR87+BV87+CA87+CF87+CJ87+CN87+CR87+CW87+DB87</f>
        <v>8472129499.21</v>
      </c>
      <c r="DG87" s="708">
        <f t="shared" ref="DG87:DG94" si="174">BS87+BW87+CB87+CG87+CK87+CO87+CS87+CX87+DC87</f>
        <v>5505117456</v>
      </c>
      <c r="DH87" s="708">
        <f t="shared" ref="DH87:DH94" si="175">BT87+BX87+CC87+CH87+CL87+CP87+CT87+CY87+DD87</f>
        <v>5080657071.1999998</v>
      </c>
      <c r="DI87" s="708">
        <f>CD87</f>
        <v>16474147</v>
      </c>
      <c r="DJ87" s="667"/>
      <c r="DK87" s="667"/>
      <c r="DL87" s="667"/>
      <c r="DM87" s="667"/>
      <c r="DN87" s="667">
        <v>3654597000</v>
      </c>
      <c r="DO87" s="667">
        <f>2390695347+300000000</f>
        <v>2690695347</v>
      </c>
      <c r="DP87" s="667">
        <f>2390374594.5+195038666.67</f>
        <v>2585413261.1700001</v>
      </c>
      <c r="DQ87" s="667">
        <f>1510405005.93+149601518.14</f>
        <v>1660006524.0700002</v>
      </c>
      <c r="DR87" s="667">
        <v>11858210</v>
      </c>
      <c r="DS87" s="667"/>
      <c r="DT87" s="667">
        <v>4085000000</v>
      </c>
      <c r="DU87" s="667">
        <v>3702448167.71</v>
      </c>
      <c r="DV87" s="667">
        <v>2876356017.1100001</v>
      </c>
      <c r="DW87" s="667"/>
      <c r="DX87" s="667"/>
      <c r="DY87" s="667"/>
      <c r="DZ87" s="667"/>
      <c r="EA87" s="667"/>
      <c r="EB87" s="667"/>
      <c r="EC87" s="667"/>
      <c r="ED87" s="667"/>
      <c r="EE87" s="667"/>
      <c r="EF87" s="667"/>
      <c r="EG87" s="667"/>
      <c r="EH87" s="667"/>
      <c r="EI87" s="667"/>
      <c r="EJ87" s="667"/>
      <c r="EK87" s="667"/>
      <c r="EL87" s="667"/>
      <c r="EM87" s="667"/>
      <c r="EN87" s="667"/>
      <c r="EO87" s="667"/>
      <c r="EP87" s="667"/>
      <c r="EQ87" s="667"/>
      <c r="ER87" s="667"/>
      <c r="ES87" s="667"/>
      <c r="ET87" s="667"/>
      <c r="EU87" s="667"/>
      <c r="EV87" s="667"/>
      <c r="EW87" s="708">
        <f>DJ87+DN87+DS87+DX87+EB87+EF87+EJ87+EN87+ES87</f>
        <v>3654597000</v>
      </c>
      <c r="EX87" s="819">
        <f>DK87+DO87+DT87+DY87+EC87+EG87+EK87+EO87+ET87</f>
        <v>6775695347</v>
      </c>
      <c r="EY87" s="819">
        <f>DL87+DP87+DU87+DZ87+ED87+EH87+EL87+EP87+EU87</f>
        <v>6287861428.8800001</v>
      </c>
      <c r="EZ87" s="819">
        <f>DM87+DQ87+DV87+EA87+EE87+EI87+EM87+EQ87+EV87</f>
        <v>4536362541.1800003</v>
      </c>
      <c r="FA87" s="820">
        <f>DR87</f>
        <v>11858210</v>
      </c>
      <c r="FB87" s="667"/>
      <c r="FC87" s="706"/>
      <c r="FD87" s="706"/>
      <c r="FE87" s="706"/>
      <c r="FF87" s="707"/>
      <c r="FG87" s="667">
        <v>3824234910</v>
      </c>
      <c r="FH87" s="667">
        <f>1706255081+573181075</f>
        <v>2279436156</v>
      </c>
      <c r="FI87" s="667">
        <f>135557966+444587515.625</f>
        <v>580145481.625</v>
      </c>
      <c r="FJ87" s="706">
        <v>357252434.59000003</v>
      </c>
      <c r="FK87" s="667">
        <v>7989252.79</v>
      </c>
      <c r="FL87" s="667"/>
      <c r="FM87" s="667">
        <v>2800000000</v>
      </c>
      <c r="FN87" s="667">
        <v>220947300</v>
      </c>
      <c r="FO87" s="667">
        <v>119076300</v>
      </c>
      <c r="FP87" s="667">
        <v>72619993</v>
      </c>
      <c r="FQ87" s="667"/>
      <c r="FR87" s="667"/>
      <c r="FS87" s="667"/>
      <c r="FT87" s="667"/>
      <c r="FU87" s="667"/>
      <c r="FV87" s="667"/>
      <c r="FW87" s="667"/>
      <c r="FX87" s="667"/>
      <c r="FY87" s="667"/>
      <c r="FZ87" s="667"/>
      <c r="GA87" s="667"/>
      <c r="GB87" s="667"/>
      <c r="GC87" s="667"/>
      <c r="GD87" s="667"/>
      <c r="GE87" s="667"/>
      <c r="GF87" s="667"/>
      <c r="GG87" s="667"/>
      <c r="GH87" s="667"/>
      <c r="GI87" s="667"/>
      <c r="GJ87" s="667"/>
      <c r="GK87" s="667"/>
      <c r="GL87" s="667"/>
      <c r="GM87" s="667"/>
      <c r="GN87" s="667"/>
      <c r="GO87" s="667"/>
      <c r="GP87" s="667"/>
      <c r="GQ87" s="667"/>
      <c r="GR87" s="667"/>
      <c r="GS87" s="667"/>
      <c r="GT87" s="667"/>
      <c r="GU87" s="708">
        <f t="shared" ref="GU87:GY94" si="176">FB87+FG87+FL87+FQ87+FV87+GA87+GF87+GK87+GP87</f>
        <v>3824234910</v>
      </c>
      <c r="GV87" s="708">
        <f t="shared" si="176"/>
        <v>5079436156</v>
      </c>
      <c r="GW87" s="708">
        <f t="shared" si="176"/>
        <v>801092781.625</v>
      </c>
      <c r="GX87" s="708">
        <f t="shared" si="176"/>
        <v>476328734.59000003</v>
      </c>
      <c r="GY87" s="709">
        <f t="shared" si="176"/>
        <v>80609245.790000007</v>
      </c>
      <c r="GZ87" s="710">
        <f t="shared" ref="GZ87:GZ94" si="177">BM87+DE87+EW87+GU87</f>
        <v>15519251814</v>
      </c>
    </row>
    <row r="88" spans="1:208" s="711" customFormat="1" ht="151.5" customHeight="1" x14ac:dyDescent="0.2">
      <c r="A88" s="703"/>
      <c r="B88" s="703"/>
      <c r="C88" s="715">
        <v>6</v>
      </c>
      <c r="D88" s="826" t="s">
        <v>230</v>
      </c>
      <c r="E88" s="827" t="s">
        <v>127</v>
      </c>
      <c r="F88" s="840" t="s">
        <v>127</v>
      </c>
      <c r="G88" s="841">
        <v>58</v>
      </c>
      <c r="H88" s="1005" t="s">
        <v>231</v>
      </c>
      <c r="I88" s="1005" t="s">
        <v>232</v>
      </c>
      <c r="J88" s="997" t="s">
        <v>233</v>
      </c>
      <c r="K88" s="997">
        <v>15</v>
      </c>
      <c r="L88" s="813" t="s">
        <v>73</v>
      </c>
      <c r="M88" s="897">
        <v>6</v>
      </c>
      <c r="N88" s="897">
        <v>4</v>
      </c>
      <c r="O88" s="682">
        <v>0</v>
      </c>
      <c r="P88" s="810"/>
      <c r="Q88" s="682">
        <v>1</v>
      </c>
      <c r="R88" s="814"/>
      <c r="S88" s="810">
        <v>1</v>
      </c>
      <c r="T88" s="682">
        <v>2</v>
      </c>
      <c r="U88" s="682"/>
      <c r="V88" s="810">
        <v>4</v>
      </c>
      <c r="W88" s="682">
        <v>1</v>
      </c>
      <c r="X88" s="813"/>
      <c r="Y88" s="630">
        <v>0</v>
      </c>
      <c r="Z88" s="809">
        <f t="shared" si="169"/>
        <v>0</v>
      </c>
      <c r="AA88" s="682">
        <v>11</v>
      </c>
      <c r="AB88" s="813" t="s">
        <v>229</v>
      </c>
      <c r="AC88" s="817"/>
      <c r="AD88" s="818"/>
      <c r="AE88" s="818"/>
      <c r="AF88" s="818"/>
      <c r="AG88" s="830">
        <v>0</v>
      </c>
      <c r="AH88" s="831"/>
      <c r="AI88" s="831"/>
      <c r="AJ88" s="831"/>
      <c r="AK88" s="831"/>
      <c r="AL88" s="831"/>
      <c r="AM88" s="831"/>
      <c r="AN88" s="831"/>
      <c r="AO88" s="830"/>
      <c r="AP88" s="831"/>
      <c r="AQ88" s="831"/>
      <c r="AR88" s="831"/>
      <c r="AS88" s="830"/>
      <c r="AT88" s="831"/>
      <c r="AU88" s="818"/>
      <c r="AV88" s="818"/>
      <c r="AW88" s="817"/>
      <c r="AX88" s="818"/>
      <c r="AY88" s="818"/>
      <c r="AZ88" s="818"/>
      <c r="BA88" s="817"/>
      <c r="BB88" s="818"/>
      <c r="BC88" s="818"/>
      <c r="BD88" s="818"/>
      <c r="BE88" s="817"/>
      <c r="BF88" s="818"/>
      <c r="BG88" s="818"/>
      <c r="BH88" s="818"/>
      <c r="BI88" s="817"/>
      <c r="BJ88" s="818"/>
      <c r="BK88" s="818"/>
      <c r="BL88" s="818"/>
      <c r="BM88" s="817">
        <f t="shared" si="170"/>
        <v>0</v>
      </c>
      <c r="BN88" s="818">
        <f t="shared" si="171"/>
        <v>0</v>
      </c>
      <c r="BO88" s="818">
        <f t="shared" si="171"/>
        <v>0</v>
      </c>
      <c r="BP88" s="818">
        <f t="shared" si="171"/>
        <v>0</v>
      </c>
      <c r="BQ88" s="706"/>
      <c r="BR88" s="667"/>
      <c r="BS88" s="667"/>
      <c r="BT88" s="667"/>
      <c r="BU88" s="667"/>
      <c r="BV88" s="667">
        <v>50000000</v>
      </c>
      <c r="BW88" s="667">
        <v>49998704</v>
      </c>
      <c r="BX88" s="667">
        <v>49998704</v>
      </c>
      <c r="BY88" s="667"/>
      <c r="BZ88" s="667"/>
      <c r="CA88" s="667"/>
      <c r="CB88" s="667"/>
      <c r="CC88" s="667"/>
      <c r="CD88" s="667"/>
      <c r="CE88" s="667"/>
      <c r="CF88" s="667"/>
      <c r="CG88" s="667"/>
      <c r="CH88" s="667"/>
      <c r="CI88" s="667"/>
      <c r="CJ88" s="667"/>
      <c r="CK88" s="667"/>
      <c r="CL88" s="667"/>
      <c r="CM88" s="667"/>
      <c r="CN88" s="667"/>
      <c r="CO88" s="667"/>
      <c r="CP88" s="667"/>
      <c r="CQ88" s="667"/>
      <c r="CR88" s="667"/>
      <c r="CS88" s="667"/>
      <c r="CT88" s="667"/>
      <c r="CU88" s="667"/>
      <c r="CV88" s="667"/>
      <c r="CW88" s="667"/>
      <c r="CX88" s="667"/>
      <c r="CY88" s="667"/>
      <c r="CZ88" s="667"/>
      <c r="DA88" s="667">
        <v>1000000000</v>
      </c>
      <c r="DB88" s="667"/>
      <c r="DC88" s="667"/>
      <c r="DD88" s="667"/>
      <c r="DE88" s="708">
        <f t="shared" si="172"/>
        <v>1000000000</v>
      </c>
      <c r="DF88" s="708">
        <f t="shared" si="173"/>
        <v>50000000</v>
      </c>
      <c r="DG88" s="708">
        <f t="shared" si="174"/>
        <v>49998704</v>
      </c>
      <c r="DH88" s="708">
        <f t="shared" si="175"/>
        <v>49998704</v>
      </c>
      <c r="DI88" s="708"/>
      <c r="DJ88" s="667"/>
      <c r="DK88" s="710">
        <v>798174636</v>
      </c>
      <c r="DL88" s="667">
        <v>689621717</v>
      </c>
      <c r="DM88" s="667">
        <v>110550410</v>
      </c>
      <c r="DN88" s="667"/>
      <c r="DO88" s="667"/>
      <c r="DP88" s="667"/>
      <c r="DQ88" s="667"/>
      <c r="DR88" s="667"/>
      <c r="DS88" s="667"/>
      <c r="DT88" s="667"/>
      <c r="DU88" s="667"/>
      <c r="DV88" s="667"/>
      <c r="DW88" s="667"/>
      <c r="DX88" s="667"/>
      <c r="DY88" s="667"/>
      <c r="DZ88" s="667"/>
      <c r="EA88" s="667"/>
      <c r="EB88" s="667"/>
      <c r="EC88" s="667"/>
      <c r="ED88" s="667"/>
      <c r="EE88" s="667"/>
      <c r="EF88" s="667"/>
      <c r="EG88" s="667"/>
      <c r="EH88" s="667"/>
      <c r="EI88" s="667"/>
      <c r="EJ88" s="667"/>
      <c r="EK88" s="667"/>
      <c r="EL88" s="667"/>
      <c r="EM88" s="667"/>
      <c r="EN88" s="667"/>
      <c r="EO88" s="667"/>
      <c r="EP88" s="667"/>
      <c r="EQ88" s="667"/>
      <c r="ER88" s="667"/>
      <c r="ES88" s="667">
        <v>1000000000</v>
      </c>
      <c r="ET88" s="667"/>
      <c r="EU88" s="667"/>
      <c r="EV88" s="667"/>
      <c r="EW88" s="708">
        <f t="shared" ref="EW88:EX94" si="178">DJ88+DN88+DS88+DX88+EB88+EF88+EJ88+EN88+ES88</f>
        <v>1000000000</v>
      </c>
      <c r="EX88" s="819">
        <f t="shared" si="178"/>
        <v>798174636</v>
      </c>
      <c r="EY88" s="819">
        <f t="shared" ref="EY88:EZ94" si="179">DL88+DP88+DU88+DZ88+ED88+EH88+EL88+EP88+EU88</f>
        <v>689621717</v>
      </c>
      <c r="EZ88" s="819">
        <f t="shared" si="179"/>
        <v>110550410</v>
      </c>
      <c r="FA88" s="820"/>
      <c r="FB88" s="667"/>
      <c r="FC88" s="706">
        <v>4981825364</v>
      </c>
      <c r="FD88" s="706"/>
      <c r="FE88" s="706"/>
      <c r="FF88" s="707">
        <v>321120350</v>
      </c>
      <c r="FG88" s="667"/>
      <c r="FH88" s="667"/>
      <c r="FI88" s="667"/>
      <c r="FJ88" s="667"/>
      <c r="FK88" s="667"/>
      <c r="FL88" s="667"/>
      <c r="FM88" s="667"/>
      <c r="FN88" s="667"/>
      <c r="FO88" s="667"/>
      <c r="FP88" s="667"/>
      <c r="FQ88" s="667"/>
      <c r="FR88" s="667"/>
      <c r="FS88" s="667"/>
      <c r="FT88" s="667"/>
      <c r="FU88" s="667"/>
      <c r="FV88" s="667"/>
      <c r="FW88" s="667"/>
      <c r="FX88" s="667"/>
      <c r="FY88" s="667"/>
      <c r="FZ88" s="667"/>
      <c r="GA88" s="667"/>
      <c r="GB88" s="667"/>
      <c r="GC88" s="667"/>
      <c r="GD88" s="667"/>
      <c r="GE88" s="667"/>
      <c r="GF88" s="667"/>
      <c r="GG88" s="667"/>
      <c r="GH88" s="667"/>
      <c r="GI88" s="667"/>
      <c r="GJ88" s="667"/>
      <c r="GK88" s="667"/>
      <c r="GL88" s="667"/>
      <c r="GM88" s="667"/>
      <c r="GN88" s="667"/>
      <c r="GO88" s="667"/>
      <c r="GP88" s="667">
        <v>1000000000</v>
      </c>
      <c r="GQ88" s="667"/>
      <c r="GR88" s="667"/>
      <c r="GS88" s="667"/>
      <c r="GT88" s="667"/>
      <c r="GU88" s="708">
        <f t="shared" si="176"/>
        <v>1000000000</v>
      </c>
      <c r="GV88" s="708">
        <f t="shared" si="176"/>
        <v>4981825364</v>
      </c>
      <c r="GW88" s="708">
        <f t="shared" si="176"/>
        <v>0</v>
      </c>
      <c r="GX88" s="708">
        <f t="shared" si="176"/>
        <v>0</v>
      </c>
      <c r="GY88" s="709">
        <f t="shared" si="176"/>
        <v>321120350</v>
      </c>
      <c r="GZ88" s="710">
        <f t="shared" si="177"/>
        <v>3000000000</v>
      </c>
    </row>
    <row r="89" spans="1:208" s="711" customFormat="1" ht="300.75" customHeight="1" x14ac:dyDescent="0.2">
      <c r="A89" s="703"/>
      <c r="B89" s="703"/>
      <c r="C89" s="621">
        <v>36</v>
      </c>
      <c r="D89" s="826" t="s">
        <v>234</v>
      </c>
      <c r="E89" s="1006">
        <v>0.4</v>
      </c>
      <c r="F89" s="838">
        <v>0.6</v>
      </c>
      <c r="G89" s="684">
        <v>59</v>
      </c>
      <c r="H89" s="676" t="s">
        <v>235</v>
      </c>
      <c r="I89" s="676" t="s">
        <v>236</v>
      </c>
      <c r="J89" s="997" t="s">
        <v>233</v>
      </c>
      <c r="K89" s="997">
        <v>15</v>
      </c>
      <c r="L89" s="813" t="s">
        <v>73</v>
      </c>
      <c r="M89" s="682">
        <v>82</v>
      </c>
      <c r="N89" s="682">
        <v>48</v>
      </c>
      <c r="O89" s="682">
        <v>12</v>
      </c>
      <c r="P89" s="810">
        <v>24</v>
      </c>
      <c r="Q89" s="682">
        <v>12</v>
      </c>
      <c r="R89" s="814"/>
      <c r="S89" s="810">
        <f>23+12</f>
        <v>35</v>
      </c>
      <c r="T89" s="682">
        <v>12</v>
      </c>
      <c r="U89" s="682"/>
      <c r="V89" s="810">
        <f>19+8</f>
        <v>27</v>
      </c>
      <c r="W89" s="682">
        <v>12</v>
      </c>
      <c r="X89" s="813"/>
      <c r="Y89" s="630">
        <f>5+1</f>
        <v>6</v>
      </c>
      <c r="Z89" s="809">
        <f t="shared" si="169"/>
        <v>0.18473740786065782</v>
      </c>
      <c r="AA89" s="682">
        <v>11</v>
      </c>
      <c r="AB89" s="813" t="s">
        <v>229</v>
      </c>
      <c r="AC89" s="817"/>
      <c r="AD89" s="818"/>
      <c r="AE89" s="818"/>
      <c r="AF89" s="818"/>
      <c r="AG89" s="830">
        <v>1800000000</v>
      </c>
      <c r="AH89" s="831">
        <v>2582791807.4200001</v>
      </c>
      <c r="AI89" s="831">
        <v>1855791807.4200001</v>
      </c>
      <c r="AJ89" s="831">
        <v>1044291807.4200001</v>
      </c>
      <c r="AK89" s="831"/>
      <c r="AL89" s="831"/>
      <c r="AM89" s="831"/>
      <c r="AN89" s="831"/>
      <c r="AO89" s="830"/>
      <c r="AP89" s="831"/>
      <c r="AQ89" s="831"/>
      <c r="AR89" s="831"/>
      <c r="AS89" s="830"/>
      <c r="AT89" s="831"/>
      <c r="AU89" s="818"/>
      <c r="AV89" s="818"/>
      <c r="AW89" s="817"/>
      <c r="AX89" s="818"/>
      <c r="AY89" s="818"/>
      <c r="AZ89" s="818"/>
      <c r="BA89" s="817"/>
      <c r="BB89" s="818"/>
      <c r="BC89" s="818"/>
      <c r="BD89" s="818"/>
      <c r="BE89" s="817"/>
      <c r="BF89" s="818"/>
      <c r="BG89" s="818"/>
      <c r="BH89" s="818"/>
      <c r="BI89" s="817"/>
      <c r="BJ89" s="818"/>
      <c r="BK89" s="818"/>
      <c r="BL89" s="818"/>
      <c r="BM89" s="817">
        <f t="shared" si="170"/>
        <v>1800000000</v>
      </c>
      <c r="BN89" s="818">
        <f t="shared" si="171"/>
        <v>2582791807.4200001</v>
      </c>
      <c r="BO89" s="818">
        <f t="shared" si="171"/>
        <v>1855791807.4200001</v>
      </c>
      <c r="BP89" s="818">
        <f t="shared" si="171"/>
        <v>1044291807.4200001</v>
      </c>
      <c r="BQ89" s="667"/>
      <c r="BR89" s="667"/>
      <c r="BS89" s="667"/>
      <c r="BT89" s="667"/>
      <c r="BU89" s="667">
        <v>1000000000</v>
      </c>
      <c r="BV89" s="667">
        <v>1316303428</v>
      </c>
      <c r="BW89" s="667">
        <v>1135827475</v>
      </c>
      <c r="BX89" s="667">
        <v>848605887</v>
      </c>
      <c r="BY89" s="667"/>
      <c r="BZ89" s="667"/>
      <c r="CA89" s="667">
        <v>682942500</v>
      </c>
      <c r="CB89" s="667">
        <v>310580859.61000001</v>
      </c>
      <c r="CC89" s="667">
        <v>310580859.61000001</v>
      </c>
      <c r="CD89" s="667"/>
      <c r="CE89" s="667"/>
      <c r="CF89" s="667">
        <v>611890318</v>
      </c>
      <c r="CG89" s="667"/>
      <c r="CH89" s="667"/>
      <c r="CI89" s="667"/>
      <c r="CJ89" s="667"/>
      <c r="CK89" s="667"/>
      <c r="CL89" s="667"/>
      <c r="CM89" s="667"/>
      <c r="CN89" s="667"/>
      <c r="CO89" s="667"/>
      <c r="CP89" s="667"/>
      <c r="CQ89" s="667"/>
      <c r="CR89" s="667"/>
      <c r="CS89" s="667"/>
      <c r="CT89" s="667"/>
      <c r="CU89" s="667"/>
      <c r="CV89" s="706"/>
      <c r="CW89" s="667"/>
      <c r="CX89" s="667"/>
      <c r="CY89" s="667"/>
      <c r="CZ89" s="667"/>
      <c r="DA89" s="667">
        <v>2000000000</v>
      </c>
      <c r="DB89" s="667"/>
      <c r="DC89" s="667"/>
      <c r="DD89" s="667"/>
      <c r="DE89" s="708">
        <f t="shared" si="172"/>
        <v>3000000000</v>
      </c>
      <c r="DF89" s="708">
        <f t="shared" si="173"/>
        <v>2611136246</v>
      </c>
      <c r="DG89" s="708">
        <f t="shared" si="174"/>
        <v>1446408334.6100001</v>
      </c>
      <c r="DH89" s="708">
        <f t="shared" si="175"/>
        <v>1159186746.6100001</v>
      </c>
      <c r="DI89" s="708"/>
      <c r="DJ89" s="667"/>
      <c r="DK89" s="667">
        <v>400000000</v>
      </c>
      <c r="DL89" s="667">
        <v>400000000</v>
      </c>
      <c r="DM89" s="667">
        <v>136461070</v>
      </c>
      <c r="DN89" s="667">
        <f>2357158989-357158989</f>
        <v>2000000000</v>
      </c>
      <c r="DO89" s="667">
        <f>2333843149+1200000000</f>
        <v>3533843149</v>
      </c>
      <c r="DP89" s="667">
        <f>2146763039.49+1198900459.13</f>
        <v>3345663498.6199999</v>
      </c>
      <c r="DQ89" s="667">
        <f>437412332.1+546205628.49</f>
        <v>983617960.59000003</v>
      </c>
      <c r="DR89" s="667"/>
      <c r="DS89" s="667"/>
      <c r="DT89" s="667">
        <v>2000000000</v>
      </c>
      <c r="DU89" s="667">
        <v>346879943</v>
      </c>
      <c r="DV89" s="667">
        <v>346879943</v>
      </c>
      <c r="DW89" s="667"/>
      <c r="DX89" s="667"/>
      <c r="DY89" s="667"/>
      <c r="DZ89" s="667"/>
      <c r="EA89" s="667"/>
      <c r="EB89" s="667"/>
      <c r="EC89" s="667"/>
      <c r="ED89" s="667"/>
      <c r="EE89" s="667"/>
      <c r="EF89" s="667"/>
      <c r="EG89" s="667"/>
      <c r="EH89" s="667"/>
      <c r="EI89" s="667"/>
      <c r="EJ89" s="667"/>
      <c r="EK89" s="667"/>
      <c r="EL89" s="667"/>
      <c r="EM89" s="667"/>
      <c r="EN89" s="667"/>
      <c r="EO89" s="667"/>
      <c r="EP89" s="667"/>
      <c r="EQ89" s="667"/>
      <c r="ER89" s="667"/>
      <c r="ES89" s="667"/>
      <c r="ET89" s="667"/>
      <c r="EU89" s="667"/>
      <c r="EV89" s="667"/>
      <c r="EW89" s="708">
        <f t="shared" si="178"/>
        <v>2000000000</v>
      </c>
      <c r="EX89" s="819">
        <f t="shared" si="178"/>
        <v>5933843149</v>
      </c>
      <c r="EY89" s="819">
        <f t="shared" si="179"/>
        <v>4092543441.6199999</v>
      </c>
      <c r="EZ89" s="819">
        <f t="shared" si="179"/>
        <v>1466958973.5900002</v>
      </c>
      <c r="FA89" s="820"/>
      <c r="FB89" s="667"/>
      <c r="FC89" s="706">
        <v>0</v>
      </c>
      <c r="FD89" s="706"/>
      <c r="FE89" s="706"/>
      <c r="FF89" s="707">
        <v>262775236</v>
      </c>
      <c r="FG89" s="667">
        <v>2000000000</v>
      </c>
      <c r="FH89" s="667">
        <f>246521300+573181075</f>
        <v>819702375</v>
      </c>
      <c r="FI89" s="667">
        <f>72358866+82638891.16</f>
        <v>154997757.16</v>
      </c>
      <c r="FJ89" s="667">
        <v>76544338.980000004</v>
      </c>
      <c r="FK89" s="667">
        <v>263436296.90000001</v>
      </c>
      <c r="FL89" s="667"/>
      <c r="FM89" s="667">
        <v>2727403974</v>
      </c>
      <c r="FN89" s="667">
        <v>508473683</v>
      </c>
      <c r="FO89" s="667">
        <v>413301700</v>
      </c>
      <c r="FP89" s="667">
        <v>44881944.600000001</v>
      </c>
      <c r="FQ89" s="667"/>
      <c r="FR89" s="667">
        <v>815853756</v>
      </c>
      <c r="FS89" s="667">
        <v>803071603</v>
      </c>
      <c r="FT89" s="667"/>
      <c r="FU89" s="667"/>
      <c r="FV89" s="667"/>
      <c r="FW89" s="667"/>
      <c r="FX89" s="667"/>
      <c r="FY89" s="667"/>
      <c r="FZ89" s="667"/>
      <c r="GA89" s="667"/>
      <c r="GB89" s="667"/>
      <c r="GC89" s="667"/>
      <c r="GD89" s="667"/>
      <c r="GE89" s="667"/>
      <c r="GF89" s="667"/>
      <c r="GG89" s="667"/>
      <c r="GH89" s="667"/>
      <c r="GI89" s="667"/>
      <c r="GJ89" s="667"/>
      <c r="GK89" s="667"/>
      <c r="GL89" s="667"/>
      <c r="GM89" s="667"/>
      <c r="GN89" s="667"/>
      <c r="GO89" s="667"/>
      <c r="GP89" s="667"/>
      <c r="GQ89" s="667"/>
      <c r="GR89" s="667"/>
      <c r="GS89" s="667"/>
      <c r="GT89" s="667"/>
      <c r="GU89" s="708">
        <f t="shared" si="176"/>
        <v>2000000000</v>
      </c>
      <c r="GV89" s="708">
        <f t="shared" si="176"/>
        <v>4362960105</v>
      </c>
      <c r="GW89" s="708">
        <f t="shared" si="176"/>
        <v>1466543043.1599998</v>
      </c>
      <c r="GX89" s="708">
        <f t="shared" si="176"/>
        <v>489846038.98000002</v>
      </c>
      <c r="GY89" s="709">
        <f t="shared" si="176"/>
        <v>571093477.5</v>
      </c>
      <c r="GZ89" s="710">
        <f t="shared" si="177"/>
        <v>8800000000</v>
      </c>
    </row>
    <row r="90" spans="1:208" s="711" customFormat="1" ht="303" customHeight="1" x14ac:dyDescent="0.2">
      <c r="A90" s="703"/>
      <c r="B90" s="703"/>
      <c r="C90" s="621">
        <v>10</v>
      </c>
      <c r="D90" s="676" t="s">
        <v>237</v>
      </c>
      <c r="E90" s="621" t="s">
        <v>238</v>
      </c>
      <c r="F90" s="714" t="s">
        <v>239</v>
      </c>
      <c r="G90" s="684">
        <v>60</v>
      </c>
      <c r="H90" s="676" t="s">
        <v>240</v>
      </c>
      <c r="I90" s="676" t="s">
        <v>241</v>
      </c>
      <c r="J90" s="997" t="s">
        <v>233</v>
      </c>
      <c r="K90" s="997">
        <v>15</v>
      </c>
      <c r="L90" s="813" t="s">
        <v>73</v>
      </c>
      <c r="M90" s="682">
        <v>9</v>
      </c>
      <c r="N90" s="682">
        <v>48</v>
      </c>
      <c r="O90" s="682">
        <v>12</v>
      </c>
      <c r="P90" s="810">
        <v>18</v>
      </c>
      <c r="Q90" s="682">
        <v>12</v>
      </c>
      <c r="R90" s="814"/>
      <c r="S90" s="810">
        <f>41+2</f>
        <v>43</v>
      </c>
      <c r="T90" s="682">
        <v>12</v>
      </c>
      <c r="U90" s="682"/>
      <c r="V90" s="810">
        <f>4+3</f>
        <v>7</v>
      </c>
      <c r="W90" s="682">
        <v>12</v>
      </c>
      <c r="X90" s="813"/>
      <c r="Y90" s="630">
        <f>8+4</f>
        <v>12</v>
      </c>
      <c r="Z90" s="809">
        <f t="shared" si="169"/>
        <v>0</v>
      </c>
      <c r="AA90" s="682">
        <v>11</v>
      </c>
      <c r="AB90" s="813" t="s">
        <v>229</v>
      </c>
      <c r="AC90" s="817"/>
      <c r="AD90" s="818"/>
      <c r="AE90" s="818"/>
      <c r="AF90" s="818"/>
      <c r="AG90" s="830">
        <v>0</v>
      </c>
      <c r="AH90" s="831">
        <v>171365859.79000002</v>
      </c>
      <c r="AI90" s="831">
        <v>161525412.42000002</v>
      </c>
      <c r="AJ90" s="831">
        <v>161525412.42000002</v>
      </c>
      <c r="AK90" s="831"/>
      <c r="AL90" s="831"/>
      <c r="AM90" s="831"/>
      <c r="AN90" s="831"/>
      <c r="AO90" s="830"/>
      <c r="AP90" s="831"/>
      <c r="AQ90" s="831"/>
      <c r="AR90" s="831"/>
      <c r="AS90" s="830"/>
      <c r="AT90" s="831"/>
      <c r="AU90" s="818"/>
      <c r="AV90" s="818"/>
      <c r="AW90" s="817"/>
      <c r="AX90" s="818"/>
      <c r="AY90" s="818"/>
      <c r="AZ90" s="818"/>
      <c r="BA90" s="817"/>
      <c r="BB90" s="818"/>
      <c r="BC90" s="818"/>
      <c r="BD90" s="818"/>
      <c r="BE90" s="817"/>
      <c r="BF90" s="818"/>
      <c r="BG90" s="818"/>
      <c r="BH90" s="818"/>
      <c r="BI90" s="817"/>
      <c r="BJ90" s="818"/>
      <c r="BK90" s="818"/>
      <c r="BL90" s="818"/>
      <c r="BM90" s="817">
        <f t="shared" si="170"/>
        <v>0</v>
      </c>
      <c r="BN90" s="818">
        <f t="shared" si="171"/>
        <v>171365859.79000002</v>
      </c>
      <c r="BO90" s="818">
        <f t="shared" si="171"/>
        <v>161525412.42000002</v>
      </c>
      <c r="BP90" s="818">
        <f t="shared" si="171"/>
        <v>161525412.42000002</v>
      </c>
      <c r="BQ90" s="667"/>
      <c r="BR90" s="667"/>
      <c r="BS90" s="667"/>
      <c r="BT90" s="667"/>
      <c r="BU90" s="667"/>
      <c r="BV90" s="667">
        <v>493767887</v>
      </c>
      <c r="BW90" s="667">
        <v>343203923</v>
      </c>
      <c r="BX90" s="667">
        <v>326711434</v>
      </c>
      <c r="BY90" s="667"/>
      <c r="BZ90" s="667"/>
      <c r="CA90" s="667">
        <v>321000000</v>
      </c>
      <c r="CB90" s="667">
        <v>314000000</v>
      </c>
      <c r="CC90" s="667">
        <v>314000000</v>
      </c>
      <c r="CD90" s="667"/>
      <c r="CE90" s="667"/>
      <c r="CF90" s="667"/>
      <c r="CG90" s="667"/>
      <c r="CH90" s="667"/>
      <c r="CI90" s="667"/>
      <c r="CJ90" s="667"/>
      <c r="CK90" s="667"/>
      <c r="CL90" s="667"/>
      <c r="CM90" s="667"/>
      <c r="CN90" s="667"/>
      <c r="CO90" s="667"/>
      <c r="CP90" s="667"/>
      <c r="CQ90" s="667"/>
      <c r="CR90" s="667"/>
      <c r="CS90" s="667"/>
      <c r="CT90" s="667"/>
      <c r="CU90" s="667"/>
      <c r="CV90" s="706"/>
      <c r="CW90" s="667"/>
      <c r="CX90" s="667"/>
      <c r="CY90" s="667"/>
      <c r="CZ90" s="667"/>
      <c r="DA90" s="667">
        <v>4000000000</v>
      </c>
      <c r="DB90" s="667"/>
      <c r="DC90" s="667"/>
      <c r="DD90" s="667"/>
      <c r="DE90" s="708">
        <f t="shared" si="172"/>
        <v>4000000000</v>
      </c>
      <c r="DF90" s="708">
        <f t="shared" si="173"/>
        <v>814767887</v>
      </c>
      <c r="DG90" s="708">
        <f t="shared" si="174"/>
        <v>657203923</v>
      </c>
      <c r="DH90" s="708">
        <f t="shared" si="175"/>
        <v>640711434</v>
      </c>
      <c r="DI90" s="708"/>
      <c r="DJ90" s="667">
        <v>2500000000</v>
      </c>
      <c r="DK90" s="710">
        <v>685572746.5</v>
      </c>
      <c r="DL90" s="667">
        <v>340928935.5</v>
      </c>
      <c r="DM90" s="667">
        <v>108746585.5</v>
      </c>
      <c r="DN90" s="667"/>
      <c r="DO90" s="667">
        <v>437642368</v>
      </c>
      <c r="DP90" s="667">
        <v>350756252.33999997</v>
      </c>
      <c r="DQ90" s="667">
        <v>227078979.99000001</v>
      </c>
      <c r="DR90" s="667">
        <v>16492489</v>
      </c>
      <c r="DS90" s="667"/>
      <c r="DT90" s="667">
        <v>166000000</v>
      </c>
      <c r="DU90" s="667">
        <v>40292000</v>
      </c>
      <c r="DV90" s="667">
        <v>40292000</v>
      </c>
      <c r="DW90" s="667"/>
      <c r="DX90" s="667"/>
      <c r="DY90" s="667"/>
      <c r="DZ90" s="667"/>
      <c r="EA90" s="667"/>
      <c r="EB90" s="667"/>
      <c r="EC90" s="667"/>
      <c r="ED90" s="667"/>
      <c r="EE90" s="667"/>
      <c r="EF90" s="667"/>
      <c r="EG90" s="667"/>
      <c r="EH90" s="667"/>
      <c r="EI90" s="667"/>
      <c r="EJ90" s="667"/>
      <c r="EK90" s="667"/>
      <c r="EL90" s="667"/>
      <c r="EM90" s="667"/>
      <c r="EN90" s="667"/>
      <c r="EO90" s="667"/>
      <c r="EP90" s="667"/>
      <c r="EQ90" s="667"/>
      <c r="ER90" s="667"/>
      <c r="ES90" s="667"/>
      <c r="ET90" s="667"/>
      <c r="EU90" s="667"/>
      <c r="EV90" s="667"/>
      <c r="EW90" s="708">
        <f t="shared" si="178"/>
        <v>2500000000</v>
      </c>
      <c r="EX90" s="819">
        <f t="shared" si="178"/>
        <v>1289215114.5</v>
      </c>
      <c r="EY90" s="819">
        <f t="shared" si="179"/>
        <v>731977187.83999991</v>
      </c>
      <c r="EZ90" s="819">
        <f t="shared" si="179"/>
        <v>376117565.49000001</v>
      </c>
      <c r="FA90" s="820">
        <f>DR90</f>
        <v>16492489</v>
      </c>
      <c r="FB90" s="667">
        <f>4000000000-2054879885</f>
        <v>1945120115</v>
      </c>
      <c r="FC90" s="706">
        <v>5268941717</v>
      </c>
      <c r="FD90" s="706">
        <v>381435815</v>
      </c>
      <c r="FE90" s="706">
        <v>63780402</v>
      </c>
      <c r="FF90" s="707"/>
      <c r="FG90" s="667"/>
      <c r="FH90" s="667">
        <v>595320553</v>
      </c>
      <c r="FI90" s="667">
        <v>409400517.42000002</v>
      </c>
      <c r="FJ90" s="667">
        <v>263155470.13</v>
      </c>
      <c r="FK90" s="667"/>
      <c r="FL90" s="667"/>
      <c r="FM90" s="667">
        <v>224581000</v>
      </c>
      <c r="FN90" s="667"/>
      <c r="FO90" s="667"/>
      <c r="FP90" s="667"/>
      <c r="FQ90" s="667"/>
      <c r="FR90" s="667"/>
      <c r="FS90" s="667"/>
      <c r="FT90" s="667"/>
      <c r="FU90" s="667"/>
      <c r="FV90" s="667"/>
      <c r="FW90" s="667"/>
      <c r="FX90" s="667"/>
      <c r="FY90" s="667"/>
      <c r="FZ90" s="667"/>
      <c r="GA90" s="667"/>
      <c r="GB90" s="667"/>
      <c r="GC90" s="667"/>
      <c r="GD90" s="667"/>
      <c r="GE90" s="667"/>
      <c r="GF90" s="667"/>
      <c r="GG90" s="667"/>
      <c r="GH90" s="667"/>
      <c r="GI90" s="667"/>
      <c r="GJ90" s="667"/>
      <c r="GK90" s="667"/>
      <c r="GL90" s="667"/>
      <c r="GM90" s="667"/>
      <c r="GN90" s="667"/>
      <c r="GO90" s="667"/>
      <c r="GP90" s="667">
        <v>2054879885</v>
      </c>
      <c r="GQ90" s="667"/>
      <c r="GR90" s="667"/>
      <c r="GS90" s="667"/>
      <c r="GT90" s="667"/>
      <c r="GU90" s="708">
        <f t="shared" si="176"/>
        <v>4000000000</v>
      </c>
      <c r="GV90" s="708">
        <f t="shared" si="176"/>
        <v>6088843270</v>
      </c>
      <c r="GW90" s="708">
        <f t="shared" si="176"/>
        <v>790836332.42000008</v>
      </c>
      <c r="GX90" s="708">
        <f t="shared" si="176"/>
        <v>326935872.13</v>
      </c>
      <c r="GY90" s="709">
        <f t="shared" si="176"/>
        <v>0</v>
      </c>
      <c r="GZ90" s="710">
        <f t="shared" si="177"/>
        <v>10500000000</v>
      </c>
    </row>
    <row r="91" spans="1:208" s="711" customFormat="1" ht="185.25" customHeight="1" x14ac:dyDescent="0.2">
      <c r="A91" s="703"/>
      <c r="B91" s="703"/>
      <c r="C91" s="715">
        <v>22</v>
      </c>
      <c r="D91" s="826" t="s">
        <v>242</v>
      </c>
      <c r="E91" s="842" t="s">
        <v>243</v>
      </c>
      <c r="F91" s="843" t="s">
        <v>244</v>
      </c>
      <c r="G91" s="684">
        <v>61</v>
      </c>
      <c r="H91" s="676" t="s">
        <v>245</v>
      </c>
      <c r="I91" s="676" t="s">
        <v>246</v>
      </c>
      <c r="J91" s="997" t="s">
        <v>233</v>
      </c>
      <c r="K91" s="997">
        <v>15</v>
      </c>
      <c r="L91" s="813" t="s">
        <v>73</v>
      </c>
      <c r="M91" s="682">
        <v>2</v>
      </c>
      <c r="N91" s="682">
        <v>4</v>
      </c>
      <c r="O91" s="682">
        <v>1</v>
      </c>
      <c r="P91" s="810">
        <v>2</v>
      </c>
      <c r="Q91" s="682">
        <v>2</v>
      </c>
      <c r="R91" s="814"/>
      <c r="S91" s="810">
        <v>2</v>
      </c>
      <c r="T91" s="682">
        <v>1</v>
      </c>
      <c r="U91" s="682"/>
      <c r="V91" s="810">
        <v>6</v>
      </c>
      <c r="W91" s="682">
        <v>0</v>
      </c>
      <c r="X91" s="813"/>
      <c r="Y91" s="630"/>
      <c r="Z91" s="809">
        <f t="shared" si="169"/>
        <v>1.7447421853506572E-2</v>
      </c>
      <c r="AA91" s="682">
        <v>11</v>
      </c>
      <c r="AB91" s="813" t="s">
        <v>229</v>
      </c>
      <c r="AC91" s="817"/>
      <c r="AD91" s="818"/>
      <c r="AE91" s="818"/>
      <c r="AF91" s="818"/>
      <c r="AG91" s="830">
        <v>0</v>
      </c>
      <c r="AH91" s="831"/>
      <c r="AI91" s="831"/>
      <c r="AJ91" s="831"/>
      <c r="AK91" s="831">
        <v>170000000</v>
      </c>
      <c r="AL91" s="831">
        <v>310000000</v>
      </c>
      <c r="AM91" s="831">
        <v>77426192</v>
      </c>
      <c r="AN91" s="831">
        <v>55146259</v>
      </c>
      <c r="AO91" s="830"/>
      <c r="AP91" s="831">
        <v>128000000</v>
      </c>
      <c r="AQ91" s="831"/>
      <c r="AR91" s="831"/>
      <c r="AS91" s="830"/>
      <c r="AT91" s="831"/>
      <c r="AU91" s="818"/>
      <c r="AV91" s="818"/>
      <c r="AW91" s="817"/>
      <c r="AX91" s="818"/>
      <c r="AY91" s="818"/>
      <c r="AZ91" s="818"/>
      <c r="BA91" s="817"/>
      <c r="BB91" s="818"/>
      <c r="BC91" s="818"/>
      <c r="BD91" s="818"/>
      <c r="BE91" s="817"/>
      <c r="BF91" s="818"/>
      <c r="BG91" s="818"/>
      <c r="BH91" s="818"/>
      <c r="BI91" s="817"/>
      <c r="BJ91" s="818"/>
      <c r="BK91" s="818"/>
      <c r="BL91" s="818"/>
      <c r="BM91" s="817">
        <f t="shared" si="170"/>
        <v>170000000</v>
      </c>
      <c r="BN91" s="818">
        <f t="shared" si="171"/>
        <v>438000000</v>
      </c>
      <c r="BO91" s="818">
        <f t="shared" si="171"/>
        <v>77426192</v>
      </c>
      <c r="BP91" s="818">
        <f t="shared" si="171"/>
        <v>55146259</v>
      </c>
      <c r="BQ91" s="667"/>
      <c r="BR91" s="667"/>
      <c r="BS91" s="667"/>
      <c r="BT91" s="667"/>
      <c r="BU91" s="667"/>
      <c r="BV91" s="667">
        <v>304911566</v>
      </c>
      <c r="BW91" s="667">
        <v>300731230</v>
      </c>
      <c r="BX91" s="667">
        <v>300731230</v>
      </c>
      <c r="BY91" s="667"/>
      <c r="BZ91" s="667"/>
      <c r="CA91" s="667">
        <v>213450000</v>
      </c>
      <c r="CB91" s="667">
        <v>89147631</v>
      </c>
      <c r="CC91" s="667">
        <v>89147631</v>
      </c>
      <c r="CD91" s="667"/>
      <c r="CE91" s="667"/>
      <c r="CF91" s="667"/>
      <c r="CG91" s="667"/>
      <c r="CH91" s="667"/>
      <c r="CI91" s="667"/>
      <c r="CJ91" s="667"/>
      <c r="CK91" s="667"/>
      <c r="CL91" s="667"/>
      <c r="CM91" s="667"/>
      <c r="CN91" s="667"/>
      <c r="CO91" s="667"/>
      <c r="CP91" s="667"/>
      <c r="CQ91" s="667"/>
      <c r="CR91" s="667"/>
      <c r="CS91" s="667"/>
      <c r="CT91" s="667"/>
      <c r="CU91" s="667"/>
      <c r="CV91" s="706"/>
      <c r="CW91" s="667"/>
      <c r="CX91" s="667"/>
      <c r="CY91" s="667"/>
      <c r="CZ91" s="667"/>
      <c r="DA91" s="667">
        <v>2000000000</v>
      </c>
      <c r="DB91" s="667"/>
      <c r="DC91" s="667"/>
      <c r="DD91" s="667"/>
      <c r="DE91" s="708">
        <f t="shared" si="172"/>
        <v>2000000000</v>
      </c>
      <c r="DF91" s="708">
        <f t="shared" si="173"/>
        <v>518361566</v>
      </c>
      <c r="DG91" s="708">
        <f t="shared" si="174"/>
        <v>389878861</v>
      </c>
      <c r="DH91" s="708">
        <f t="shared" si="175"/>
        <v>389878861</v>
      </c>
      <c r="DI91" s="708"/>
      <c r="DJ91" s="667">
        <v>1000000000</v>
      </c>
      <c r="DK91" s="667">
        <v>1378594584</v>
      </c>
      <c r="DL91" s="667">
        <v>1364434634</v>
      </c>
      <c r="DM91" s="667">
        <v>582463364.90999997</v>
      </c>
      <c r="DN91" s="667"/>
      <c r="DO91" s="667">
        <v>120000000</v>
      </c>
      <c r="DP91" s="667">
        <v>119415183</v>
      </c>
      <c r="DQ91" s="667">
        <v>119415183</v>
      </c>
      <c r="DR91" s="667"/>
      <c r="DS91" s="667"/>
      <c r="DT91" s="667">
        <v>60000000</v>
      </c>
      <c r="DU91" s="667">
        <v>59568930</v>
      </c>
      <c r="DV91" s="667">
        <v>59568930</v>
      </c>
      <c r="DW91" s="667"/>
      <c r="DX91" s="667"/>
      <c r="DY91" s="667"/>
      <c r="DZ91" s="667"/>
      <c r="EA91" s="667"/>
      <c r="EB91" s="667"/>
      <c r="EC91" s="667"/>
      <c r="ED91" s="667"/>
      <c r="EE91" s="667"/>
      <c r="EF91" s="667"/>
      <c r="EG91" s="667"/>
      <c r="EH91" s="667"/>
      <c r="EI91" s="667"/>
      <c r="EJ91" s="667"/>
      <c r="EK91" s="667"/>
      <c r="EL91" s="667"/>
      <c r="EM91" s="667"/>
      <c r="EN91" s="667"/>
      <c r="EO91" s="667"/>
      <c r="EP91" s="667"/>
      <c r="EQ91" s="667"/>
      <c r="ER91" s="667"/>
      <c r="ES91" s="667"/>
      <c r="ET91" s="667"/>
      <c r="EU91" s="667"/>
      <c r="EV91" s="667"/>
      <c r="EW91" s="708">
        <f t="shared" si="178"/>
        <v>1000000000</v>
      </c>
      <c r="EX91" s="819">
        <f t="shared" si="178"/>
        <v>1558594584</v>
      </c>
      <c r="EY91" s="819">
        <f t="shared" si="179"/>
        <v>1543418747</v>
      </c>
      <c r="EZ91" s="819">
        <f t="shared" si="179"/>
        <v>761447477.90999997</v>
      </c>
      <c r="FA91" s="820"/>
      <c r="FB91" s="667"/>
      <c r="FC91" s="706"/>
      <c r="FD91" s="706"/>
      <c r="FE91" s="706"/>
      <c r="FF91" s="707">
        <v>263589281.34</v>
      </c>
      <c r="FG91" s="667"/>
      <c r="FH91" s="667"/>
      <c r="FI91" s="667"/>
      <c r="FJ91" s="667"/>
      <c r="FK91" s="667"/>
      <c r="FL91" s="667"/>
      <c r="FM91" s="667"/>
      <c r="FN91" s="667"/>
      <c r="FO91" s="667"/>
      <c r="FP91" s="667"/>
      <c r="FQ91" s="667"/>
      <c r="FR91" s="667"/>
      <c r="FS91" s="667"/>
      <c r="FT91" s="667"/>
      <c r="FU91" s="667"/>
      <c r="FV91" s="667"/>
      <c r="FW91" s="667"/>
      <c r="FX91" s="667"/>
      <c r="FY91" s="667"/>
      <c r="FZ91" s="667"/>
      <c r="GA91" s="667"/>
      <c r="GB91" s="667"/>
      <c r="GC91" s="667"/>
      <c r="GD91" s="667"/>
      <c r="GE91" s="667"/>
      <c r="GF91" s="667"/>
      <c r="GG91" s="667"/>
      <c r="GH91" s="667"/>
      <c r="GI91" s="667"/>
      <c r="GJ91" s="667"/>
      <c r="GK91" s="667"/>
      <c r="GL91" s="667"/>
      <c r="GM91" s="667"/>
      <c r="GN91" s="667"/>
      <c r="GO91" s="667"/>
      <c r="GP91" s="667"/>
      <c r="GQ91" s="667"/>
      <c r="GR91" s="667"/>
      <c r="GS91" s="667"/>
      <c r="GT91" s="667"/>
      <c r="GU91" s="708">
        <f t="shared" si="176"/>
        <v>0</v>
      </c>
      <c r="GV91" s="708">
        <f t="shared" si="176"/>
        <v>0</v>
      </c>
      <c r="GW91" s="708">
        <f t="shared" si="176"/>
        <v>0</v>
      </c>
      <c r="GX91" s="708">
        <f t="shared" si="176"/>
        <v>0</v>
      </c>
      <c r="GY91" s="709">
        <f t="shared" si="176"/>
        <v>263589281.34</v>
      </c>
      <c r="GZ91" s="710">
        <f t="shared" si="177"/>
        <v>3170000000</v>
      </c>
    </row>
    <row r="92" spans="1:208" s="711" customFormat="1" ht="119.25" customHeight="1" x14ac:dyDescent="0.2">
      <c r="A92" s="703"/>
      <c r="B92" s="703"/>
      <c r="C92" s="621">
        <v>22</v>
      </c>
      <c r="D92" s="676" t="s">
        <v>242</v>
      </c>
      <c r="E92" s="682" t="s">
        <v>243</v>
      </c>
      <c r="F92" s="682" t="s">
        <v>247</v>
      </c>
      <c r="G92" s="684">
        <v>62</v>
      </c>
      <c r="H92" s="676" t="s">
        <v>248</v>
      </c>
      <c r="I92" s="676" t="s">
        <v>249</v>
      </c>
      <c r="J92" s="997" t="s">
        <v>233</v>
      </c>
      <c r="K92" s="997">
        <v>15</v>
      </c>
      <c r="L92" s="813" t="s">
        <v>58</v>
      </c>
      <c r="M92" s="682">
        <v>1</v>
      </c>
      <c r="N92" s="682">
        <v>2</v>
      </c>
      <c r="O92" s="682">
        <v>2</v>
      </c>
      <c r="P92" s="810">
        <v>2</v>
      </c>
      <c r="Q92" s="682">
        <v>2</v>
      </c>
      <c r="R92" s="814"/>
      <c r="S92" s="810">
        <v>2</v>
      </c>
      <c r="T92" s="682">
        <v>2</v>
      </c>
      <c r="U92" s="682"/>
      <c r="V92" s="810">
        <v>2</v>
      </c>
      <c r="W92" s="682">
        <v>2</v>
      </c>
      <c r="X92" s="813"/>
      <c r="Y92" s="630">
        <v>3</v>
      </c>
      <c r="Z92" s="809">
        <f t="shared" si="169"/>
        <v>3.0789567976776304E-3</v>
      </c>
      <c r="AA92" s="682">
        <v>11</v>
      </c>
      <c r="AB92" s="813" t="s">
        <v>229</v>
      </c>
      <c r="AC92" s="817"/>
      <c r="AD92" s="818"/>
      <c r="AE92" s="818"/>
      <c r="AF92" s="818"/>
      <c r="AG92" s="830">
        <v>0</v>
      </c>
      <c r="AH92" s="831"/>
      <c r="AI92" s="831"/>
      <c r="AJ92" s="831"/>
      <c r="AK92" s="831">
        <v>30000000</v>
      </c>
      <c r="AL92" s="831">
        <v>30000000</v>
      </c>
      <c r="AM92" s="831"/>
      <c r="AN92" s="831"/>
      <c r="AO92" s="830"/>
      <c r="AP92" s="831"/>
      <c r="AQ92" s="831"/>
      <c r="AR92" s="831"/>
      <c r="AS92" s="830"/>
      <c r="AT92" s="831"/>
      <c r="AU92" s="818"/>
      <c r="AV92" s="818"/>
      <c r="AW92" s="817"/>
      <c r="AX92" s="818"/>
      <c r="AY92" s="818"/>
      <c r="AZ92" s="818"/>
      <c r="BA92" s="817"/>
      <c r="BB92" s="818"/>
      <c r="BC92" s="818"/>
      <c r="BD92" s="818"/>
      <c r="BE92" s="817"/>
      <c r="BF92" s="818"/>
      <c r="BG92" s="818"/>
      <c r="BH92" s="818"/>
      <c r="BI92" s="817"/>
      <c r="BJ92" s="818"/>
      <c r="BK92" s="818"/>
      <c r="BL92" s="818"/>
      <c r="BM92" s="817">
        <f t="shared" si="170"/>
        <v>30000000</v>
      </c>
      <c r="BN92" s="818">
        <f t="shared" si="171"/>
        <v>30000000</v>
      </c>
      <c r="BO92" s="818">
        <f t="shared" si="171"/>
        <v>0</v>
      </c>
      <c r="BP92" s="818">
        <f t="shared" si="171"/>
        <v>0</v>
      </c>
      <c r="BQ92" s="667">
        <v>3000000000</v>
      </c>
      <c r="BR92" s="667"/>
      <c r="BS92" s="667"/>
      <c r="BT92" s="667"/>
      <c r="BU92" s="667"/>
      <c r="BV92" s="667">
        <v>100000000</v>
      </c>
      <c r="BW92" s="667">
        <v>100000000</v>
      </c>
      <c r="BX92" s="667">
        <v>100000000</v>
      </c>
      <c r="BY92" s="667"/>
      <c r="BZ92" s="667">
        <v>70000000</v>
      </c>
      <c r="CA92" s="667">
        <v>105550000</v>
      </c>
      <c r="CB92" s="667">
        <v>66180927.799999997</v>
      </c>
      <c r="CC92" s="667">
        <v>66180927.799999997</v>
      </c>
      <c r="CD92" s="667"/>
      <c r="CE92" s="667"/>
      <c r="CF92" s="667"/>
      <c r="CG92" s="667"/>
      <c r="CH92" s="667"/>
      <c r="CI92" s="667"/>
      <c r="CJ92" s="667"/>
      <c r="CK92" s="667"/>
      <c r="CL92" s="667"/>
      <c r="CM92" s="667"/>
      <c r="CN92" s="667"/>
      <c r="CO92" s="667"/>
      <c r="CP92" s="667"/>
      <c r="CQ92" s="667"/>
      <c r="CR92" s="667"/>
      <c r="CS92" s="667"/>
      <c r="CT92" s="667"/>
      <c r="CU92" s="667"/>
      <c r="CV92" s="706"/>
      <c r="CW92" s="667"/>
      <c r="CX92" s="667"/>
      <c r="CY92" s="667"/>
      <c r="CZ92" s="667"/>
      <c r="DA92" s="667"/>
      <c r="DB92" s="667"/>
      <c r="DC92" s="667"/>
      <c r="DD92" s="667"/>
      <c r="DE92" s="708">
        <f t="shared" si="172"/>
        <v>3070000000</v>
      </c>
      <c r="DF92" s="708">
        <f t="shared" si="173"/>
        <v>205550000</v>
      </c>
      <c r="DG92" s="708">
        <f t="shared" si="174"/>
        <v>166180927.80000001</v>
      </c>
      <c r="DH92" s="708">
        <f t="shared" si="175"/>
        <v>166180927.80000001</v>
      </c>
      <c r="DI92" s="708"/>
      <c r="DJ92" s="667">
        <v>2500000000</v>
      </c>
      <c r="DK92" s="667">
        <v>1500000000</v>
      </c>
      <c r="DL92" s="667">
        <v>1411079186</v>
      </c>
      <c r="DM92" s="667">
        <v>364167751</v>
      </c>
      <c r="DN92" s="667"/>
      <c r="DO92" s="667"/>
      <c r="DP92" s="667"/>
      <c r="DQ92" s="667"/>
      <c r="DR92" s="667"/>
      <c r="DS92" s="667">
        <v>40000000</v>
      </c>
      <c r="DT92" s="667"/>
      <c r="DU92" s="667"/>
      <c r="DV92" s="667"/>
      <c r="DW92" s="667"/>
      <c r="DX92" s="667"/>
      <c r="DY92" s="667"/>
      <c r="DZ92" s="667"/>
      <c r="EA92" s="667"/>
      <c r="EB92" s="667"/>
      <c r="EC92" s="667"/>
      <c r="ED92" s="667"/>
      <c r="EE92" s="667"/>
      <c r="EF92" s="667"/>
      <c r="EG92" s="667"/>
      <c r="EH92" s="667"/>
      <c r="EI92" s="667"/>
      <c r="EJ92" s="667"/>
      <c r="EK92" s="667"/>
      <c r="EL92" s="667"/>
      <c r="EM92" s="667"/>
      <c r="EN92" s="667"/>
      <c r="EO92" s="667"/>
      <c r="EP92" s="667"/>
      <c r="EQ92" s="667"/>
      <c r="ER92" s="667"/>
      <c r="ES92" s="667"/>
      <c r="ET92" s="667"/>
      <c r="EU92" s="667"/>
      <c r="EV92" s="667"/>
      <c r="EW92" s="708">
        <f t="shared" si="178"/>
        <v>2540000000</v>
      </c>
      <c r="EX92" s="819">
        <f t="shared" si="178"/>
        <v>1500000000</v>
      </c>
      <c r="EY92" s="819">
        <f t="shared" si="179"/>
        <v>1411079186</v>
      </c>
      <c r="EZ92" s="819">
        <f t="shared" si="179"/>
        <v>364167751</v>
      </c>
      <c r="FA92" s="820"/>
      <c r="FB92" s="667">
        <v>2000000000</v>
      </c>
      <c r="FC92" s="706">
        <v>1000000000</v>
      </c>
      <c r="FD92" s="706">
        <v>227201181</v>
      </c>
      <c r="FE92" s="706"/>
      <c r="FF92" s="707">
        <v>714279294.87</v>
      </c>
      <c r="FG92" s="667"/>
      <c r="FH92" s="667"/>
      <c r="FI92" s="667"/>
      <c r="FJ92" s="667"/>
      <c r="FK92" s="667"/>
      <c r="FL92" s="667">
        <v>20000000</v>
      </c>
      <c r="FM92" s="667"/>
      <c r="FN92" s="667"/>
      <c r="FO92" s="667"/>
      <c r="FP92" s="667"/>
      <c r="FQ92" s="667"/>
      <c r="FR92" s="667"/>
      <c r="FS92" s="667"/>
      <c r="FT92" s="667"/>
      <c r="FU92" s="667"/>
      <c r="FV92" s="667"/>
      <c r="FW92" s="667"/>
      <c r="FX92" s="667"/>
      <c r="FY92" s="667"/>
      <c r="FZ92" s="667"/>
      <c r="GA92" s="667"/>
      <c r="GB92" s="667"/>
      <c r="GC92" s="667"/>
      <c r="GD92" s="667"/>
      <c r="GE92" s="667"/>
      <c r="GF92" s="667"/>
      <c r="GG92" s="667"/>
      <c r="GH92" s="667"/>
      <c r="GI92" s="667"/>
      <c r="GJ92" s="667"/>
      <c r="GK92" s="667"/>
      <c r="GL92" s="667"/>
      <c r="GM92" s="667"/>
      <c r="GN92" s="667"/>
      <c r="GO92" s="667"/>
      <c r="GP92" s="667"/>
      <c r="GQ92" s="667"/>
      <c r="GR92" s="667"/>
      <c r="GS92" s="667"/>
      <c r="GT92" s="667"/>
      <c r="GU92" s="708">
        <f t="shared" si="176"/>
        <v>2020000000</v>
      </c>
      <c r="GV92" s="708">
        <f t="shared" si="176"/>
        <v>1000000000</v>
      </c>
      <c r="GW92" s="708">
        <f t="shared" si="176"/>
        <v>227201181</v>
      </c>
      <c r="GX92" s="708">
        <f t="shared" si="176"/>
        <v>0</v>
      </c>
      <c r="GY92" s="709">
        <f t="shared" si="176"/>
        <v>714279294.87</v>
      </c>
      <c r="GZ92" s="710">
        <f t="shared" si="177"/>
        <v>7660000000</v>
      </c>
    </row>
    <row r="93" spans="1:208" s="711" customFormat="1" ht="119.25" customHeight="1" x14ac:dyDescent="0.2">
      <c r="A93" s="703"/>
      <c r="B93" s="703"/>
      <c r="C93" s="621">
        <v>32</v>
      </c>
      <c r="D93" s="676" t="s">
        <v>250</v>
      </c>
      <c r="E93" s="621" t="s">
        <v>251</v>
      </c>
      <c r="F93" s="621" t="s">
        <v>252</v>
      </c>
      <c r="G93" s="684">
        <v>63</v>
      </c>
      <c r="H93" s="676" t="s">
        <v>253</v>
      </c>
      <c r="I93" s="676" t="s">
        <v>254</v>
      </c>
      <c r="J93" s="813" t="s">
        <v>255</v>
      </c>
      <c r="K93" s="813">
        <v>7</v>
      </c>
      <c r="L93" s="813" t="s">
        <v>73</v>
      </c>
      <c r="M93" s="682" t="s">
        <v>53</v>
      </c>
      <c r="N93" s="682">
        <v>1000</v>
      </c>
      <c r="O93" s="682">
        <v>250</v>
      </c>
      <c r="P93" s="810">
        <v>350</v>
      </c>
      <c r="Q93" s="682">
        <v>250</v>
      </c>
      <c r="R93" s="814"/>
      <c r="S93" s="810">
        <v>363</v>
      </c>
      <c r="T93" s="682">
        <v>250</v>
      </c>
      <c r="U93" s="682"/>
      <c r="V93" s="810">
        <v>74</v>
      </c>
      <c r="W93" s="682">
        <v>250</v>
      </c>
      <c r="X93" s="813"/>
      <c r="Y93" s="630">
        <v>198</v>
      </c>
      <c r="Z93" s="809">
        <f t="shared" si="169"/>
        <v>0.43033963369780703</v>
      </c>
      <c r="AA93" s="682">
        <v>1</v>
      </c>
      <c r="AB93" s="813" t="s">
        <v>192</v>
      </c>
      <c r="AC93" s="817"/>
      <c r="AD93" s="818"/>
      <c r="AE93" s="818"/>
      <c r="AF93" s="818"/>
      <c r="AG93" s="830">
        <f>1230000000+563040000</f>
        <v>1793040000</v>
      </c>
      <c r="AH93" s="831">
        <v>365634140.21000004</v>
      </c>
      <c r="AI93" s="831">
        <v>217208907.16</v>
      </c>
      <c r="AJ93" s="831">
        <v>217208907.16</v>
      </c>
      <c r="AK93" s="831"/>
      <c r="AL93" s="831"/>
      <c r="AM93" s="831"/>
      <c r="AN93" s="831"/>
      <c r="AO93" s="830"/>
      <c r="AP93" s="831"/>
      <c r="AQ93" s="831"/>
      <c r="AR93" s="831"/>
      <c r="AS93" s="830"/>
      <c r="AT93" s="831"/>
      <c r="AU93" s="818"/>
      <c r="AV93" s="818"/>
      <c r="AW93" s="817"/>
      <c r="AX93" s="818"/>
      <c r="AY93" s="818"/>
      <c r="AZ93" s="818"/>
      <c r="BA93" s="817"/>
      <c r="BB93" s="818"/>
      <c r="BC93" s="818"/>
      <c r="BD93" s="818"/>
      <c r="BE93" s="817"/>
      <c r="BF93" s="818"/>
      <c r="BG93" s="818"/>
      <c r="BH93" s="818"/>
      <c r="BI93" s="817">
        <v>2400000000</v>
      </c>
      <c r="BJ93" s="818"/>
      <c r="BK93" s="818"/>
      <c r="BL93" s="818"/>
      <c r="BM93" s="817">
        <f t="shared" si="170"/>
        <v>4193040000</v>
      </c>
      <c r="BN93" s="818">
        <f t="shared" si="171"/>
        <v>365634140.21000004</v>
      </c>
      <c r="BO93" s="818">
        <f t="shared" si="171"/>
        <v>217208907.16</v>
      </c>
      <c r="BP93" s="818">
        <f t="shared" si="171"/>
        <v>217208907.16</v>
      </c>
      <c r="BQ93" s="667"/>
      <c r="BR93" s="667"/>
      <c r="BS93" s="667"/>
      <c r="BT93" s="667"/>
      <c r="BU93" s="667">
        <f>1266900000+579931200</f>
        <v>1846831200</v>
      </c>
      <c r="BV93" s="667">
        <v>698908834</v>
      </c>
      <c r="BW93" s="667">
        <v>695020253.50999999</v>
      </c>
      <c r="BX93" s="667">
        <v>695020253.50999999</v>
      </c>
      <c r="BY93" s="667"/>
      <c r="BZ93" s="667"/>
      <c r="CA93" s="667"/>
      <c r="CB93" s="667"/>
      <c r="CC93" s="667"/>
      <c r="CD93" s="667"/>
      <c r="CE93" s="667"/>
      <c r="CF93" s="667"/>
      <c r="CG93" s="667"/>
      <c r="CH93" s="667"/>
      <c r="CI93" s="667"/>
      <c r="CJ93" s="667"/>
      <c r="CK93" s="667"/>
      <c r="CL93" s="667"/>
      <c r="CM93" s="667"/>
      <c r="CN93" s="667"/>
      <c r="CO93" s="667"/>
      <c r="CP93" s="667"/>
      <c r="CQ93" s="667"/>
      <c r="CR93" s="667"/>
      <c r="CS93" s="667"/>
      <c r="CT93" s="667"/>
      <c r="CU93" s="667"/>
      <c r="CV93" s="706"/>
      <c r="CW93" s="667"/>
      <c r="CX93" s="667"/>
      <c r="CY93" s="667"/>
      <c r="CZ93" s="667"/>
      <c r="DA93" s="667">
        <v>2000000000</v>
      </c>
      <c r="DB93" s="667"/>
      <c r="DC93" s="667"/>
      <c r="DD93" s="667"/>
      <c r="DE93" s="708">
        <f t="shared" si="172"/>
        <v>3846831200</v>
      </c>
      <c r="DF93" s="708">
        <f t="shared" si="173"/>
        <v>698908834</v>
      </c>
      <c r="DG93" s="708">
        <f t="shared" si="174"/>
        <v>695020253.50999999</v>
      </c>
      <c r="DH93" s="708">
        <f t="shared" si="175"/>
        <v>695020253.50999999</v>
      </c>
      <c r="DI93" s="708"/>
      <c r="DJ93" s="667">
        <v>1000000000</v>
      </c>
      <c r="DK93" s="667">
        <v>0</v>
      </c>
      <c r="DL93" s="667"/>
      <c r="DM93" s="667"/>
      <c r="DN93" s="706">
        <v>1902236136</v>
      </c>
      <c r="DO93" s="667">
        <v>292250000</v>
      </c>
      <c r="DP93" s="667">
        <v>270077333.67000002</v>
      </c>
      <c r="DQ93" s="667">
        <v>261519333.32999998</v>
      </c>
      <c r="DR93" s="667"/>
      <c r="DS93" s="667"/>
      <c r="DT93" s="667"/>
      <c r="DU93" s="667"/>
      <c r="DV93" s="667"/>
      <c r="DW93" s="667"/>
      <c r="DX93" s="667"/>
      <c r="DY93" s="667"/>
      <c r="DZ93" s="667"/>
      <c r="EA93" s="667"/>
      <c r="EB93" s="667"/>
      <c r="EC93" s="667"/>
      <c r="ED93" s="667"/>
      <c r="EE93" s="667"/>
      <c r="EF93" s="667"/>
      <c r="EG93" s="667"/>
      <c r="EH93" s="667"/>
      <c r="EI93" s="667"/>
      <c r="EJ93" s="667"/>
      <c r="EK93" s="667"/>
      <c r="EL93" s="667"/>
      <c r="EM93" s="667"/>
      <c r="EN93" s="667"/>
      <c r="EO93" s="667"/>
      <c r="EP93" s="667"/>
      <c r="EQ93" s="667"/>
      <c r="ER93" s="667"/>
      <c r="ES93" s="667"/>
      <c r="ET93" s="667"/>
      <c r="EU93" s="667"/>
      <c r="EV93" s="667"/>
      <c r="EW93" s="708">
        <f t="shared" si="178"/>
        <v>2902236136</v>
      </c>
      <c r="EX93" s="819">
        <f t="shared" si="178"/>
        <v>292250000</v>
      </c>
      <c r="EY93" s="819">
        <f t="shared" si="179"/>
        <v>270077333.67000002</v>
      </c>
      <c r="EZ93" s="819">
        <f t="shared" si="179"/>
        <v>261519333.32999998</v>
      </c>
      <c r="FA93" s="820"/>
      <c r="FB93" s="667">
        <f>5014183105-2959303220</f>
        <v>2054879885</v>
      </c>
      <c r="FC93" s="706">
        <v>2000000000</v>
      </c>
      <c r="FD93" s="706"/>
      <c r="FE93" s="706"/>
      <c r="FF93" s="707"/>
      <c r="FG93" s="667">
        <f>1344054210+615249010</f>
        <v>1959303220</v>
      </c>
      <c r="FH93" s="667">
        <v>582181075</v>
      </c>
      <c r="FI93" s="667">
        <v>247961684.34</v>
      </c>
      <c r="FJ93" s="667">
        <v>246820664.24000001</v>
      </c>
      <c r="FK93" s="667"/>
      <c r="FL93" s="667"/>
      <c r="FM93" s="667"/>
      <c r="FN93" s="667"/>
      <c r="FO93" s="667"/>
      <c r="FP93" s="667"/>
      <c r="FQ93" s="667"/>
      <c r="FR93" s="667"/>
      <c r="FS93" s="667"/>
      <c r="FT93" s="667"/>
      <c r="FU93" s="667"/>
      <c r="FV93" s="667"/>
      <c r="FW93" s="667"/>
      <c r="FX93" s="667"/>
      <c r="FY93" s="667"/>
      <c r="FZ93" s="667"/>
      <c r="GA93" s="667"/>
      <c r="GB93" s="667"/>
      <c r="GC93" s="667"/>
      <c r="GD93" s="667"/>
      <c r="GE93" s="667"/>
      <c r="GF93" s="667"/>
      <c r="GG93" s="667"/>
      <c r="GH93" s="667"/>
      <c r="GI93" s="667"/>
      <c r="GJ93" s="667"/>
      <c r="GK93" s="667"/>
      <c r="GL93" s="667"/>
      <c r="GM93" s="667"/>
      <c r="GN93" s="667"/>
      <c r="GO93" s="667"/>
      <c r="GP93" s="667">
        <v>1000000000</v>
      </c>
      <c r="GQ93" s="667"/>
      <c r="GR93" s="667"/>
      <c r="GS93" s="667"/>
      <c r="GT93" s="667"/>
      <c r="GU93" s="708">
        <f t="shared" si="176"/>
        <v>5014183105</v>
      </c>
      <c r="GV93" s="708">
        <f t="shared" si="176"/>
        <v>2582181075</v>
      </c>
      <c r="GW93" s="708">
        <f t="shared" si="176"/>
        <v>247961684.34</v>
      </c>
      <c r="GX93" s="708">
        <f t="shared" si="176"/>
        <v>246820664.24000001</v>
      </c>
      <c r="GY93" s="709">
        <f t="shared" si="176"/>
        <v>0</v>
      </c>
      <c r="GZ93" s="710">
        <f t="shared" si="177"/>
        <v>15956290441</v>
      </c>
    </row>
    <row r="94" spans="1:208" s="711" customFormat="1" ht="86.25" customHeight="1" x14ac:dyDescent="0.2">
      <c r="A94" s="844"/>
      <c r="B94" s="844"/>
      <c r="C94" s="715">
        <v>6</v>
      </c>
      <c r="D94" s="845" t="s">
        <v>230</v>
      </c>
      <c r="E94" s="1007" t="s">
        <v>127</v>
      </c>
      <c r="F94" s="827" t="s">
        <v>127</v>
      </c>
      <c r="G94" s="684">
        <v>64</v>
      </c>
      <c r="H94" s="676" t="s">
        <v>256</v>
      </c>
      <c r="I94" s="676" t="s">
        <v>257</v>
      </c>
      <c r="J94" s="997" t="s">
        <v>233</v>
      </c>
      <c r="K94" s="997">
        <v>15</v>
      </c>
      <c r="L94" s="813" t="s">
        <v>73</v>
      </c>
      <c r="M94" s="682">
        <v>0</v>
      </c>
      <c r="N94" s="682">
        <v>3</v>
      </c>
      <c r="O94" s="682">
        <v>0</v>
      </c>
      <c r="P94" s="810"/>
      <c r="Q94" s="682">
        <v>1</v>
      </c>
      <c r="R94" s="814"/>
      <c r="S94" s="810">
        <v>0</v>
      </c>
      <c r="T94" s="682">
        <v>1</v>
      </c>
      <c r="U94" s="682">
        <v>2</v>
      </c>
      <c r="V94" s="810">
        <v>0</v>
      </c>
      <c r="W94" s="682">
        <v>1</v>
      </c>
      <c r="X94" s="813"/>
      <c r="Y94" s="630">
        <v>0</v>
      </c>
      <c r="Z94" s="809">
        <f t="shared" si="169"/>
        <v>0</v>
      </c>
      <c r="AA94" s="682">
        <v>11</v>
      </c>
      <c r="AB94" s="813" t="s">
        <v>229</v>
      </c>
      <c r="AC94" s="817"/>
      <c r="AD94" s="818"/>
      <c r="AE94" s="818"/>
      <c r="AF94" s="818"/>
      <c r="AG94" s="817"/>
      <c r="AH94" s="818"/>
      <c r="AI94" s="818"/>
      <c r="AJ94" s="818"/>
      <c r="AK94" s="831"/>
      <c r="AL94" s="831"/>
      <c r="AM94" s="831"/>
      <c r="AN94" s="831"/>
      <c r="AO94" s="830"/>
      <c r="AP94" s="831"/>
      <c r="AQ94" s="831"/>
      <c r="AR94" s="831"/>
      <c r="AS94" s="830"/>
      <c r="AT94" s="831"/>
      <c r="AU94" s="818"/>
      <c r="AV94" s="818"/>
      <c r="AW94" s="817"/>
      <c r="AX94" s="818"/>
      <c r="AY94" s="818"/>
      <c r="AZ94" s="818"/>
      <c r="BA94" s="817"/>
      <c r="BB94" s="818"/>
      <c r="BC94" s="818"/>
      <c r="BD94" s="818"/>
      <c r="BE94" s="817"/>
      <c r="BF94" s="818"/>
      <c r="BG94" s="818"/>
      <c r="BH94" s="818"/>
      <c r="BI94" s="817"/>
      <c r="BJ94" s="818"/>
      <c r="BK94" s="818"/>
      <c r="BL94" s="818"/>
      <c r="BM94" s="817">
        <f t="shared" si="170"/>
        <v>0</v>
      </c>
      <c r="BN94" s="818">
        <f t="shared" si="171"/>
        <v>0</v>
      </c>
      <c r="BO94" s="818">
        <f t="shared" si="171"/>
        <v>0</v>
      </c>
      <c r="BP94" s="818">
        <f t="shared" si="171"/>
        <v>0</v>
      </c>
      <c r="BQ94" s="667"/>
      <c r="BR94" s="667"/>
      <c r="BS94" s="667"/>
      <c r="BT94" s="667"/>
      <c r="BU94" s="667"/>
      <c r="BV94" s="667"/>
      <c r="BW94" s="667"/>
      <c r="BX94" s="667"/>
      <c r="BY94" s="667"/>
      <c r="BZ94" s="667">
        <v>30000000</v>
      </c>
      <c r="CA94" s="667">
        <v>30000000</v>
      </c>
      <c r="CB94" s="667"/>
      <c r="CC94" s="667"/>
      <c r="CD94" s="667"/>
      <c r="CE94" s="667"/>
      <c r="CF94" s="667"/>
      <c r="CG94" s="667"/>
      <c r="CH94" s="667"/>
      <c r="CI94" s="667"/>
      <c r="CJ94" s="667"/>
      <c r="CK94" s="667"/>
      <c r="CL94" s="667"/>
      <c r="CM94" s="667"/>
      <c r="CN94" s="667"/>
      <c r="CO94" s="667"/>
      <c r="CP94" s="667"/>
      <c r="CQ94" s="667"/>
      <c r="CR94" s="667"/>
      <c r="CS94" s="667"/>
      <c r="CT94" s="667"/>
      <c r="CU94" s="667"/>
      <c r="CV94" s="667"/>
      <c r="CW94" s="667"/>
      <c r="CX94" s="667"/>
      <c r="CY94" s="667"/>
      <c r="CZ94" s="667"/>
      <c r="DA94" s="667">
        <v>1000000000</v>
      </c>
      <c r="DB94" s="667"/>
      <c r="DC94" s="667"/>
      <c r="DD94" s="667"/>
      <c r="DE94" s="708">
        <f t="shared" si="172"/>
        <v>1030000000</v>
      </c>
      <c r="DF94" s="708">
        <f t="shared" si="173"/>
        <v>30000000</v>
      </c>
      <c r="DG94" s="708">
        <f t="shared" si="174"/>
        <v>0</v>
      </c>
      <c r="DH94" s="708">
        <f t="shared" si="175"/>
        <v>0</v>
      </c>
      <c r="DI94" s="708"/>
      <c r="DJ94" s="667">
        <v>1000000000</v>
      </c>
      <c r="DK94" s="667"/>
      <c r="DL94" s="667"/>
      <c r="DM94" s="667"/>
      <c r="DN94" s="706"/>
      <c r="DO94" s="706"/>
      <c r="DP94" s="706"/>
      <c r="DQ94" s="706"/>
      <c r="DR94" s="706"/>
      <c r="DS94" s="706"/>
      <c r="DT94" s="667">
        <v>30000000</v>
      </c>
      <c r="DU94" s="667"/>
      <c r="DV94" s="667"/>
      <c r="DW94" s="667"/>
      <c r="DX94" s="667"/>
      <c r="DY94" s="667"/>
      <c r="DZ94" s="667"/>
      <c r="EA94" s="667"/>
      <c r="EB94" s="667"/>
      <c r="EC94" s="667"/>
      <c r="ED94" s="667"/>
      <c r="EE94" s="667"/>
      <c r="EF94" s="667"/>
      <c r="EG94" s="667"/>
      <c r="EH94" s="667"/>
      <c r="EI94" s="667"/>
      <c r="EJ94" s="667"/>
      <c r="EK94" s="667"/>
      <c r="EL94" s="667"/>
      <c r="EM94" s="667"/>
      <c r="EN94" s="667"/>
      <c r="EO94" s="667"/>
      <c r="EP94" s="667"/>
      <c r="EQ94" s="667"/>
      <c r="ER94" s="667"/>
      <c r="ES94" s="667"/>
      <c r="ET94" s="667"/>
      <c r="EU94" s="667"/>
      <c r="EV94" s="667"/>
      <c r="EW94" s="708">
        <f t="shared" si="178"/>
        <v>1000000000</v>
      </c>
      <c r="EX94" s="819">
        <f t="shared" si="178"/>
        <v>30000000</v>
      </c>
      <c r="EY94" s="819">
        <f t="shared" si="179"/>
        <v>0</v>
      </c>
      <c r="EZ94" s="819">
        <f t="shared" si="179"/>
        <v>0</v>
      </c>
      <c r="FA94" s="820"/>
      <c r="FB94" s="667"/>
      <c r="FC94" s="706"/>
      <c r="FD94" s="706"/>
      <c r="FE94" s="706"/>
      <c r="FF94" s="707"/>
      <c r="FG94" s="667"/>
      <c r="FH94" s="667"/>
      <c r="FI94" s="667"/>
      <c r="FJ94" s="667"/>
      <c r="FK94" s="667"/>
      <c r="FL94" s="667"/>
      <c r="FM94" s="667">
        <v>29812345</v>
      </c>
      <c r="FN94" s="667"/>
      <c r="FO94" s="667"/>
      <c r="FP94" s="667"/>
      <c r="FQ94" s="667"/>
      <c r="FR94" s="667"/>
      <c r="FS94" s="667"/>
      <c r="FT94" s="667"/>
      <c r="FU94" s="667"/>
      <c r="FV94" s="667"/>
      <c r="FW94" s="667"/>
      <c r="FX94" s="667"/>
      <c r="FY94" s="667"/>
      <c r="FZ94" s="667"/>
      <c r="GA94" s="667"/>
      <c r="GB94" s="667"/>
      <c r="GC94" s="667"/>
      <c r="GD94" s="667"/>
      <c r="GE94" s="667"/>
      <c r="GF94" s="667"/>
      <c r="GG94" s="667"/>
      <c r="GH94" s="667"/>
      <c r="GI94" s="667"/>
      <c r="GJ94" s="667"/>
      <c r="GK94" s="667"/>
      <c r="GL94" s="667"/>
      <c r="GM94" s="667"/>
      <c r="GN94" s="667"/>
      <c r="GO94" s="667"/>
      <c r="GP94" s="667">
        <v>1000000000</v>
      </c>
      <c r="GQ94" s="667"/>
      <c r="GR94" s="667"/>
      <c r="GS94" s="667"/>
      <c r="GT94" s="667"/>
      <c r="GU94" s="708">
        <f t="shared" si="176"/>
        <v>1000000000</v>
      </c>
      <c r="GV94" s="708">
        <f t="shared" si="176"/>
        <v>29812345</v>
      </c>
      <c r="GW94" s="708">
        <f t="shared" si="176"/>
        <v>0</v>
      </c>
      <c r="GX94" s="708">
        <f t="shared" si="176"/>
        <v>0</v>
      </c>
      <c r="GY94" s="709">
        <f t="shared" si="176"/>
        <v>0</v>
      </c>
      <c r="GZ94" s="710">
        <f t="shared" si="177"/>
        <v>3030000000</v>
      </c>
    </row>
    <row r="95" spans="1:208" ht="24.75" customHeight="1" x14ac:dyDescent="0.2">
      <c r="A95" s="320">
        <v>3</v>
      </c>
      <c r="B95" s="381" t="s">
        <v>258</v>
      </c>
      <c r="C95" s="382"/>
      <c r="D95" s="382"/>
      <c r="E95" s="383"/>
      <c r="F95" s="383"/>
      <c r="G95" s="384"/>
      <c r="H95" s="384"/>
      <c r="I95" s="384"/>
      <c r="J95" s="384"/>
      <c r="K95" s="384"/>
      <c r="L95" s="384"/>
      <c r="M95" s="384"/>
      <c r="N95" s="384"/>
      <c r="O95" s="384"/>
      <c r="P95" s="384"/>
      <c r="Q95" s="384"/>
      <c r="R95" s="384"/>
      <c r="S95" s="384"/>
      <c r="T95" s="384"/>
      <c r="U95" s="384"/>
      <c r="V95" s="384"/>
      <c r="W95" s="384"/>
      <c r="X95" s="384"/>
      <c r="Y95" s="624"/>
      <c r="Z95" s="384"/>
      <c r="AA95" s="384"/>
      <c r="AB95" s="384"/>
      <c r="AC95" s="188">
        <f t="shared" ref="AC95:BL95" si="180">AC96+AC110+AC138+AC151+AC162+AC171+AC177+AC188+AC233+AC240+AC257+AC262+AC268+AC281+AC294+AC300+AC312+AC319</f>
        <v>0</v>
      </c>
      <c r="AD95" s="188">
        <f t="shared" si="180"/>
        <v>0</v>
      </c>
      <c r="AE95" s="188">
        <f t="shared" si="180"/>
        <v>0</v>
      </c>
      <c r="AF95" s="188">
        <f t="shared" si="180"/>
        <v>0</v>
      </c>
      <c r="AG95" s="188">
        <f t="shared" si="180"/>
        <v>33921269166</v>
      </c>
      <c r="AH95" s="188">
        <f t="shared" si="180"/>
        <v>37653815543</v>
      </c>
      <c r="AI95" s="188">
        <f t="shared" si="180"/>
        <v>24923443575</v>
      </c>
      <c r="AJ95" s="188">
        <f t="shared" si="180"/>
        <v>24017402458</v>
      </c>
      <c r="AK95" s="188">
        <f t="shared" si="180"/>
        <v>5674664564.6400003</v>
      </c>
      <c r="AL95" s="188">
        <f t="shared" si="180"/>
        <v>7209909756.6400003</v>
      </c>
      <c r="AM95" s="188">
        <f t="shared" si="180"/>
        <v>6200685681</v>
      </c>
      <c r="AN95" s="188">
        <f t="shared" si="180"/>
        <v>5893328025</v>
      </c>
      <c r="AO95" s="188">
        <f t="shared" si="180"/>
        <v>1159954239</v>
      </c>
      <c r="AP95" s="188">
        <f t="shared" si="180"/>
        <v>1875171512</v>
      </c>
      <c r="AQ95" s="188">
        <f t="shared" si="180"/>
        <v>1241955936</v>
      </c>
      <c r="AR95" s="188">
        <f t="shared" si="180"/>
        <v>877692925</v>
      </c>
      <c r="AS95" s="188">
        <f t="shared" si="180"/>
        <v>4987433131</v>
      </c>
      <c r="AT95" s="188">
        <f t="shared" si="180"/>
        <v>5817514937.4499998</v>
      </c>
      <c r="AU95" s="188">
        <f t="shared" si="180"/>
        <v>5268549692</v>
      </c>
      <c r="AV95" s="188">
        <f t="shared" si="180"/>
        <v>5257850617</v>
      </c>
      <c r="AW95" s="188">
        <f t="shared" si="180"/>
        <v>0</v>
      </c>
      <c r="AX95" s="188">
        <f t="shared" si="180"/>
        <v>0</v>
      </c>
      <c r="AY95" s="188">
        <f t="shared" si="180"/>
        <v>0</v>
      </c>
      <c r="AZ95" s="188">
        <f t="shared" si="180"/>
        <v>0</v>
      </c>
      <c r="BA95" s="188">
        <f t="shared" si="180"/>
        <v>112952913595</v>
      </c>
      <c r="BB95" s="188">
        <f t="shared" si="180"/>
        <v>115872342405.84</v>
      </c>
      <c r="BC95" s="188">
        <f t="shared" si="180"/>
        <v>113283855070.28</v>
      </c>
      <c r="BD95" s="188">
        <f t="shared" si="180"/>
        <v>112814161930.28</v>
      </c>
      <c r="BE95" s="188">
        <f t="shared" si="180"/>
        <v>11365979119</v>
      </c>
      <c r="BF95" s="188">
        <f t="shared" si="180"/>
        <v>14109434246</v>
      </c>
      <c r="BG95" s="188">
        <f t="shared" si="180"/>
        <v>12271439621.66</v>
      </c>
      <c r="BH95" s="188">
        <f t="shared" si="180"/>
        <v>10529805240.66</v>
      </c>
      <c r="BI95" s="188">
        <f t="shared" si="180"/>
        <v>9950000000</v>
      </c>
      <c r="BJ95" s="188">
        <f t="shared" si="180"/>
        <v>0</v>
      </c>
      <c r="BK95" s="188">
        <f t="shared" si="180"/>
        <v>0</v>
      </c>
      <c r="BL95" s="188">
        <f t="shared" si="180"/>
        <v>0</v>
      </c>
      <c r="BM95" s="188">
        <f t="shared" ref="BM95:DX95" si="181">BM96+BM110+BM138+BM151+BM162+BM171+BM177+BM188+BM233+BM240+BM257+BM262+BM268+BM281+BM294+BM300+BM312+BM319</f>
        <v>180012213814.64001</v>
      </c>
      <c r="BN95" s="188">
        <f t="shared" si="181"/>
        <v>182538188400.92999</v>
      </c>
      <c r="BO95" s="188">
        <f t="shared" si="181"/>
        <v>163189929575.94</v>
      </c>
      <c r="BP95" s="188">
        <f t="shared" si="181"/>
        <v>159390241195.94</v>
      </c>
      <c r="BQ95" s="188">
        <f t="shared" si="181"/>
        <v>0</v>
      </c>
      <c r="BR95" s="188">
        <f t="shared" si="181"/>
        <v>0</v>
      </c>
      <c r="BS95" s="188">
        <f t="shared" si="181"/>
        <v>0</v>
      </c>
      <c r="BT95" s="188">
        <f t="shared" si="181"/>
        <v>0</v>
      </c>
      <c r="BU95" s="188">
        <f t="shared" si="181"/>
        <v>28265270630.439999</v>
      </c>
      <c r="BV95" s="188">
        <f t="shared" si="181"/>
        <v>20524927188.810001</v>
      </c>
      <c r="BW95" s="188">
        <f t="shared" si="181"/>
        <v>17997477989.439999</v>
      </c>
      <c r="BX95" s="188">
        <f t="shared" si="181"/>
        <v>17754820083.25</v>
      </c>
      <c r="BY95" s="188">
        <f t="shared" si="181"/>
        <v>96122616</v>
      </c>
      <c r="BZ95" s="188">
        <f t="shared" si="181"/>
        <v>5601591884.6692009</v>
      </c>
      <c r="CA95" s="188">
        <f t="shared" si="181"/>
        <v>37355916892.550003</v>
      </c>
      <c r="CB95" s="188">
        <f t="shared" si="181"/>
        <v>33236600285.209999</v>
      </c>
      <c r="CC95" s="188">
        <f t="shared" si="181"/>
        <v>32696058403.540001</v>
      </c>
      <c r="CD95" s="188">
        <f t="shared" si="181"/>
        <v>590665022.85000002</v>
      </c>
      <c r="CE95" s="188">
        <f t="shared" si="181"/>
        <v>0</v>
      </c>
      <c r="CF95" s="188">
        <f t="shared" si="181"/>
        <v>9717738616.1300011</v>
      </c>
      <c r="CG95" s="188">
        <f t="shared" si="181"/>
        <v>7800273554</v>
      </c>
      <c r="CH95" s="188">
        <f t="shared" si="181"/>
        <v>7683230554</v>
      </c>
      <c r="CI95" s="188">
        <f t="shared" si="181"/>
        <v>233587702.31</v>
      </c>
      <c r="CJ95" s="188">
        <f t="shared" si="181"/>
        <v>0</v>
      </c>
      <c r="CK95" s="188">
        <f t="shared" si="181"/>
        <v>0</v>
      </c>
      <c r="CL95" s="188">
        <f t="shared" si="181"/>
        <v>0</v>
      </c>
      <c r="CM95" s="188">
        <f t="shared" si="181"/>
        <v>0</v>
      </c>
      <c r="CN95" s="188">
        <f t="shared" si="181"/>
        <v>0</v>
      </c>
      <c r="CO95" s="188">
        <f t="shared" si="181"/>
        <v>0</v>
      </c>
      <c r="CP95" s="188">
        <f t="shared" si="181"/>
        <v>0</v>
      </c>
      <c r="CQ95" s="188">
        <f t="shared" si="181"/>
        <v>116291155143.60001</v>
      </c>
      <c r="CR95" s="188">
        <f t="shared" si="181"/>
        <v>129482155897</v>
      </c>
      <c r="CS95" s="188">
        <f t="shared" si="181"/>
        <v>126291698200.14</v>
      </c>
      <c r="CT95" s="188">
        <f t="shared" si="181"/>
        <v>126286393950.14</v>
      </c>
      <c r="CU95" s="188">
        <f t="shared" si="181"/>
        <v>20000000</v>
      </c>
      <c r="CV95" s="188">
        <f t="shared" si="181"/>
        <v>10799941036.780186</v>
      </c>
      <c r="CW95" s="188">
        <f t="shared" si="181"/>
        <v>14770969867.99691</v>
      </c>
      <c r="CX95" s="188">
        <f t="shared" si="181"/>
        <v>13797961475.66</v>
      </c>
      <c r="CY95" s="188">
        <f t="shared" si="181"/>
        <v>12820316607.33</v>
      </c>
      <c r="CZ95" s="188">
        <f t="shared" si="181"/>
        <v>278333357</v>
      </c>
      <c r="DA95" s="188">
        <f t="shared" si="181"/>
        <v>11045276423</v>
      </c>
      <c r="DB95" s="188">
        <f t="shared" si="181"/>
        <v>0</v>
      </c>
      <c r="DC95" s="188">
        <f t="shared" si="181"/>
        <v>0</v>
      </c>
      <c r="DD95" s="188">
        <f t="shared" si="181"/>
        <v>0</v>
      </c>
      <c r="DE95" s="188">
        <f t="shared" si="181"/>
        <v>172236822820.43924</v>
      </c>
      <c r="DF95" s="188">
        <f t="shared" si="181"/>
        <v>211851708462.48694</v>
      </c>
      <c r="DG95" s="188">
        <f t="shared" si="181"/>
        <v>199124011504.44998</v>
      </c>
      <c r="DH95" s="188">
        <f t="shared" si="181"/>
        <v>197240819598.25998</v>
      </c>
      <c r="DI95" s="188">
        <f t="shared" si="181"/>
        <v>985120995.85000002</v>
      </c>
      <c r="DJ95" s="188">
        <f t="shared" si="181"/>
        <v>0</v>
      </c>
      <c r="DK95" s="188">
        <f t="shared" si="181"/>
        <v>0</v>
      </c>
      <c r="DL95" s="188">
        <f t="shared" si="181"/>
        <v>0</v>
      </c>
      <c r="DM95" s="188">
        <f t="shared" si="181"/>
        <v>0</v>
      </c>
      <c r="DN95" s="188">
        <f t="shared" si="181"/>
        <v>29113228748.364998</v>
      </c>
      <c r="DO95" s="188">
        <f t="shared" si="181"/>
        <v>13078233506.73</v>
      </c>
      <c r="DP95" s="188">
        <f t="shared" si="181"/>
        <v>9277428668</v>
      </c>
      <c r="DQ95" s="188">
        <f t="shared" si="181"/>
        <v>8482635371</v>
      </c>
      <c r="DR95" s="188">
        <f t="shared" si="181"/>
        <v>0</v>
      </c>
      <c r="DS95" s="188">
        <f t="shared" si="181"/>
        <v>3941979641.2092762</v>
      </c>
      <c r="DT95" s="188">
        <f t="shared" si="181"/>
        <v>14955585906</v>
      </c>
      <c r="DU95" s="188">
        <f t="shared" si="181"/>
        <v>12177027803.41</v>
      </c>
      <c r="DV95" s="188">
        <f t="shared" si="181"/>
        <v>11606538084.059999</v>
      </c>
      <c r="DW95" s="188">
        <f t="shared" si="181"/>
        <v>15000000</v>
      </c>
      <c r="DX95" s="188">
        <f t="shared" si="181"/>
        <v>0</v>
      </c>
      <c r="DY95" s="188">
        <f t="shared" ref="DY95:EW95" si="182">DY96+DY110+DY138+DY151+DY162+DY171+DY177+DY188+DY233+DY240+DY257+DY262+DY268+DY281+DY294+DY300+DY312+DY319</f>
        <v>47295227929</v>
      </c>
      <c r="DZ95" s="188">
        <f t="shared" si="182"/>
        <v>40662055071</v>
      </c>
      <c r="EA95" s="188">
        <f t="shared" si="182"/>
        <v>40379175254</v>
      </c>
      <c r="EB95" s="188">
        <f t="shared" si="182"/>
        <v>240595333.3793</v>
      </c>
      <c r="EC95" s="188">
        <f t="shared" si="182"/>
        <v>0</v>
      </c>
      <c r="ED95" s="188">
        <f t="shared" si="182"/>
        <v>0</v>
      </c>
      <c r="EE95" s="188">
        <f t="shared" si="182"/>
        <v>0</v>
      </c>
      <c r="EF95" s="188">
        <f t="shared" si="182"/>
        <v>0</v>
      </c>
      <c r="EG95" s="188">
        <f t="shared" si="182"/>
        <v>0</v>
      </c>
      <c r="EH95" s="188">
        <f t="shared" si="182"/>
        <v>0</v>
      </c>
      <c r="EI95" s="188">
        <f t="shared" si="182"/>
        <v>0</v>
      </c>
      <c r="EJ95" s="188">
        <f t="shared" si="182"/>
        <v>119779889797.90849</v>
      </c>
      <c r="EK95" s="188">
        <f t="shared" si="182"/>
        <v>135123325409.86</v>
      </c>
      <c r="EL95" s="188">
        <f t="shared" si="182"/>
        <v>134442565703.71001</v>
      </c>
      <c r="EM95" s="188">
        <f t="shared" si="182"/>
        <v>134371544331.71001</v>
      </c>
      <c r="EN95" s="188">
        <f t="shared" si="182"/>
        <v>11123939268.595118</v>
      </c>
      <c r="EO95" s="188">
        <f t="shared" si="182"/>
        <v>12475916796.07</v>
      </c>
      <c r="EP95" s="188">
        <f t="shared" si="182"/>
        <v>11641392865</v>
      </c>
      <c r="EQ95" s="188">
        <f t="shared" si="182"/>
        <v>10984392865</v>
      </c>
      <c r="ER95" s="188">
        <f t="shared" si="182"/>
        <v>42000000</v>
      </c>
      <c r="ES95" s="188">
        <f t="shared" si="182"/>
        <v>11750000000</v>
      </c>
      <c r="ET95" s="188">
        <f t="shared" si="182"/>
        <v>0</v>
      </c>
      <c r="EU95" s="188">
        <f t="shared" si="182"/>
        <v>0</v>
      </c>
      <c r="EV95" s="188">
        <f t="shared" si="182"/>
        <v>0</v>
      </c>
      <c r="EW95" s="188">
        <f t="shared" si="182"/>
        <v>175949632789.45718</v>
      </c>
      <c r="EX95" s="188">
        <f>EX96+EX110+EX138+EX151+EX162+EX171+EX177+EX188+EX233+EX240+EX257+EX262+EX268+EX281+EX294+EX300+EX312+EX319</f>
        <v>222928289547.65997</v>
      </c>
      <c r="EY95" s="188">
        <f t="shared" ref="EY95:GZ95" si="183">EY96+EY110+EY138+EY151+EY162+EY171+EY177+EY188+EY233+EY240+EY257+EY262+EY268+EY281+EY294+EY300+EY312+EY319</f>
        <v>208200470111.12</v>
      </c>
      <c r="EZ95" s="188">
        <f t="shared" si="183"/>
        <v>205824285905.76999</v>
      </c>
      <c r="FA95" s="188">
        <f t="shared" si="183"/>
        <v>57000000</v>
      </c>
      <c r="FB95" s="188">
        <f t="shared" si="183"/>
        <v>0</v>
      </c>
      <c r="FC95" s="188">
        <f t="shared" si="183"/>
        <v>0</v>
      </c>
      <c r="FD95" s="188">
        <f t="shared" si="183"/>
        <v>0</v>
      </c>
      <c r="FE95" s="188">
        <f t="shared" si="183"/>
        <v>0</v>
      </c>
      <c r="FF95" s="188">
        <f t="shared" si="183"/>
        <v>0</v>
      </c>
      <c r="FG95" s="188">
        <f t="shared" si="183"/>
        <v>29986625610.224964</v>
      </c>
      <c r="FH95" s="188">
        <f t="shared" si="183"/>
        <v>18491492120.009998</v>
      </c>
      <c r="FI95" s="188">
        <f t="shared" si="183"/>
        <v>11845384422.049999</v>
      </c>
      <c r="FJ95" s="188">
        <f t="shared" si="183"/>
        <v>7076277151.6000004</v>
      </c>
      <c r="FK95" s="188">
        <f t="shared" si="183"/>
        <v>652239011</v>
      </c>
      <c r="FL95" s="188">
        <f t="shared" si="183"/>
        <v>3194389030.4455543</v>
      </c>
      <c r="FM95" s="188">
        <f t="shared" si="183"/>
        <v>12339973796</v>
      </c>
      <c r="FN95" s="188">
        <f t="shared" si="183"/>
        <v>6134346095.6100006</v>
      </c>
      <c r="FO95" s="188">
        <f t="shared" si="183"/>
        <v>2999082766.3499999</v>
      </c>
      <c r="FP95" s="188">
        <f t="shared" si="183"/>
        <v>28233559.350000001</v>
      </c>
      <c r="FQ95" s="188">
        <f t="shared" si="183"/>
        <v>0</v>
      </c>
      <c r="FR95" s="188">
        <f t="shared" si="183"/>
        <v>41956882662.239998</v>
      </c>
      <c r="FS95" s="188">
        <f t="shared" si="183"/>
        <v>20666603004</v>
      </c>
      <c r="FT95" s="188">
        <f t="shared" si="183"/>
        <v>13733715587</v>
      </c>
      <c r="FU95" s="188">
        <f t="shared" si="183"/>
        <v>282879817</v>
      </c>
      <c r="FV95" s="188">
        <f t="shared" si="183"/>
        <v>247813193.38067901</v>
      </c>
      <c r="FW95" s="188">
        <f t="shared" si="183"/>
        <v>0</v>
      </c>
      <c r="FX95" s="188">
        <f t="shared" si="183"/>
        <v>0</v>
      </c>
      <c r="FY95" s="188">
        <f t="shared" si="183"/>
        <v>0</v>
      </c>
      <c r="FZ95" s="188">
        <f t="shared" si="183"/>
        <v>0</v>
      </c>
      <c r="GA95" s="188">
        <f t="shared" si="183"/>
        <v>0</v>
      </c>
      <c r="GB95" s="188">
        <f t="shared" si="183"/>
        <v>0</v>
      </c>
      <c r="GC95" s="188">
        <f t="shared" si="183"/>
        <v>0</v>
      </c>
      <c r="GD95" s="188">
        <f t="shared" si="183"/>
        <v>0</v>
      </c>
      <c r="GE95" s="188">
        <f t="shared" si="183"/>
        <v>0</v>
      </c>
      <c r="GF95" s="188">
        <f t="shared" si="183"/>
        <v>123373286491.84402</v>
      </c>
      <c r="GG95" s="188">
        <f t="shared" si="183"/>
        <v>150197080865.14996</v>
      </c>
      <c r="GH95" s="188">
        <f t="shared" si="183"/>
        <v>59393184009</v>
      </c>
      <c r="GI95" s="188">
        <f t="shared" si="183"/>
        <v>57594927690</v>
      </c>
      <c r="GJ95" s="188">
        <f t="shared" si="183"/>
        <v>59349419</v>
      </c>
      <c r="GK95" s="188">
        <f t="shared" si="183"/>
        <v>11457657446.024429</v>
      </c>
      <c r="GL95" s="188">
        <f t="shared" si="183"/>
        <v>14691685021</v>
      </c>
      <c r="GM95" s="188">
        <f t="shared" si="183"/>
        <v>10796516529</v>
      </c>
      <c r="GN95" s="188">
        <f t="shared" si="183"/>
        <v>1920276091</v>
      </c>
      <c r="GO95" s="188">
        <f t="shared" si="183"/>
        <v>0</v>
      </c>
      <c r="GP95" s="188">
        <f t="shared" si="183"/>
        <v>14747500000</v>
      </c>
      <c r="GQ95" s="188">
        <f t="shared" si="183"/>
        <v>0</v>
      </c>
      <c r="GR95" s="188">
        <f t="shared" si="183"/>
        <v>0</v>
      </c>
      <c r="GS95" s="188">
        <f t="shared" si="183"/>
        <v>0</v>
      </c>
      <c r="GT95" s="188">
        <f t="shared" si="183"/>
        <v>0</v>
      </c>
      <c r="GU95" s="188">
        <f t="shared" si="183"/>
        <v>183007271771.91962</v>
      </c>
      <c r="GV95" s="188">
        <f t="shared" si="183"/>
        <v>237677114464.39996</v>
      </c>
      <c r="GW95" s="188">
        <f t="shared" si="183"/>
        <v>108836034059.66</v>
      </c>
      <c r="GX95" s="188">
        <f t="shared" si="183"/>
        <v>83324279285.950012</v>
      </c>
      <c r="GY95" s="188">
        <f t="shared" si="183"/>
        <v>1022701806.35</v>
      </c>
      <c r="GZ95" s="188">
        <f t="shared" si="183"/>
        <v>711205941196.45593</v>
      </c>
    </row>
    <row r="96" spans="1:208" ht="24.75" customHeight="1" x14ac:dyDescent="0.2">
      <c r="A96" s="993"/>
      <c r="B96" s="234">
        <v>5</v>
      </c>
      <c r="C96" s="324" t="s">
        <v>259</v>
      </c>
      <c r="D96" s="237"/>
      <c r="E96" s="237"/>
      <c r="F96" s="237"/>
      <c r="G96" s="238"/>
      <c r="H96" s="238"/>
      <c r="I96" s="238"/>
      <c r="J96" s="238"/>
      <c r="K96" s="238"/>
      <c r="L96" s="238"/>
      <c r="M96" s="238"/>
      <c r="N96" s="238"/>
      <c r="O96" s="238"/>
      <c r="P96" s="238"/>
      <c r="Q96" s="238"/>
      <c r="R96" s="238"/>
      <c r="S96" s="238"/>
      <c r="T96" s="238"/>
      <c r="U96" s="238"/>
      <c r="V96" s="238"/>
      <c r="W96" s="238"/>
      <c r="X96" s="238"/>
      <c r="Y96" s="241"/>
      <c r="Z96" s="238"/>
      <c r="AA96" s="238"/>
      <c r="AB96" s="238"/>
      <c r="AC96" s="50">
        <f t="shared" ref="AC96:CN96" si="184">AC97+AC101+AC108</f>
        <v>0</v>
      </c>
      <c r="AD96" s="50">
        <f t="shared" si="184"/>
        <v>0</v>
      </c>
      <c r="AE96" s="50">
        <f t="shared" si="184"/>
        <v>0</v>
      </c>
      <c r="AF96" s="50">
        <f t="shared" si="184"/>
        <v>0</v>
      </c>
      <c r="AG96" s="50">
        <f t="shared" si="184"/>
        <v>3582459532</v>
      </c>
      <c r="AH96" s="50">
        <f t="shared" si="184"/>
        <v>3582541949</v>
      </c>
      <c r="AI96" s="50">
        <f t="shared" si="184"/>
        <v>1809542199</v>
      </c>
      <c r="AJ96" s="50">
        <f t="shared" si="184"/>
        <v>1809542199</v>
      </c>
      <c r="AK96" s="50">
        <f t="shared" si="184"/>
        <v>3216953997</v>
      </c>
      <c r="AL96" s="50">
        <f t="shared" si="184"/>
        <v>3216953997</v>
      </c>
      <c r="AM96" s="50">
        <f t="shared" si="184"/>
        <v>3046888415</v>
      </c>
      <c r="AN96" s="50">
        <f t="shared" si="184"/>
        <v>2953888415</v>
      </c>
      <c r="AO96" s="50">
        <f t="shared" si="184"/>
        <v>0</v>
      </c>
      <c r="AP96" s="50">
        <f t="shared" si="184"/>
        <v>0</v>
      </c>
      <c r="AQ96" s="50">
        <f t="shared" si="184"/>
        <v>0</v>
      </c>
      <c r="AR96" s="50">
        <f t="shared" si="184"/>
        <v>0</v>
      </c>
      <c r="AS96" s="50">
        <f t="shared" si="184"/>
        <v>4987433131</v>
      </c>
      <c r="AT96" s="50">
        <f t="shared" si="184"/>
        <v>5768635462</v>
      </c>
      <c r="AU96" s="50">
        <f t="shared" si="184"/>
        <v>5222850617</v>
      </c>
      <c r="AV96" s="50">
        <f t="shared" si="184"/>
        <v>5222850617</v>
      </c>
      <c r="AW96" s="50">
        <f t="shared" si="184"/>
        <v>0</v>
      </c>
      <c r="AX96" s="50">
        <f t="shared" si="184"/>
        <v>0</v>
      </c>
      <c r="AY96" s="50">
        <f t="shared" si="184"/>
        <v>0</v>
      </c>
      <c r="AZ96" s="50">
        <f t="shared" si="184"/>
        <v>0</v>
      </c>
      <c r="BA96" s="50">
        <f t="shared" si="184"/>
        <v>99034613825</v>
      </c>
      <c r="BB96" s="50">
        <f t="shared" si="184"/>
        <v>99583861125.839996</v>
      </c>
      <c r="BC96" s="50">
        <f t="shared" si="184"/>
        <v>98297393067.130005</v>
      </c>
      <c r="BD96" s="50">
        <f t="shared" si="184"/>
        <v>97854593067.130005</v>
      </c>
      <c r="BE96" s="50">
        <f t="shared" si="184"/>
        <v>0</v>
      </c>
      <c r="BF96" s="50">
        <f t="shared" si="184"/>
        <v>0</v>
      </c>
      <c r="BG96" s="50">
        <f t="shared" si="184"/>
        <v>0</v>
      </c>
      <c r="BH96" s="50">
        <f t="shared" si="184"/>
        <v>0</v>
      </c>
      <c r="BI96" s="50">
        <f t="shared" si="184"/>
        <v>0</v>
      </c>
      <c r="BJ96" s="50">
        <f t="shared" si="184"/>
        <v>0</v>
      </c>
      <c r="BK96" s="50">
        <f t="shared" si="184"/>
        <v>0</v>
      </c>
      <c r="BL96" s="50">
        <f t="shared" si="184"/>
        <v>0</v>
      </c>
      <c r="BM96" s="50">
        <f t="shared" si="184"/>
        <v>110821460485</v>
      </c>
      <c r="BN96" s="50">
        <f t="shared" si="184"/>
        <v>112151992533.84</v>
      </c>
      <c r="BO96" s="50">
        <f t="shared" si="184"/>
        <v>108376674298.13</v>
      </c>
      <c r="BP96" s="50">
        <f t="shared" si="184"/>
        <v>107840874298.13</v>
      </c>
      <c r="BQ96" s="50">
        <f t="shared" si="184"/>
        <v>0</v>
      </c>
      <c r="BR96" s="50">
        <f t="shared" si="184"/>
        <v>0</v>
      </c>
      <c r="BS96" s="50">
        <f t="shared" si="184"/>
        <v>0</v>
      </c>
      <c r="BT96" s="50">
        <f t="shared" si="184"/>
        <v>0</v>
      </c>
      <c r="BU96" s="50">
        <f t="shared" si="184"/>
        <v>3683852490.1000004</v>
      </c>
      <c r="BV96" s="50">
        <f t="shared" si="184"/>
        <v>3901505459</v>
      </c>
      <c r="BW96" s="50">
        <f t="shared" si="184"/>
        <v>3078809789</v>
      </c>
      <c r="BX96" s="50">
        <f t="shared" si="184"/>
        <v>2859136388</v>
      </c>
      <c r="BY96" s="50">
        <f t="shared" si="184"/>
        <v>0</v>
      </c>
      <c r="BZ96" s="50">
        <f t="shared" si="184"/>
        <v>3050000000</v>
      </c>
      <c r="CA96" s="50">
        <f t="shared" si="184"/>
        <v>7182663541</v>
      </c>
      <c r="CB96" s="50">
        <f t="shared" si="184"/>
        <v>6371020473</v>
      </c>
      <c r="CC96" s="50">
        <f t="shared" si="184"/>
        <v>6262536323</v>
      </c>
      <c r="CD96" s="50">
        <f t="shared" si="184"/>
        <v>40000000</v>
      </c>
      <c r="CE96" s="50">
        <f t="shared" si="184"/>
        <v>0</v>
      </c>
      <c r="CF96" s="50">
        <f t="shared" si="184"/>
        <v>7520231341</v>
      </c>
      <c r="CG96" s="50">
        <f t="shared" si="184"/>
        <v>6621047614</v>
      </c>
      <c r="CH96" s="50">
        <f t="shared" si="184"/>
        <v>6621047614</v>
      </c>
      <c r="CI96" s="50">
        <f t="shared" si="184"/>
        <v>233587702.31</v>
      </c>
      <c r="CJ96" s="50">
        <f t="shared" si="184"/>
        <v>0</v>
      </c>
      <c r="CK96" s="50">
        <f t="shared" si="184"/>
        <v>0</v>
      </c>
      <c r="CL96" s="50">
        <f t="shared" si="184"/>
        <v>0</v>
      </c>
      <c r="CM96" s="50">
        <f t="shared" si="184"/>
        <v>0</v>
      </c>
      <c r="CN96" s="50">
        <f t="shared" si="184"/>
        <v>0</v>
      </c>
      <c r="CO96" s="50">
        <f t="shared" ref="CO96:EV96" si="185">CO97+CO101+CO108</f>
        <v>0</v>
      </c>
      <c r="CP96" s="50">
        <f t="shared" si="185"/>
        <v>0</v>
      </c>
      <c r="CQ96" s="50">
        <f t="shared" si="185"/>
        <v>102005652239.75</v>
      </c>
      <c r="CR96" s="50">
        <f t="shared" si="185"/>
        <v>109866068353</v>
      </c>
      <c r="CS96" s="50">
        <f t="shared" si="185"/>
        <v>107013919855.14</v>
      </c>
      <c r="CT96" s="50">
        <f t="shared" si="185"/>
        <v>107008615605.14</v>
      </c>
      <c r="CU96" s="50">
        <f t="shared" si="185"/>
        <v>0</v>
      </c>
      <c r="CV96" s="50">
        <f t="shared" si="185"/>
        <v>0</v>
      </c>
      <c r="CW96" s="50">
        <f t="shared" si="185"/>
        <v>0</v>
      </c>
      <c r="CX96" s="50">
        <f t="shared" si="185"/>
        <v>0</v>
      </c>
      <c r="CY96" s="50">
        <f t="shared" si="185"/>
        <v>0</v>
      </c>
      <c r="CZ96" s="50">
        <f t="shared" si="185"/>
        <v>0</v>
      </c>
      <c r="DA96" s="50">
        <f t="shared" si="185"/>
        <v>0</v>
      </c>
      <c r="DB96" s="50">
        <f t="shared" si="185"/>
        <v>0</v>
      </c>
      <c r="DC96" s="50">
        <f t="shared" si="185"/>
        <v>0</v>
      </c>
      <c r="DD96" s="50">
        <f t="shared" si="185"/>
        <v>0</v>
      </c>
      <c r="DE96" s="50">
        <f t="shared" si="185"/>
        <v>108973092432.16</v>
      </c>
      <c r="DF96" s="50">
        <f t="shared" si="185"/>
        <v>128470468694</v>
      </c>
      <c r="DG96" s="50">
        <f t="shared" si="185"/>
        <v>123084797731.14</v>
      </c>
      <c r="DH96" s="50">
        <f t="shared" si="185"/>
        <v>122751335930.14</v>
      </c>
      <c r="DI96" s="50">
        <f t="shared" si="185"/>
        <v>40000000</v>
      </c>
      <c r="DJ96" s="50">
        <f t="shared" si="185"/>
        <v>0</v>
      </c>
      <c r="DK96" s="50">
        <f t="shared" si="185"/>
        <v>0</v>
      </c>
      <c r="DL96" s="50">
        <f t="shared" si="185"/>
        <v>0</v>
      </c>
      <c r="DM96" s="50">
        <f t="shared" si="185"/>
        <v>0</v>
      </c>
      <c r="DN96" s="50">
        <f t="shared" si="185"/>
        <v>3794368064.803</v>
      </c>
      <c r="DO96" s="50">
        <f t="shared" si="185"/>
        <v>1530033770.24</v>
      </c>
      <c r="DP96" s="50">
        <f t="shared" si="185"/>
        <v>1050310348</v>
      </c>
      <c r="DQ96" s="50">
        <f t="shared" si="185"/>
        <v>583132032</v>
      </c>
      <c r="DR96" s="50">
        <f t="shared" si="185"/>
        <v>0</v>
      </c>
      <c r="DS96" s="50">
        <f t="shared" si="185"/>
        <v>2015000000</v>
      </c>
      <c r="DT96" s="50">
        <f t="shared" si="185"/>
        <v>3868738450</v>
      </c>
      <c r="DU96" s="50">
        <f t="shared" si="185"/>
        <v>2787655767</v>
      </c>
      <c r="DV96" s="50">
        <f t="shared" si="185"/>
        <v>2329189892</v>
      </c>
      <c r="DW96" s="50">
        <f t="shared" si="185"/>
        <v>0</v>
      </c>
      <c r="DX96" s="50">
        <f t="shared" si="185"/>
        <v>0</v>
      </c>
      <c r="DY96" s="50">
        <f t="shared" si="185"/>
        <v>10956502998</v>
      </c>
      <c r="DZ96" s="50">
        <f t="shared" si="185"/>
        <v>9361234587</v>
      </c>
      <c r="EA96" s="50">
        <f t="shared" si="185"/>
        <v>9078354770</v>
      </c>
      <c r="EB96" s="50">
        <f t="shared" si="185"/>
        <v>240595333.3793</v>
      </c>
      <c r="EC96" s="50">
        <f t="shared" si="185"/>
        <v>0</v>
      </c>
      <c r="ED96" s="50">
        <f t="shared" si="185"/>
        <v>0</v>
      </c>
      <c r="EE96" s="50">
        <f t="shared" si="185"/>
        <v>0</v>
      </c>
      <c r="EF96" s="50">
        <f t="shared" si="185"/>
        <v>0</v>
      </c>
      <c r="EG96" s="50">
        <f t="shared" si="185"/>
        <v>0</v>
      </c>
      <c r="EH96" s="50">
        <f t="shared" si="185"/>
        <v>0</v>
      </c>
      <c r="EI96" s="50">
        <f t="shared" si="185"/>
        <v>0</v>
      </c>
      <c r="EJ96" s="50">
        <f t="shared" si="185"/>
        <v>105065821806.94299</v>
      </c>
      <c r="EK96" s="50">
        <f t="shared" si="185"/>
        <v>118445996442</v>
      </c>
      <c r="EL96" s="50">
        <f t="shared" si="185"/>
        <v>117932590625.24001</v>
      </c>
      <c r="EM96" s="50">
        <f t="shared" si="185"/>
        <v>117927642370.24001</v>
      </c>
      <c r="EN96" s="50">
        <f t="shared" si="185"/>
        <v>0</v>
      </c>
      <c r="EO96" s="50">
        <f t="shared" si="185"/>
        <v>0</v>
      </c>
      <c r="EP96" s="50">
        <f t="shared" si="185"/>
        <v>0</v>
      </c>
      <c r="EQ96" s="50">
        <f t="shared" si="185"/>
        <v>0</v>
      </c>
      <c r="ER96" s="50">
        <f t="shared" si="185"/>
        <v>0</v>
      </c>
      <c r="ES96" s="50">
        <f t="shared" si="185"/>
        <v>0</v>
      </c>
      <c r="ET96" s="50">
        <f t="shared" si="185"/>
        <v>0</v>
      </c>
      <c r="EU96" s="50">
        <f t="shared" si="185"/>
        <v>0</v>
      </c>
      <c r="EV96" s="50">
        <f t="shared" si="185"/>
        <v>0</v>
      </c>
      <c r="EW96" s="50">
        <f t="shared" ref="EW96" si="186">EW97+EW101+EW108</f>
        <v>111115785205.12529</v>
      </c>
      <c r="EX96" s="50">
        <f>EX97+EX101+EX108</f>
        <v>134801271660.23999</v>
      </c>
      <c r="EY96" s="50">
        <f t="shared" ref="EY96:GZ96" si="187">EY97+EY101+EY108</f>
        <v>131131791327.24001</v>
      </c>
      <c r="EZ96" s="50">
        <f t="shared" si="187"/>
        <v>129918319064.24001</v>
      </c>
      <c r="FA96" s="50">
        <f t="shared" si="187"/>
        <v>0</v>
      </c>
      <c r="FB96" s="50">
        <f t="shared" si="187"/>
        <v>0</v>
      </c>
      <c r="FC96" s="50">
        <f t="shared" si="187"/>
        <v>0</v>
      </c>
      <c r="FD96" s="50">
        <f t="shared" si="187"/>
        <v>0</v>
      </c>
      <c r="FE96" s="50">
        <f t="shared" si="187"/>
        <v>0</v>
      </c>
      <c r="FF96" s="50">
        <f t="shared" si="187"/>
        <v>0</v>
      </c>
      <c r="FG96" s="50">
        <f t="shared" si="187"/>
        <v>3911381806.7470903</v>
      </c>
      <c r="FH96" s="50">
        <f t="shared" si="187"/>
        <v>8159959042</v>
      </c>
      <c r="FI96" s="50">
        <f t="shared" si="187"/>
        <v>7427857310</v>
      </c>
      <c r="FJ96" s="50">
        <f t="shared" si="187"/>
        <v>4865701501</v>
      </c>
      <c r="FK96" s="50">
        <f t="shared" si="187"/>
        <v>462306840</v>
      </c>
      <c r="FL96" s="50">
        <f t="shared" si="187"/>
        <v>1515000000</v>
      </c>
      <c r="FM96" s="50">
        <f t="shared" si="187"/>
        <v>2312353795</v>
      </c>
      <c r="FN96" s="50">
        <f t="shared" si="187"/>
        <v>1393032733</v>
      </c>
      <c r="FO96" s="50">
        <f t="shared" si="187"/>
        <v>343924935</v>
      </c>
      <c r="FP96" s="50">
        <f t="shared" si="187"/>
        <v>17368250</v>
      </c>
      <c r="FQ96" s="50">
        <f t="shared" si="187"/>
        <v>0</v>
      </c>
      <c r="FR96" s="50">
        <f t="shared" si="187"/>
        <v>12944356399.24</v>
      </c>
      <c r="FS96" s="50">
        <f t="shared" si="187"/>
        <v>10052811090</v>
      </c>
      <c r="FT96" s="50">
        <f t="shared" si="187"/>
        <v>4203407295</v>
      </c>
      <c r="FU96" s="50">
        <f t="shared" si="187"/>
        <v>282879817</v>
      </c>
      <c r="FV96" s="50">
        <f t="shared" si="187"/>
        <v>247813193.38067901</v>
      </c>
      <c r="FW96" s="50">
        <f t="shared" si="187"/>
        <v>0</v>
      </c>
      <c r="FX96" s="50">
        <f t="shared" si="187"/>
        <v>0</v>
      </c>
      <c r="FY96" s="50">
        <f t="shared" si="187"/>
        <v>0</v>
      </c>
      <c r="FZ96" s="50">
        <f t="shared" si="187"/>
        <v>0</v>
      </c>
      <c r="GA96" s="50">
        <f t="shared" si="187"/>
        <v>0</v>
      </c>
      <c r="GB96" s="50">
        <f t="shared" si="187"/>
        <v>0</v>
      </c>
      <c r="GC96" s="50">
        <f t="shared" si="187"/>
        <v>0</v>
      </c>
      <c r="GD96" s="50">
        <f t="shared" si="187"/>
        <v>0</v>
      </c>
      <c r="GE96" s="50">
        <f t="shared" si="187"/>
        <v>0</v>
      </c>
      <c r="GF96" s="50">
        <f t="shared" si="187"/>
        <v>108217796461.14622</v>
      </c>
      <c r="GG96" s="50">
        <f t="shared" si="187"/>
        <v>145788750418.28998</v>
      </c>
      <c r="GH96" s="50">
        <f t="shared" si="187"/>
        <v>58140802264</v>
      </c>
      <c r="GI96" s="50">
        <f t="shared" si="187"/>
        <v>56669404739</v>
      </c>
      <c r="GJ96" s="50">
        <f t="shared" si="187"/>
        <v>0</v>
      </c>
      <c r="GK96" s="50">
        <f t="shared" si="187"/>
        <v>0</v>
      </c>
      <c r="GL96" s="50">
        <f t="shared" si="187"/>
        <v>0</v>
      </c>
      <c r="GM96" s="50">
        <f t="shared" si="187"/>
        <v>0</v>
      </c>
      <c r="GN96" s="50">
        <f t="shared" si="187"/>
        <v>0</v>
      </c>
      <c r="GO96" s="50">
        <f t="shared" si="187"/>
        <v>0</v>
      </c>
      <c r="GP96" s="50">
        <f t="shared" si="187"/>
        <v>2000000000</v>
      </c>
      <c r="GQ96" s="50">
        <f t="shared" si="187"/>
        <v>0</v>
      </c>
      <c r="GR96" s="50">
        <f t="shared" si="187"/>
        <v>0</v>
      </c>
      <c r="GS96" s="50">
        <f t="shared" si="187"/>
        <v>0</v>
      </c>
      <c r="GT96" s="50">
        <f t="shared" si="187"/>
        <v>0</v>
      </c>
      <c r="GU96" s="50">
        <f t="shared" si="187"/>
        <v>115891991461.27399</v>
      </c>
      <c r="GV96" s="50">
        <f t="shared" si="187"/>
        <v>169205419654.52997</v>
      </c>
      <c r="GW96" s="50">
        <f t="shared" si="187"/>
        <v>77014503397</v>
      </c>
      <c r="GX96" s="50">
        <f t="shared" si="187"/>
        <v>66082438470</v>
      </c>
      <c r="GY96" s="50">
        <f t="shared" si="187"/>
        <v>762554907</v>
      </c>
      <c r="GZ96" s="50">
        <f t="shared" si="187"/>
        <v>446802329583.55927</v>
      </c>
    </row>
    <row r="97" spans="1:208" ht="24.75" customHeight="1" x14ac:dyDescent="0.2">
      <c r="A97" s="326"/>
      <c r="B97" s="993"/>
      <c r="C97" s="246">
        <v>16</v>
      </c>
      <c r="D97" s="247" t="s">
        <v>260</v>
      </c>
      <c r="E97" s="250"/>
      <c r="F97" s="250"/>
      <c r="G97" s="249"/>
      <c r="H97" s="249"/>
      <c r="I97" s="249"/>
      <c r="J97" s="249"/>
      <c r="K97" s="249"/>
      <c r="L97" s="249"/>
      <c r="M97" s="249"/>
      <c r="N97" s="249"/>
      <c r="O97" s="249"/>
      <c r="P97" s="249"/>
      <c r="Q97" s="249"/>
      <c r="R97" s="249"/>
      <c r="S97" s="249"/>
      <c r="T97" s="249"/>
      <c r="U97" s="249"/>
      <c r="V97" s="249"/>
      <c r="W97" s="249"/>
      <c r="X97" s="249"/>
      <c r="Y97" s="296"/>
      <c r="Z97" s="249"/>
      <c r="AA97" s="249"/>
      <c r="AB97" s="249"/>
      <c r="AC97" s="51">
        <f t="shared" ref="AC97:BL97" si="188">SUM(AC98:AC100)</f>
        <v>0</v>
      </c>
      <c r="AD97" s="51">
        <f t="shared" si="188"/>
        <v>0</v>
      </c>
      <c r="AE97" s="51">
        <f t="shared" si="188"/>
        <v>0</v>
      </c>
      <c r="AF97" s="51">
        <f t="shared" si="188"/>
        <v>0</v>
      </c>
      <c r="AG97" s="51">
        <f t="shared" si="188"/>
        <v>3582459532</v>
      </c>
      <c r="AH97" s="51">
        <f t="shared" si="188"/>
        <v>3582541949</v>
      </c>
      <c r="AI97" s="51">
        <f t="shared" si="188"/>
        <v>1809542199</v>
      </c>
      <c r="AJ97" s="51">
        <f t="shared" si="188"/>
        <v>1809542199</v>
      </c>
      <c r="AK97" s="51">
        <f t="shared" si="188"/>
        <v>3166953997</v>
      </c>
      <c r="AL97" s="51">
        <f t="shared" si="188"/>
        <v>3166953997</v>
      </c>
      <c r="AM97" s="51">
        <f t="shared" si="188"/>
        <v>2998902415</v>
      </c>
      <c r="AN97" s="51">
        <f t="shared" si="188"/>
        <v>2945902415</v>
      </c>
      <c r="AO97" s="51">
        <f t="shared" si="188"/>
        <v>0</v>
      </c>
      <c r="AP97" s="51">
        <f t="shared" si="188"/>
        <v>0</v>
      </c>
      <c r="AQ97" s="51">
        <f t="shared" si="188"/>
        <v>0</v>
      </c>
      <c r="AR97" s="51">
        <f t="shared" si="188"/>
        <v>0</v>
      </c>
      <c r="AS97" s="51">
        <f t="shared" si="188"/>
        <v>4987433131</v>
      </c>
      <c r="AT97" s="51">
        <f t="shared" si="188"/>
        <v>5768635462</v>
      </c>
      <c r="AU97" s="51">
        <f t="shared" si="188"/>
        <v>5222850617</v>
      </c>
      <c r="AV97" s="51">
        <f t="shared" si="188"/>
        <v>5222850617</v>
      </c>
      <c r="AW97" s="51">
        <f t="shared" si="188"/>
        <v>0</v>
      </c>
      <c r="AX97" s="51">
        <f t="shared" si="188"/>
        <v>0</v>
      </c>
      <c r="AY97" s="51">
        <f t="shared" si="188"/>
        <v>0</v>
      </c>
      <c r="AZ97" s="51">
        <f t="shared" si="188"/>
        <v>0</v>
      </c>
      <c r="BA97" s="51">
        <f t="shared" si="188"/>
        <v>0</v>
      </c>
      <c r="BB97" s="51">
        <f t="shared" si="188"/>
        <v>934549247</v>
      </c>
      <c r="BC97" s="51">
        <f t="shared" si="188"/>
        <v>703809200</v>
      </c>
      <c r="BD97" s="51">
        <f t="shared" si="188"/>
        <v>703809200</v>
      </c>
      <c r="BE97" s="51">
        <f t="shared" si="188"/>
        <v>0</v>
      </c>
      <c r="BF97" s="51">
        <f t="shared" si="188"/>
        <v>0</v>
      </c>
      <c r="BG97" s="51">
        <f t="shared" si="188"/>
        <v>0</v>
      </c>
      <c r="BH97" s="51">
        <f t="shared" si="188"/>
        <v>0</v>
      </c>
      <c r="BI97" s="51">
        <f t="shared" si="188"/>
        <v>0</v>
      </c>
      <c r="BJ97" s="51">
        <f t="shared" si="188"/>
        <v>0</v>
      </c>
      <c r="BK97" s="51">
        <f t="shared" si="188"/>
        <v>0</v>
      </c>
      <c r="BL97" s="51">
        <f t="shared" si="188"/>
        <v>0</v>
      </c>
      <c r="BM97" s="51">
        <f t="shared" ref="BM97:DX97" si="189">SUM(BM98:BM100)</f>
        <v>11736846660</v>
      </c>
      <c r="BN97" s="51">
        <f t="shared" si="189"/>
        <v>13452680655</v>
      </c>
      <c r="BO97" s="51">
        <f t="shared" si="189"/>
        <v>10735104431</v>
      </c>
      <c r="BP97" s="51">
        <f t="shared" si="189"/>
        <v>10682104431</v>
      </c>
      <c r="BQ97" s="51">
        <f t="shared" si="189"/>
        <v>0</v>
      </c>
      <c r="BR97" s="51">
        <f t="shared" si="189"/>
        <v>0</v>
      </c>
      <c r="BS97" s="51">
        <f t="shared" si="189"/>
        <v>0</v>
      </c>
      <c r="BT97" s="51">
        <f t="shared" si="189"/>
        <v>0</v>
      </c>
      <c r="BU97" s="51">
        <f t="shared" si="189"/>
        <v>3683852490.1000004</v>
      </c>
      <c r="BV97" s="51">
        <f t="shared" si="189"/>
        <v>3901505459</v>
      </c>
      <c r="BW97" s="51">
        <f t="shared" si="189"/>
        <v>3078809789</v>
      </c>
      <c r="BX97" s="51">
        <f t="shared" si="189"/>
        <v>2859136388</v>
      </c>
      <c r="BY97" s="51">
        <f t="shared" si="189"/>
        <v>0</v>
      </c>
      <c r="BZ97" s="51">
        <f t="shared" si="189"/>
        <v>3000000000</v>
      </c>
      <c r="CA97" s="51">
        <f t="shared" si="189"/>
        <v>7142663541</v>
      </c>
      <c r="CB97" s="51">
        <f t="shared" si="189"/>
        <v>6371020473</v>
      </c>
      <c r="CC97" s="51">
        <f t="shared" si="189"/>
        <v>6262536323</v>
      </c>
      <c r="CD97" s="51">
        <f t="shared" si="189"/>
        <v>0</v>
      </c>
      <c r="CE97" s="51">
        <f t="shared" si="189"/>
        <v>0</v>
      </c>
      <c r="CF97" s="51">
        <f t="shared" si="189"/>
        <v>7520231341</v>
      </c>
      <c r="CG97" s="51">
        <f t="shared" si="189"/>
        <v>6621047614</v>
      </c>
      <c r="CH97" s="51">
        <f t="shared" si="189"/>
        <v>6621047614</v>
      </c>
      <c r="CI97" s="51">
        <f t="shared" si="189"/>
        <v>233587702.31</v>
      </c>
      <c r="CJ97" s="51">
        <f t="shared" si="189"/>
        <v>0</v>
      </c>
      <c r="CK97" s="51">
        <f t="shared" si="189"/>
        <v>0</v>
      </c>
      <c r="CL97" s="51">
        <f t="shared" si="189"/>
        <v>0</v>
      </c>
      <c r="CM97" s="51">
        <f t="shared" si="189"/>
        <v>0</v>
      </c>
      <c r="CN97" s="51">
        <f t="shared" si="189"/>
        <v>0</v>
      </c>
      <c r="CO97" s="51">
        <f t="shared" si="189"/>
        <v>0</v>
      </c>
      <c r="CP97" s="51">
        <f t="shared" si="189"/>
        <v>0</v>
      </c>
      <c r="CQ97" s="51">
        <f t="shared" si="189"/>
        <v>0</v>
      </c>
      <c r="CR97" s="51">
        <f t="shared" si="189"/>
        <v>0</v>
      </c>
      <c r="CS97" s="51">
        <f t="shared" si="189"/>
        <v>0</v>
      </c>
      <c r="CT97" s="51">
        <f t="shared" si="189"/>
        <v>0</v>
      </c>
      <c r="CU97" s="51">
        <f t="shared" si="189"/>
        <v>0</v>
      </c>
      <c r="CV97" s="51">
        <f t="shared" si="189"/>
        <v>0</v>
      </c>
      <c r="CW97" s="51">
        <f t="shared" si="189"/>
        <v>0</v>
      </c>
      <c r="CX97" s="51">
        <f t="shared" si="189"/>
        <v>0</v>
      </c>
      <c r="CY97" s="51">
        <f t="shared" si="189"/>
        <v>0</v>
      </c>
      <c r="CZ97" s="51">
        <f t="shared" si="189"/>
        <v>0</v>
      </c>
      <c r="DA97" s="51">
        <f t="shared" si="189"/>
        <v>0</v>
      </c>
      <c r="DB97" s="51">
        <f t="shared" si="189"/>
        <v>0</v>
      </c>
      <c r="DC97" s="51">
        <f t="shared" si="189"/>
        <v>0</v>
      </c>
      <c r="DD97" s="51">
        <f t="shared" si="189"/>
        <v>0</v>
      </c>
      <c r="DE97" s="51">
        <f t="shared" si="189"/>
        <v>6917440192.4099998</v>
      </c>
      <c r="DF97" s="51">
        <f t="shared" si="189"/>
        <v>18564400341</v>
      </c>
      <c r="DG97" s="51">
        <f t="shared" si="189"/>
        <v>16070877876</v>
      </c>
      <c r="DH97" s="51">
        <f t="shared" si="189"/>
        <v>15742720325</v>
      </c>
      <c r="DI97" s="51">
        <f t="shared" si="189"/>
        <v>0</v>
      </c>
      <c r="DJ97" s="51">
        <f t="shared" si="189"/>
        <v>0</v>
      </c>
      <c r="DK97" s="51">
        <f t="shared" si="189"/>
        <v>0</v>
      </c>
      <c r="DL97" s="51">
        <f t="shared" si="189"/>
        <v>0</v>
      </c>
      <c r="DM97" s="51">
        <f t="shared" si="189"/>
        <v>0</v>
      </c>
      <c r="DN97" s="51">
        <f t="shared" si="189"/>
        <v>3794368064.803</v>
      </c>
      <c r="DO97" s="51">
        <f t="shared" si="189"/>
        <v>1515033770.24</v>
      </c>
      <c r="DP97" s="51">
        <f t="shared" si="189"/>
        <v>1035310348</v>
      </c>
      <c r="DQ97" s="51">
        <f t="shared" si="189"/>
        <v>568132032</v>
      </c>
      <c r="DR97" s="51">
        <f t="shared" si="189"/>
        <v>0</v>
      </c>
      <c r="DS97" s="51">
        <f t="shared" si="189"/>
        <v>2000000000</v>
      </c>
      <c r="DT97" s="51">
        <f t="shared" si="189"/>
        <v>3832738450</v>
      </c>
      <c r="DU97" s="51">
        <f t="shared" si="189"/>
        <v>2784980767</v>
      </c>
      <c r="DV97" s="51">
        <f t="shared" si="189"/>
        <v>2326514892</v>
      </c>
      <c r="DW97" s="51">
        <f t="shared" si="189"/>
        <v>0</v>
      </c>
      <c r="DX97" s="51">
        <f t="shared" si="189"/>
        <v>0</v>
      </c>
      <c r="DY97" s="51">
        <f t="shared" ref="DY97:EW97" si="190">SUM(DY98:DY100)</f>
        <v>10956502998</v>
      </c>
      <c r="DZ97" s="51">
        <f t="shared" si="190"/>
        <v>9361234587</v>
      </c>
      <c r="EA97" s="51">
        <f t="shared" si="190"/>
        <v>9078354770</v>
      </c>
      <c r="EB97" s="51">
        <f t="shared" si="190"/>
        <v>240595333.3793</v>
      </c>
      <c r="EC97" s="51">
        <f t="shared" si="190"/>
        <v>0</v>
      </c>
      <c r="ED97" s="51">
        <f t="shared" si="190"/>
        <v>0</v>
      </c>
      <c r="EE97" s="51">
        <f t="shared" si="190"/>
        <v>0</v>
      </c>
      <c r="EF97" s="51">
        <f t="shared" si="190"/>
        <v>0</v>
      </c>
      <c r="EG97" s="51">
        <f t="shared" si="190"/>
        <v>0</v>
      </c>
      <c r="EH97" s="51">
        <f t="shared" si="190"/>
        <v>0</v>
      </c>
      <c r="EI97" s="51">
        <f t="shared" si="190"/>
        <v>0</v>
      </c>
      <c r="EJ97" s="51">
        <f t="shared" si="190"/>
        <v>0</v>
      </c>
      <c r="EK97" s="51">
        <f t="shared" si="190"/>
        <v>0</v>
      </c>
      <c r="EL97" s="51">
        <f t="shared" si="190"/>
        <v>0</v>
      </c>
      <c r="EM97" s="51">
        <f t="shared" si="190"/>
        <v>0</v>
      </c>
      <c r="EN97" s="51">
        <f t="shared" si="190"/>
        <v>0</v>
      </c>
      <c r="EO97" s="51">
        <f t="shared" si="190"/>
        <v>0</v>
      </c>
      <c r="EP97" s="51">
        <f t="shared" si="190"/>
        <v>0</v>
      </c>
      <c r="EQ97" s="51">
        <f t="shared" si="190"/>
        <v>0</v>
      </c>
      <c r="ER97" s="51">
        <f t="shared" si="190"/>
        <v>0</v>
      </c>
      <c r="ES97" s="51">
        <f t="shared" si="190"/>
        <v>0</v>
      </c>
      <c r="ET97" s="51">
        <f t="shared" si="190"/>
        <v>0</v>
      </c>
      <c r="EU97" s="51">
        <f t="shared" si="190"/>
        <v>0</v>
      </c>
      <c r="EV97" s="51">
        <f t="shared" si="190"/>
        <v>0</v>
      </c>
      <c r="EW97" s="51">
        <f t="shared" si="190"/>
        <v>6034963398.1823006</v>
      </c>
      <c r="EX97" s="51">
        <f t="shared" ref="EX97:GZ97" si="191">SUM(EX98:EX100)</f>
        <v>16304275218.24</v>
      </c>
      <c r="EY97" s="51">
        <f t="shared" si="191"/>
        <v>13181525702</v>
      </c>
      <c r="EZ97" s="51">
        <f t="shared" si="191"/>
        <v>11973001694</v>
      </c>
      <c r="FA97" s="51">
        <f t="shared" si="191"/>
        <v>0</v>
      </c>
      <c r="FB97" s="602">
        <f t="shared" si="191"/>
        <v>0</v>
      </c>
      <c r="FC97" s="51">
        <f t="shared" si="191"/>
        <v>0</v>
      </c>
      <c r="FD97" s="51">
        <f t="shared" si="191"/>
        <v>0</v>
      </c>
      <c r="FE97" s="51">
        <f t="shared" si="191"/>
        <v>0</v>
      </c>
      <c r="FF97" s="51">
        <f t="shared" si="191"/>
        <v>0</v>
      </c>
      <c r="FG97" s="51">
        <f t="shared" si="191"/>
        <v>3911381806.7470903</v>
      </c>
      <c r="FH97" s="51">
        <f t="shared" si="191"/>
        <v>3519275318</v>
      </c>
      <c r="FI97" s="51">
        <f t="shared" si="191"/>
        <v>2803078639</v>
      </c>
      <c r="FJ97" s="51">
        <f t="shared" si="191"/>
        <v>242390330</v>
      </c>
      <c r="FK97" s="51">
        <f t="shared" si="191"/>
        <v>462306840</v>
      </c>
      <c r="FL97" s="51">
        <f t="shared" si="191"/>
        <v>1500000000</v>
      </c>
      <c r="FM97" s="51">
        <f t="shared" si="191"/>
        <v>2287353795</v>
      </c>
      <c r="FN97" s="51">
        <f t="shared" si="191"/>
        <v>1384227733</v>
      </c>
      <c r="FO97" s="51">
        <f t="shared" si="191"/>
        <v>335119935</v>
      </c>
      <c r="FP97" s="51">
        <f t="shared" si="191"/>
        <v>17368250</v>
      </c>
      <c r="FQ97" s="51">
        <f t="shared" si="191"/>
        <v>0</v>
      </c>
      <c r="FR97" s="51">
        <f t="shared" si="191"/>
        <v>12944356399.24</v>
      </c>
      <c r="FS97" s="51">
        <f t="shared" si="191"/>
        <v>10052811090</v>
      </c>
      <c r="FT97" s="51">
        <f t="shared" si="191"/>
        <v>4203407295</v>
      </c>
      <c r="FU97" s="51">
        <f t="shared" si="191"/>
        <v>282879817</v>
      </c>
      <c r="FV97" s="51">
        <f t="shared" si="191"/>
        <v>247813193.38067901</v>
      </c>
      <c r="FW97" s="51">
        <f t="shared" si="191"/>
        <v>0</v>
      </c>
      <c r="FX97" s="51">
        <f t="shared" si="191"/>
        <v>0</v>
      </c>
      <c r="FY97" s="51">
        <f t="shared" si="191"/>
        <v>0</v>
      </c>
      <c r="FZ97" s="51">
        <f t="shared" si="191"/>
        <v>0</v>
      </c>
      <c r="GA97" s="51">
        <f t="shared" si="191"/>
        <v>0</v>
      </c>
      <c r="GB97" s="51">
        <f t="shared" si="191"/>
        <v>0</v>
      </c>
      <c r="GC97" s="51">
        <f t="shared" si="191"/>
        <v>0</v>
      </c>
      <c r="GD97" s="51">
        <f t="shared" si="191"/>
        <v>0</v>
      </c>
      <c r="GE97" s="51">
        <f t="shared" si="191"/>
        <v>0</v>
      </c>
      <c r="GF97" s="51">
        <f t="shared" si="191"/>
        <v>0</v>
      </c>
      <c r="GG97" s="51">
        <f t="shared" si="191"/>
        <v>0</v>
      </c>
      <c r="GH97" s="51">
        <f t="shared" si="191"/>
        <v>0</v>
      </c>
      <c r="GI97" s="51">
        <f t="shared" si="191"/>
        <v>0</v>
      </c>
      <c r="GJ97" s="51">
        <f t="shared" si="191"/>
        <v>0</v>
      </c>
      <c r="GK97" s="51">
        <f t="shared" si="191"/>
        <v>0</v>
      </c>
      <c r="GL97" s="51">
        <f t="shared" si="191"/>
        <v>0</v>
      </c>
      <c r="GM97" s="51">
        <f t="shared" si="191"/>
        <v>0</v>
      </c>
      <c r="GN97" s="51">
        <f t="shared" si="191"/>
        <v>0</v>
      </c>
      <c r="GO97" s="51">
        <f t="shared" si="191"/>
        <v>0</v>
      </c>
      <c r="GP97" s="51">
        <f t="shared" si="191"/>
        <v>2000000000</v>
      </c>
      <c r="GQ97" s="51">
        <f t="shared" si="191"/>
        <v>0</v>
      </c>
      <c r="GR97" s="51">
        <f t="shared" si="191"/>
        <v>0</v>
      </c>
      <c r="GS97" s="51">
        <f t="shared" si="191"/>
        <v>0</v>
      </c>
      <c r="GT97" s="51">
        <f t="shared" si="191"/>
        <v>0</v>
      </c>
      <c r="GU97" s="51">
        <f t="shared" si="191"/>
        <v>7659195000.1277695</v>
      </c>
      <c r="GV97" s="51">
        <f t="shared" si="191"/>
        <v>18750985512.239998</v>
      </c>
      <c r="GW97" s="51">
        <f t="shared" si="191"/>
        <v>14240117462</v>
      </c>
      <c r="GX97" s="51">
        <f t="shared" si="191"/>
        <v>4780917560</v>
      </c>
      <c r="GY97" s="51">
        <f t="shared" si="191"/>
        <v>762554907</v>
      </c>
      <c r="GZ97" s="51">
        <f t="shared" si="191"/>
        <v>32348445250.72007</v>
      </c>
    </row>
    <row r="98" spans="1:208" s="711" customFormat="1" ht="87.75" customHeight="1" x14ac:dyDescent="0.2">
      <c r="A98" s="703"/>
      <c r="B98" s="703"/>
      <c r="C98" s="995">
        <v>15</v>
      </c>
      <c r="D98" s="1005" t="s">
        <v>261</v>
      </c>
      <c r="E98" s="995" t="s">
        <v>262</v>
      </c>
      <c r="F98" s="995" t="s">
        <v>263</v>
      </c>
      <c r="G98" s="684">
        <v>65</v>
      </c>
      <c r="H98" s="676" t="s">
        <v>264</v>
      </c>
      <c r="I98" s="846" t="s">
        <v>265</v>
      </c>
      <c r="J98" s="677" t="s">
        <v>266</v>
      </c>
      <c r="K98" s="677">
        <v>1</v>
      </c>
      <c r="L98" s="892" t="s">
        <v>58</v>
      </c>
      <c r="M98" s="680">
        <v>1</v>
      </c>
      <c r="N98" s="680">
        <v>1</v>
      </c>
      <c r="O98" s="621">
        <v>1</v>
      </c>
      <c r="P98" s="893">
        <v>1</v>
      </c>
      <c r="Q98" s="621">
        <v>1</v>
      </c>
      <c r="R98" s="814"/>
      <c r="S98" s="851">
        <v>1</v>
      </c>
      <c r="T98" s="621">
        <v>1</v>
      </c>
      <c r="U98" s="621"/>
      <c r="V98" s="893">
        <v>1</v>
      </c>
      <c r="W98" s="621">
        <v>1</v>
      </c>
      <c r="X98" s="892"/>
      <c r="Y98" s="639">
        <v>0.6</v>
      </c>
      <c r="Z98" s="852">
        <f>BM98/$BM$97</f>
        <v>0.37367306449925114</v>
      </c>
      <c r="AA98" s="682">
        <v>4</v>
      </c>
      <c r="AB98" s="848" t="s">
        <v>114</v>
      </c>
      <c r="AC98" s="830"/>
      <c r="AD98" s="831"/>
      <c r="AE98" s="818"/>
      <c r="AF98" s="818"/>
      <c r="AG98" s="831">
        <f>1212885746+5903716</f>
        <v>1218789462</v>
      </c>
      <c r="AH98" s="831">
        <v>508871879</v>
      </c>
      <c r="AI98" s="831"/>
      <c r="AJ98" s="831"/>
      <c r="AK98" s="830">
        <f>1459029622+1707924375</f>
        <v>3166953997</v>
      </c>
      <c r="AL98" s="818">
        <v>3166953997</v>
      </c>
      <c r="AM98" s="831">
        <v>2998902415</v>
      </c>
      <c r="AN98" s="831">
        <v>2945902415</v>
      </c>
      <c r="AO98" s="830"/>
      <c r="AP98" s="831"/>
      <c r="AQ98" s="831"/>
      <c r="AR98" s="831"/>
      <c r="AS98" s="830"/>
      <c r="AT98" s="831"/>
      <c r="AU98" s="818"/>
      <c r="AV98" s="818"/>
      <c r="AW98" s="830"/>
      <c r="AX98" s="831"/>
      <c r="AY98" s="831"/>
      <c r="AZ98" s="831"/>
      <c r="BA98" s="830"/>
      <c r="BB98" s="831"/>
      <c r="BC98" s="831"/>
      <c r="BD98" s="831"/>
      <c r="BE98" s="830"/>
      <c r="BF98" s="831"/>
      <c r="BG98" s="818"/>
      <c r="BH98" s="818"/>
      <c r="BI98" s="830"/>
      <c r="BJ98" s="831"/>
      <c r="BK98" s="831"/>
      <c r="BL98" s="831"/>
      <c r="BM98" s="817">
        <f>+AC98+AG98+AK98+AO98+AS98+AW98+BA98+BE98+BI98</f>
        <v>4385743459</v>
      </c>
      <c r="BN98" s="818">
        <f t="shared" ref="BN98:BP100" si="192">AD98+AH98+AL98+AP98+AT98+AX98+BB98+BF98+BJ98</f>
        <v>3675825876</v>
      </c>
      <c r="BO98" s="818">
        <f t="shared" si="192"/>
        <v>2998902415</v>
      </c>
      <c r="BP98" s="818">
        <f t="shared" si="192"/>
        <v>2945902415</v>
      </c>
      <c r="BQ98" s="667"/>
      <c r="BR98" s="667"/>
      <c r="BS98" s="667"/>
      <c r="BT98" s="667"/>
      <c r="BU98" s="667">
        <v>1250000000</v>
      </c>
      <c r="BV98" s="667">
        <f>2055700205+6431354</f>
        <v>2062131559</v>
      </c>
      <c r="BW98" s="667">
        <f>1741436117+6336943</f>
        <v>1747773060</v>
      </c>
      <c r="BX98" s="667">
        <v>1574823060</v>
      </c>
      <c r="BY98" s="667"/>
      <c r="BZ98" s="667">
        <v>1600000000</v>
      </c>
      <c r="CA98" s="667">
        <f>4012445157-6431354</f>
        <v>4006013803</v>
      </c>
      <c r="CB98" s="667">
        <f>3983959955-6336943</f>
        <v>3977623012</v>
      </c>
      <c r="CC98" s="667">
        <v>3936550078</v>
      </c>
      <c r="CD98" s="667"/>
      <c r="CE98" s="667"/>
      <c r="CF98" s="667"/>
      <c r="CG98" s="667"/>
      <c r="CH98" s="667"/>
      <c r="CI98" s="667"/>
      <c r="CJ98" s="667"/>
      <c r="CK98" s="667"/>
      <c r="CL98" s="667"/>
      <c r="CM98" s="667"/>
      <c r="CN98" s="667"/>
      <c r="CO98" s="667"/>
      <c r="CP98" s="667"/>
      <c r="CQ98" s="667"/>
      <c r="CR98" s="667"/>
      <c r="CS98" s="667"/>
      <c r="CT98" s="667"/>
      <c r="CU98" s="667"/>
      <c r="CV98" s="667"/>
      <c r="CW98" s="667"/>
      <c r="CX98" s="667"/>
      <c r="CY98" s="667"/>
      <c r="CZ98" s="667"/>
      <c r="DA98" s="667"/>
      <c r="DB98" s="667"/>
      <c r="DC98" s="667"/>
      <c r="DD98" s="667"/>
      <c r="DE98" s="708">
        <f t="shared" ref="DE98:DH100" si="193">BQ98+BU98+BZ98+CE98+CI98+CM98+CQ98+CV98+DA98</f>
        <v>2850000000</v>
      </c>
      <c r="DF98" s="708">
        <f t="shared" si="193"/>
        <v>6068145362</v>
      </c>
      <c r="DG98" s="708">
        <f t="shared" si="193"/>
        <v>5725396072</v>
      </c>
      <c r="DH98" s="708">
        <f t="shared" si="193"/>
        <v>5511373138</v>
      </c>
      <c r="DI98" s="708"/>
      <c r="DJ98" s="667"/>
      <c r="DK98" s="667"/>
      <c r="DL98" s="667"/>
      <c r="DM98" s="667"/>
      <c r="DN98" s="667">
        <f>1250000000*1.03</f>
        <v>1287500000</v>
      </c>
      <c r="DO98" s="667">
        <v>513871661</v>
      </c>
      <c r="DP98" s="667">
        <v>513792104</v>
      </c>
      <c r="DQ98" s="667">
        <v>513792104</v>
      </c>
      <c r="DR98" s="667"/>
      <c r="DS98" s="667">
        <v>1000000000</v>
      </c>
      <c r="DT98" s="667">
        <v>2650000000</v>
      </c>
      <c r="DU98" s="667">
        <v>1625101111</v>
      </c>
      <c r="DV98" s="667">
        <v>1166635236</v>
      </c>
      <c r="DW98" s="667"/>
      <c r="DX98" s="667"/>
      <c r="DY98" s="667">
        <v>2640000000</v>
      </c>
      <c r="DZ98" s="667">
        <v>2635592428</v>
      </c>
      <c r="EA98" s="667">
        <v>2570304032</v>
      </c>
      <c r="EB98" s="667"/>
      <c r="EC98" s="667"/>
      <c r="ED98" s="667"/>
      <c r="EE98" s="667"/>
      <c r="EF98" s="667"/>
      <c r="EG98" s="667"/>
      <c r="EH98" s="667"/>
      <c r="EI98" s="667"/>
      <c r="EJ98" s="667"/>
      <c r="EK98" s="667"/>
      <c r="EL98" s="667"/>
      <c r="EM98" s="667"/>
      <c r="EN98" s="667"/>
      <c r="EO98" s="667"/>
      <c r="EP98" s="667"/>
      <c r="EQ98" s="667"/>
      <c r="ER98" s="667"/>
      <c r="ES98" s="667"/>
      <c r="ET98" s="667"/>
      <c r="EU98" s="667"/>
      <c r="EV98" s="667"/>
      <c r="EW98" s="708">
        <f t="shared" ref="EW98:EX100" si="194">DJ98+DN98+DS98+DX98+EB98+EF98+EJ98+EN98+ES98</f>
        <v>2287500000</v>
      </c>
      <c r="EX98" s="819">
        <f t="shared" si="194"/>
        <v>5803871661</v>
      </c>
      <c r="EY98" s="819">
        <f t="shared" ref="EY98:EZ100" si="195">DL98+DP98+DU98+DZ98+ED98+EH98+EL98+EP98+EU98</f>
        <v>4774485643</v>
      </c>
      <c r="EZ98" s="819">
        <f t="shared" si="195"/>
        <v>4250731372</v>
      </c>
      <c r="FA98" s="820"/>
      <c r="FB98" s="667"/>
      <c r="FC98" s="706"/>
      <c r="FD98" s="706"/>
      <c r="FE98" s="706"/>
      <c r="FF98" s="707"/>
      <c r="FG98" s="667">
        <f>1287500000*1.03+3182700</f>
        <v>1329307700</v>
      </c>
      <c r="FH98" s="667">
        <v>2887920014</v>
      </c>
      <c r="FI98" s="667">
        <v>2321723335</v>
      </c>
      <c r="FJ98" s="667">
        <v>242390330</v>
      </c>
      <c r="FK98" s="667"/>
      <c r="FL98" s="667">
        <v>750000000</v>
      </c>
      <c r="FM98" s="667">
        <v>1383511099</v>
      </c>
      <c r="FN98" s="667">
        <v>579511061</v>
      </c>
      <c r="FO98" s="667">
        <v>241355304</v>
      </c>
      <c r="FP98" s="667">
        <v>17368250</v>
      </c>
      <c r="FQ98" s="667"/>
      <c r="FR98" s="667">
        <v>2166498979</v>
      </c>
      <c r="FS98" s="667">
        <v>2116228777</v>
      </c>
      <c r="FT98" s="667">
        <v>1019867497</v>
      </c>
      <c r="FU98" s="667">
        <v>65288396</v>
      </c>
      <c r="FV98" s="667"/>
      <c r="FW98" s="667"/>
      <c r="FX98" s="667"/>
      <c r="FY98" s="667"/>
      <c r="FZ98" s="667"/>
      <c r="GA98" s="667"/>
      <c r="GB98" s="667"/>
      <c r="GC98" s="667"/>
      <c r="GD98" s="667"/>
      <c r="GE98" s="667"/>
      <c r="GF98" s="667"/>
      <c r="GG98" s="667"/>
      <c r="GH98" s="667"/>
      <c r="GI98" s="667"/>
      <c r="GJ98" s="667"/>
      <c r="GK98" s="667"/>
      <c r="GL98" s="667"/>
      <c r="GM98" s="667"/>
      <c r="GN98" s="667"/>
      <c r="GO98" s="667"/>
      <c r="GP98" s="667"/>
      <c r="GQ98" s="667"/>
      <c r="GR98" s="667"/>
      <c r="GS98" s="667"/>
      <c r="GT98" s="667"/>
      <c r="GU98" s="708">
        <f>FB98+FG98+FL98+FQ98+FV98+GA98+GF98+GK98+GP98</f>
        <v>2079307700</v>
      </c>
      <c r="GV98" s="708">
        <f t="shared" ref="GV98:GY100" si="196">GQ98+GL98+GG98+GB98+FW98+FR98+FM98+FH98+FC98</f>
        <v>6437930092</v>
      </c>
      <c r="GW98" s="708">
        <f t="shared" si="196"/>
        <v>5017463173</v>
      </c>
      <c r="GX98" s="708">
        <f t="shared" si="196"/>
        <v>1503613131</v>
      </c>
      <c r="GY98" s="709">
        <f t="shared" si="196"/>
        <v>82656646</v>
      </c>
      <c r="GZ98" s="710">
        <f>BM98+DE98+EW98+GU98</f>
        <v>11602551159</v>
      </c>
    </row>
    <row r="99" spans="1:208" s="711" customFormat="1" ht="59.25" customHeight="1" x14ac:dyDescent="0.2">
      <c r="A99" s="703"/>
      <c r="B99" s="703"/>
      <c r="C99" s="822"/>
      <c r="D99" s="685"/>
      <c r="E99" s="822"/>
      <c r="F99" s="822"/>
      <c r="G99" s="684">
        <v>66</v>
      </c>
      <c r="H99" s="676" t="s">
        <v>267</v>
      </c>
      <c r="I99" s="846" t="s">
        <v>268</v>
      </c>
      <c r="J99" s="677" t="s">
        <v>266</v>
      </c>
      <c r="K99" s="677">
        <v>1</v>
      </c>
      <c r="L99" s="892" t="s">
        <v>58</v>
      </c>
      <c r="M99" s="680">
        <v>1</v>
      </c>
      <c r="N99" s="680">
        <v>1</v>
      </c>
      <c r="O99" s="621">
        <v>1</v>
      </c>
      <c r="P99" s="893">
        <v>1</v>
      </c>
      <c r="Q99" s="621">
        <v>1</v>
      </c>
      <c r="R99" s="814"/>
      <c r="S99" s="851">
        <v>1</v>
      </c>
      <c r="T99" s="621">
        <v>1</v>
      </c>
      <c r="U99" s="621"/>
      <c r="V99" s="893">
        <v>1</v>
      </c>
      <c r="W99" s="621">
        <v>1</v>
      </c>
      <c r="X99" s="892"/>
      <c r="Y99" s="639">
        <v>0.5</v>
      </c>
      <c r="Z99" s="852">
        <f>BM99/$BM$97</f>
        <v>0.53942113963002047</v>
      </c>
      <c r="AA99" s="682">
        <v>2</v>
      </c>
      <c r="AB99" s="848" t="s">
        <v>141</v>
      </c>
      <c r="AC99" s="830"/>
      <c r="AD99" s="831"/>
      <c r="AE99" s="818"/>
      <c r="AF99" s="818"/>
      <c r="AG99" s="831">
        <v>1343670070</v>
      </c>
      <c r="AH99" s="831">
        <v>2053670070</v>
      </c>
      <c r="AI99" s="831">
        <v>814622000</v>
      </c>
      <c r="AJ99" s="831">
        <v>814622000</v>
      </c>
      <c r="AK99" s="1008"/>
      <c r="AL99" s="831"/>
      <c r="AM99" s="831"/>
      <c r="AN99" s="831"/>
      <c r="AO99" s="1008"/>
      <c r="AP99" s="831"/>
      <c r="AQ99" s="831"/>
      <c r="AR99" s="831"/>
      <c r="AS99" s="830">
        <v>4987433131</v>
      </c>
      <c r="AT99" s="831">
        <v>5768635462</v>
      </c>
      <c r="AU99" s="818">
        <v>5222850617</v>
      </c>
      <c r="AV99" s="818">
        <v>5222850617</v>
      </c>
      <c r="AW99" s="830"/>
      <c r="AX99" s="831"/>
      <c r="AY99" s="831"/>
      <c r="AZ99" s="831"/>
      <c r="BA99" s="831"/>
      <c r="BB99" s="831">
        <v>934549247</v>
      </c>
      <c r="BC99" s="831">
        <v>703809200</v>
      </c>
      <c r="BD99" s="831">
        <v>703809200</v>
      </c>
      <c r="BE99" s="830"/>
      <c r="BF99" s="831"/>
      <c r="BG99" s="818"/>
      <c r="BH99" s="818"/>
      <c r="BI99" s="830"/>
      <c r="BJ99" s="831"/>
      <c r="BK99" s="831"/>
      <c r="BL99" s="831"/>
      <c r="BM99" s="817">
        <f>+AC99+AG99+AK99+AO99+AS99+AW99+BA99+BE99+BI99</f>
        <v>6331103201</v>
      </c>
      <c r="BN99" s="818">
        <f t="shared" si="192"/>
        <v>8756854779</v>
      </c>
      <c r="BO99" s="818">
        <f t="shared" si="192"/>
        <v>6741281817</v>
      </c>
      <c r="BP99" s="818">
        <f t="shared" si="192"/>
        <v>6741281817</v>
      </c>
      <c r="BQ99" s="667"/>
      <c r="BR99" s="667"/>
      <c r="BS99" s="667"/>
      <c r="BT99" s="667"/>
      <c r="BU99" s="667">
        <v>1383252490.1000001</v>
      </c>
      <c r="BV99" s="667">
        <f>1839373900</f>
        <v>1839373900</v>
      </c>
      <c r="BW99" s="667">
        <v>1331036729</v>
      </c>
      <c r="BX99" s="667">
        <v>1284313328</v>
      </c>
      <c r="BY99" s="667"/>
      <c r="BZ99" s="667">
        <v>1400000000</v>
      </c>
      <c r="CA99" s="667">
        <f>1593371259+144291779</f>
        <v>1737663038</v>
      </c>
      <c r="CB99" s="667">
        <f>1207461782+144291779</f>
        <v>1351753561</v>
      </c>
      <c r="CC99" s="667">
        <f>1186774267+144291779</f>
        <v>1331066046</v>
      </c>
      <c r="CD99" s="667"/>
      <c r="CE99" s="667"/>
      <c r="CF99" s="961">
        <v>7520231341</v>
      </c>
      <c r="CG99" s="667">
        <v>6621047614</v>
      </c>
      <c r="CH99" s="667">
        <v>6621047614</v>
      </c>
      <c r="CI99" s="667">
        <v>233587702.31</v>
      </c>
      <c r="CJ99" s="667"/>
      <c r="CK99" s="667"/>
      <c r="CL99" s="667"/>
      <c r="CM99" s="667"/>
      <c r="CN99" s="667"/>
      <c r="CO99" s="667"/>
      <c r="CP99" s="667"/>
      <c r="CQ99" s="667"/>
      <c r="CR99" s="667">
        <f>171253920-171253920</f>
        <v>0</v>
      </c>
      <c r="CS99" s="667">
        <f>171253920-171253920</f>
        <v>0</v>
      </c>
      <c r="CT99" s="667">
        <f>171253920-171253920</f>
        <v>0</v>
      </c>
      <c r="CU99" s="667"/>
      <c r="CV99" s="667"/>
      <c r="CW99" s="667"/>
      <c r="CX99" s="667"/>
      <c r="CY99" s="667"/>
      <c r="CZ99" s="667"/>
      <c r="DA99" s="667"/>
      <c r="DB99" s="667"/>
      <c r="DC99" s="667"/>
      <c r="DD99" s="667"/>
      <c r="DE99" s="708">
        <f t="shared" si="193"/>
        <v>3016840192.4100003</v>
      </c>
      <c r="DF99" s="708">
        <f t="shared" si="193"/>
        <v>11097268279</v>
      </c>
      <c r="DG99" s="708">
        <f t="shared" si="193"/>
        <v>9303837904</v>
      </c>
      <c r="DH99" s="708">
        <f t="shared" si="193"/>
        <v>9236426988</v>
      </c>
      <c r="DI99" s="708"/>
      <c r="DJ99" s="667"/>
      <c r="DK99" s="667"/>
      <c r="DL99" s="667"/>
      <c r="DM99" s="667"/>
      <c r="DN99" s="667">
        <v>1424750064.803</v>
      </c>
      <c r="DO99" s="667">
        <f>910365528+90796581.24</f>
        <v>1001162109.24</v>
      </c>
      <c r="DP99" s="667">
        <v>521518244</v>
      </c>
      <c r="DQ99" s="667">
        <v>54339928</v>
      </c>
      <c r="DR99" s="667"/>
      <c r="DS99" s="667">
        <v>1000000000</v>
      </c>
      <c r="DT99" s="667">
        <v>282738450</v>
      </c>
      <c r="DU99" s="667">
        <v>265370200</v>
      </c>
      <c r="DV99" s="667">
        <v>265370200</v>
      </c>
      <c r="DW99" s="667"/>
      <c r="DX99" s="667"/>
      <c r="DY99" s="667">
        <f>8216499579.24-90796581.24</f>
        <v>8125702998</v>
      </c>
      <c r="DZ99" s="667">
        <v>6638642159</v>
      </c>
      <c r="EA99" s="667">
        <v>6421050738</v>
      </c>
      <c r="EB99" s="667">
        <v>240595333.3793</v>
      </c>
      <c r="EC99" s="667"/>
      <c r="ED99" s="667"/>
      <c r="EE99" s="667"/>
      <c r="EF99" s="667"/>
      <c r="EG99" s="667"/>
      <c r="EH99" s="667"/>
      <c r="EI99" s="667"/>
      <c r="EJ99" s="667"/>
      <c r="EK99" s="667"/>
      <c r="EL99" s="667"/>
      <c r="EM99" s="667"/>
      <c r="EN99" s="667"/>
      <c r="EO99" s="667"/>
      <c r="EP99" s="667"/>
      <c r="EQ99" s="667"/>
      <c r="ER99" s="667"/>
      <c r="ES99" s="667"/>
      <c r="ET99" s="667"/>
      <c r="EU99" s="667"/>
      <c r="EV99" s="667"/>
      <c r="EW99" s="708">
        <f t="shared" si="194"/>
        <v>2665345398.1823001</v>
      </c>
      <c r="EX99" s="819">
        <f t="shared" si="194"/>
        <v>9409603557.2399998</v>
      </c>
      <c r="EY99" s="819">
        <f t="shared" si="195"/>
        <v>7425530603</v>
      </c>
      <c r="EZ99" s="819">
        <f t="shared" si="195"/>
        <v>6740760866</v>
      </c>
      <c r="FA99" s="820"/>
      <c r="FB99" s="667"/>
      <c r="FC99" s="706"/>
      <c r="FD99" s="706"/>
      <c r="FE99" s="706"/>
      <c r="FF99" s="707"/>
      <c r="FG99" s="667">
        <f>1424750064.803*1.03</f>
        <v>1467492566.7470901</v>
      </c>
      <c r="FH99" s="667">
        <v>150000000</v>
      </c>
      <c r="FI99" s="667"/>
      <c r="FJ99" s="667"/>
      <c r="FK99" s="667">
        <v>462306840</v>
      </c>
      <c r="FL99" s="667">
        <v>750000000</v>
      </c>
      <c r="FM99" s="667">
        <v>285198000</v>
      </c>
      <c r="FN99" s="667">
        <v>186071976</v>
      </c>
      <c r="FO99" s="667">
        <v>93764631</v>
      </c>
      <c r="FP99" s="667"/>
      <c r="FQ99" s="667"/>
      <c r="FR99" s="667">
        <v>10577857420.24</v>
      </c>
      <c r="FS99" s="667">
        <v>7836582313</v>
      </c>
      <c r="FT99" s="667">
        <v>3183539798</v>
      </c>
      <c r="FU99" s="667">
        <v>217591421</v>
      </c>
      <c r="FV99" s="667">
        <v>247813193.38067901</v>
      </c>
      <c r="FW99" s="667"/>
      <c r="FX99" s="667"/>
      <c r="FY99" s="667"/>
      <c r="FZ99" s="667"/>
      <c r="GA99" s="667"/>
      <c r="GB99" s="667"/>
      <c r="GC99" s="667"/>
      <c r="GD99" s="667"/>
      <c r="GE99" s="667"/>
      <c r="GF99" s="667"/>
      <c r="GG99" s="667"/>
      <c r="GH99" s="667"/>
      <c r="GI99" s="667"/>
      <c r="GJ99" s="667"/>
      <c r="GK99" s="667"/>
      <c r="GL99" s="667"/>
      <c r="GM99" s="667"/>
      <c r="GN99" s="667"/>
      <c r="GO99" s="667"/>
      <c r="GP99" s="667">
        <v>2000000000</v>
      </c>
      <c r="GQ99" s="667"/>
      <c r="GR99" s="667"/>
      <c r="GS99" s="667"/>
      <c r="GT99" s="667"/>
      <c r="GU99" s="708">
        <f>FB99+FG99+FL99+FQ99+FV99+GA99+GF99+GK99+GP99</f>
        <v>4465305760.1277695</v>
      </c>
      <c r="GV99" s="708">
        <f t="shared" si="196"/>
        <v>11013055420.24</v>
      </c>
      <c r="GW99" s="708">
        <f t="shared" si="196"/>
        <v>8022654289</v>
      </c>
      <c r="GX99" s="708">
        <f t="shared" si="196"/>
        <v>3277304429</v>
      </c>
      <c r="GY99" s="709">
        <f t="shared" si="196"/>
        <v>679898261</v>
      </c>
      <c r="GZ99" s="710">
        <f>BM99+DE99+EW99+GU99</f>
        <v>16478594551.72007</v>
      </c>
    </row>
    <row r="100" spans="1:208" s="711" customFormat="1" ht="59.25" customHeight="1" x14ac:dyDescent="0.2">
      <c r="A100" s="703"/>
      <c r="B100" s="703"/>
      <c r="C100" s="715"/>
      <c r="D100" s="826"/>
      <c r="E100" s="715"/>
      <c r="F100" s="715"/>
      <c r="G100" s="684">
        <v>67</v>
      </c>
      <c r="H100" s="676" t="s">
        <v>269</v>
      </c>
      <c r="I100" s="846" t="s">
        <v>270</v>
      </c>
      <c r="J100" s="677" t="s">
        <v>266</v>
      </c>
      <c r="K100" s="677">
        <v>1</v>
      </c>
      <c r="L100" s="892" t="s">
        <v>58</v>
      </c>
      <c r="M100" s="680">
        <v>1</v>
      </c>
      <c r="N100" s="680">
        <v>1</v>
      </c>
      <c r="O100" s="621">
        <v>1</v>
      </c>
      <c r="P100" s="893">
        <v>1</v>
      </c>
      <c r="Q100" s="621">
        <v>1</v>
      </c>
      <c r="R100" s="814"/>
      <c r="S100" s="851">
        <v>1</v>
      </c>
      <c r="T100" s="621">
        <v>1</v>
      </c>
      <c r="U100" s="621"/>
      <c r="V100" s="893">
        <v>1</v>
      </c>
      <c r="W100" s="621">
        <v>1</v>
      </c>
      <c r="X100" s="892"/>
      <c r="Y100" s="639">
        <v>0.5</v>
      </c>
      <c r="Z100" s="852">
        <f>BM100/$BM$97</f>
        <v>8.6905795870728358E-2</v>
      </c>
      <c r="AA100" s="682">
        <v>4</v>
      </c>
      <c r="AB100" s="848" t="s">
        <v>114</v>
      </c>
      <c r="AC100" s="830"/>
      <c r="AD100" s="831"/>
      <c r="AE100" s="818"/>
      <c r="AF100" s="818"/>
      <c r="AG100" s="831">
        <v>1020000000</v>
      </c>
      <c r="AH100" s="831">
        <v>1020000000</v>
      </c>
      <c r="AI100" s="831">
        <v>994920199</v>
      </c>
      <c r="AJ100" s="831">
        <v>994920199</v>
      </c>
      <c r="AK100" s="830"/>
      <c r="AL100" s="831"/>
      <c r="AM100" s="831"/>
      <c r="AN100" s="831"/>
      <c r="AO100" s="830"/>
      <c r="AP100" s="831"/>
      <c r="AQ100" s="831"/>
      <c r="AR100" s="831"/>
      <c r="AS100" s="830"/>
      <c r="AT100" s="831"/>
      <c r="AU100" s="818"/>
      <c r="AV100" s="818"/>
      <c r="AW100" s="830"/>
      <c r="AX100" s="831"/>
      <c r="AY100" s="831"/>
      <c r="AZ100" s="831"/>
      <c r="BA100" s="830"/>
      <c r="BB100" s="831"/>
      <c r="BC100" s="831"/>
      <c r="BD100" s="831"/>
      <c r="BE100" s="830"/>
      <c r="BF100" s="831"/>
      <c r="BG100" s="818"/>
      <c r="BH100" s="818"/>
      <c r="BI100" s="830"/>
      <c r="BJ100" s="831"/>
      <c r="BK100" s="831"/>
      <c r="BL100" s="831"/>
      <c r="BM100" s="817">
        <f>+AC100+AG100+AK100+AO100+AS100+AW100+BA100+BE100+BI100</f>
        <v>1020000000</v>
      </c>
      <c r="BN100" s="818">
        <f t="shared" si="192"/>
        <v>1020000000</v>
      </c>
      <c r="BO100" s="818">
        <f t="shared" si="192"/>
        <v>994920199</v>
      </c>
      <c r="BP100" s="818">
        <f t="shared" si="192"/>
        <v>994920199</v>
      </c>
      <c r="BQ100" s="667"/>
      <c r="BR100" s="667"/>
      <c r="BS100" s="667"/>
      <c r="BT100" s="667"/>
      <c r="BU100" s="667">
        <v>1050600000</v>
      </c>
      <c r="BV100" s="667"/>
      <c r="BW100" s="667"/>
      <c r="BX100" s="667"/>
      <c r="BY100" s="667"/>
      <c r="BZ100" s="667"/>
      <c r="CA100" s="667">
        <v>1398986700</v>
      </c>
      <c r="CB100" s="667">
        <v>1041643900</v>
      </c>
      <c r="CC100" s="667">
        <v>994920199</v>
      </c>
      <c r="CD100" s="667"/>
      <c r="CE100" s="667"/>
      <c r="CF100" s="667"/>
      <c r="CG100" s="667"/>
      <c r="CH100" s="667"/>
      <c r="CI100" s="667"/>
      <c r="CJ100" s="667"/>
      <c r="CK100" s="667"/>
      <c r="CL100" s="667"/>
      <c r="CM100" s="667"/>
      <c r="CN100" s="667"/>
      <c r="CO100" s="667"/>
      <c r="CP100" s="667"/>
      <c r="CQ100" s="667"/>
      <c r="CR100" s="667"/>
      <c r="CS100" s="667"/>
      <c r="CT100" s="667"/>
      <c r="CU100" s="667"/>
      <c r="CV100" s="667"/>
      <c r="CW100" s="667"/>
      <c r="CX100" s="667"/>
      <c r="CY100" s="667"/>
      <c r="CZ100" s="667"/>
      <c r="DA100" s="667"/>
      <c r="DB100" s="667"/>
      <c r="DC100" s="667"/>
      <c r="DD100" s="667"/>
      <c r="DE100" s="708">
        <f t="shared" si="193"/>
        <v>1050600000</v>
      </c>
      <c r="DF100" s="708">
        <f t="shared" si="193"/>
        <v>1398986700</v>
      </c>
      <c r="DG100" s="708">
        <f t="shared" si="193"/>
        <v>1041643900</v>
      </c>
      <c r="DH100" s="708">
        <f t="shared" si="193"/>
        <v>994920199</v>
      </c>
      <c r="DI100" s="708"/>
      <c r="DJ100" s="667"/>
      <c r="DK100" s="667"/>
      <c r="DL100" s="667"/>
      <c r="DM100" s="667"/>
      <c r="DN100" s="667">
        <f>1050600000*1.03</f>
        <v>1082118000</v>
      </c>
      <c r="DO100" s="667"/>
      <c r="DP100" s="667"/>
      <c r="DQ100" s="667"/>
      <c r="DR100" s="667"/>
      <c r="DS100" s="667"/>
      <c r="DT100" s="667">
        <v>900000000</v>
      </c>
      <c r="DU100" s="667">
        <v>894509456</v>
      </c>
      <c r="DV100" s="667">
        <v>894509456</v>
      </c>
      <c r="DW100" s="667"/>
      <c r="DX100" s="667"/>
      <c r="DY100" s="667">
        <v>190800000</v>
      </c>
      <c r="DZ100" s="667">
        <v>87000000</v>
      </c>
      <c r="EA100" s="667">
        <v>87000000</v>
      </c>
      <c r="EB100" s="667"/>
      <c r="EC100" s="667"/>
      <c r="ED100" s="667"/>
      <c r="EE100" s="667"/>
      <c r="EF100" s="667"/>
      <c r="EG100" s="667"/>
      <c r="EH100" s="667"/>
      <c r="EI100" s="667"/>
      <c r="EJ100" s="667"/>
      <c r="EK100" s="667"/>
      <c r="EL100" s="667"/>
      <c r="EM100" s="667"/>
      <c r="EN100" s="667"/>
      <c r="EO100" s="667"/>
      <c r="EP100" s="667"/>
      <c r="EQ100" s="667"/>
      <c r="ER100" s="667"/>
      <c r="ES100" s="667"/>
      <c r="ET100" s="667"/>
      <c r="EU100" s="667"/>
      <c r="EV100" s="667"/>
      <c r="EW100" s="708">
        <f t="shared" si="194"/>
        <v>1082118000</v>
      </c>
      <c r="EX100" s="819">
        <f t="shared" si="194"/>
        <v>1090800000</v>
      </c>
      <c r="EY100" s="819">
        <f t="shared" si="195"/>
        <v>981509456</v>
      </c>
      <c r="EZ100" s="819">
        <f t="shared" si="195"/>
        <v>981509456</v>
      </c>
      <c r="FA100" s="820"/>
      <c r="FB100" s="667"/>
      <c r="FC100" s="706"/>
      <c r="FD100" s="706"/>
      <c r="FE100" s="706"/>
      <c r="FF100" s="707"/>
      <c r="FG100" s="667">
        <f>1082118000*1.03</f>
        <v>1114581540</v>
      </c>
      <c r="FH100" s="667">
        <v>481355304</v>
      </c>
      <c r="FI100" s="667">
        <v>481355304</v>
      </c>
      <c r="FJ100" s="667"/>
      <c r="FK100" s="667"/>
      <c r="FL100" s="667"/>
      <c r="FM100" s="667">
        <v>618644696</v>
      </c>
      <c r="FN100" s="667">
        <v>618644696</v>
      </c>
      <c r="FO100" s="667"/>
      <c r="FP100" s="667"/>
      <c r="FQ100" s="667"/>
      <c r="FR100" s="667">
        <v>200000000</v>
      </c>
      <c r="FS100" s="667">
        <v>100000000</v>
      </c>
      <c r="FT100" s="667"/>
      <c r="FU100" s="667"/>
      <c r="FV100" s="667"/>
      <c r="FW100" s="667"/>
      <c r="FX100" s="667"/>
      <c r="FY100" s="667"/>
      <c r="FZ100" s="667"/>
      <c r="GA100" s="667"/>
      <c r="GB100" s="667"/>
      <c r="GC100" s="667"/>
      <c r="GD100" s="667"/>
      <c r="GE100" s="667"/>
      <c r="GF100" s="667"/>
      <c r="GG100" s="667"/>
      <c r="GH100" s="667"/>
      <c r="GI100" s="667"/>
      <c r="GJ100" s="667"/>
      <c r="GK100" s="667"/>
      <c r="GL100" s="667"/>
      <c r="GM100" s="667"/>
      <c r="GN100" s="667"/>
      <c r="GO100" s="667"/>
      <c r="GP100" s="667"/>
      <c r="GQ100" s="667"/>
      <c r="GR100" s="667"/>
      <c r="GS100" s="667"/>
      <c r="GT100" s="667"/>
      <c r="GU100" s="708">
        <f>FB100+FG100+FL100+FQ100+FV100+GA100+GF100+GK100+GP100</f>
        <v>1114581540</v>
      </c>
      <c r="GV100" s="708">
        <f t="shared" si="196"/>
        <v>1300000000</v>
      </c>
      <c r="GW100" s="708">
        <f t="shared" si="196"/>
        <v>1200000000</v>
      </c>
      <c r="GX100" s="708">
        <f t="shared" si="196"/>
        <v>0</v>
      </c>
      <c r="GY100" s="709">
        <f t="shared" si="196"/>
        <v>0</v>
      </c>
      <c r="GZ100" s="710">
        <f>BM100+DE100+EW100+GU100</f>
        <v>4267299540</v>
      </c>
    </row>
    <row r="101" spans="1:208" ht="24.75" customHeight="1" x14ac:dyDescent="0.2">
      <c r="A101" s="326"/>
      <c r="B101" s="326"/>
      <c r="C101" s="246">
        <v>17</v>
      </c>
      <c r="D101" s="247" t="s">
        <v>271</v>
      </c>
      <c r="E101" s="248"/>
      <c r="F101" s="247"/>
      <c r="G101" s="246"/>
      <c r="H101" s="246"/>
      <c r="I101" s="246"/>
      <c r="J101" s="246"/>
      <c r="K101" s="246"/>
      <c r="L101" s="246"/>
      <c r="M101" s="246"/>
      <c r="N101" s="246"/>
      <c r="O101" s="246"/>
      <c r="P101" s="246"/>
      <c r="Q101" s="246"/>
      <c r="R101" s="246"/>
      <c r="S101" s="246"/>
      <c r="T101" s="246"/>
      <c r="U101" s="246"/>
      <c r="V101" s="246"/>
      <c r="W101" s="246"/>
      <c r="X101" s="246"/>
      <c r="Y101" s="625"/>
      <c r="Z101" s="246"/>
      <c r="AA101" s="246"/>
      <c r="AB101" s="246"/>
      <c r="AC101" s="51">
        <f t="shared" ref="AC101:BL101" si="197">SUM(AC102:AC107)</f>
        <v>0</v>
      </c>
      <c r="AD101" s="51">
        <f t="shared" si="197"/>
        <v>0</v>
      </c>
      <c r="AE101" s="51">
        <f t="shared" si="197"/>
        <v>0</v>
      </c>
      <c r="AF101" s="51">
        <f t="shared" si="197"/>
        <v>0</v>
      </c>
      <c r="AG101" s="51">
        <f t="shared" si="197"/>
        <v>0</v>
      </c>
      <c r="AH101" s="51">
        <f t="shared" si="197"/>
        <v>0</v>
      </c>
      <c r="AI101" s="51">
        <f t="shared" si="197"/>
        <v>0</v>
      </c>
      <c r="AJ101" s="51">
        <f t="shared" si="197"/>
        <v>0</v>
      </c>
      <c r="AK101" s="51">
        <f t="shared" si="197"/>
        <v>50000000</v>
      </c>
      <c r="AL101" s="51">
        <f t="shared" si="197"/>
        <v>50000000</v>
      </c>
      <c r="AM101" s="51">
        <f t="shared" si="197"/>
        <v>47986000</v>
      </c>
      <c r="AN101" s="51">
        <f t="shared" si="197"/>
        <v>7986000</v>
      </c>
      <c r="AO101" s="51">
        <f t="shared" si="197"/>
        <v>0</v>
      </c>
      <c r="AP101" s="51">
        <f t="shared" si="197"/>
        <v>0</v>
      </c>
      <c r="AQ101" s="51">
        <f t="shared" si="197"/>
        <v>0</v>
      </c>
      <c r="AR101" s="51">
        <f t="shared" si="197"/>
        <v>0</v>
      </c>
      <c r="AS101" s="51">
        <f t="shared" si="197"/>
        <v>0</v>
      </c>
      <c r="AT101" s="51">
        <f t="shared" si="197"/>
        <v>0</v>
      </c>
      <c r="AU101" s="51">
        <f t="shared" si="197"/>
        <v>0</v>
      </c>
      <c r="AV101" s="51">
        <f t="shared" si="197"/>
        <v>0</v>
      </c>
      <c r="AW101" s="51">
        <f t="shared" si="197"/>
        <v>0</v>
      </c>
      <c r="AX101" s="51">
        <f t="shared" si="197"/>
        <v>0</v>
      </c>
      <c r="AY101" s="51">
        <f t="shared" si="197"/>
        <v>0</v>
      </c>
      <c r="AZ101" s="51">
        <f t="shared" si="197"/>
        <v>0</v>
      </c>
      <c r="BA101" s="51">
        <f t="shared" si="197"/>
        <v>1100000000</v>
      </c>
      <c r="BB101" s="51">
        <f t="shared" si="197"/>
        <v>1097002022</v>
      </c>
      <c r="BC101" s="51">
        <f t="shared" si="197"/>
        <v>974131283</v>
      </c>
      <c r="BD101" s="51">
        <f t="shared" si="197"/>
        <v>531331283</v>
      </c>
      <c r="BE101" s="51">
        <f t="shared" si="197"/>
        <v>0</v>
      </c>
      <c r="BF101" s="51">
        <f t="shared" si="197"/>
        <v>0</v>
      </c>
      <c r="BG101" s="51">
        <f t="shared" si="197"/>
        <v>0</v>
      </c>
      <c r="BH101" s="51">
        <f t="shared" si="197"/>
        <v>0</v>
      </c>
      <c r="BI101" s="51">
        <f t="shared" si="197"/>
        <v>0</v>
      </c>
      <c r="BJ101" s="51">
        <f t="shared" si="197"/>
        <v>0</v>
      </c>
      <c r="BK101" s="51">
        <f t="shared" si="197"/>
        <v>0</v>
      </c>
      <c r="BL101" s="51">
        <f t="shared" si="197"/>
        <v>0</v>
      </c>
      <c r="BM101" s="51">
        <f t="shared" ref="BM101:DX101" si="198">SUM(BM102:BM107)</f>
        <v>1150000000</v>
      </c>
      <c r="BN101" s="51">
        <f t="shared" si="198"/>
        <v>1147002022</v>
      </c>
      <c r="BO101" s="51">
        <f t="shared" si="198"/>
        <v>1022117283</v>
      </c>
      <c r="BP101" s="51">
        <f t="shared" si="198"/>
        <v>539317283</v>
      </c>
      <c r="BQ101" s="51">
        <f t="shared" si="198"/>
        <v>0</v>
      </c>
      <c r="BR101" s="51">
        <f t="shared" si="198"/>
        <v>0</v>
      </c>
      <c r="BS101" s="51">
        <f t="shared" si="198"/>
        <v>0</v>
      </c>
      <c r="BT101" s="51">
        <f t="shared" si="198"/>
        <v>0</v>
      </c>
      <c r="BU101" s="51">
        <f t="shared" si="198"/>
        <v>0</v>
      </c>
      <c r="BV101" s="51">
        <f t="shared" si="198"/>
        <v>0</v>
      </c>
      <c r="BW101" s="51">
        <f t="shared" si="198"/>
        <v>0</v>
      </c>
      <c r="BX101" s="51">
        <f t="shared" si="198"/>
        <v>0</v>
      </c>
      <c r="BY101" s="51">
        <f t="shared" si="198"/>
        <v>0</v>
      </c>
      <c r="BZ101" s="51">
        <f t="shared" si="198"/>
        <v>50000000</v>
      </c>
      <c r="CA101" s="51">
        <f t="shared" si="198"/>
        <v>40000000</v>
      </c>
      <c r="CB101" s="51">
        <f t="shared" si="198"/>
        <v>0</v>
      </c>
      <c r="CC101" s="51">
        <f t="shared" si="198"/>
        <v>0</v>
      </c>
      <c r="CD101" s="51">
        <f t="shared" si="198"/>
        <v>40000000</v>
      </c>
      <c r="CE101" s="51">
        <f t="shared" si="198"/>
        <v>0</v>
      </c>
      <c r="CF101" s="51">
        <f t="shared" si="198"/>
        <v>0</v>
      </c>
      <c r="CG101" s="51">
        <f t="shared" si="198"/>
        <v>0</v>
      </c>
      <c r="CH101" s="51">
        <f t="shared" si="198"/>
        <v>0</v>
      </c>
      <c r="CI101" s="51">
        <f t="shared" si="198"/>
        <v>0</v>
      </c>
      <c r="CJ101" s="51">
        <f t="shared" si="198"/>
        <v>0</v>
      </c>
      <c r="CK101" s="51">
        <f t="shared" si="198"/>
        <v>0</v>
      </c>
      <c r="CL101" s="51">
        <f t="shared" si="198"/>
        <v>0</v>
      </c>
      <c r="CM101" s="51">
        <f t="shared" si="198"/>
        <v>0</v>
      </c>
      <c r="CN101" s="51">
        <f t="shared" si="198"/>
        <v>0</v>
      </c>
      <c r="CO101" s="51">
        <f t="shared" si="198"/>
        <v>0</v>
      </c>
      <c r="CP101" s="51">
        <f t="shared" si="198"/>
        <v>0</v>
      </c>
      <c r="CQ101" s="51">
        <f t="shared" si="198"/>
        <v>1133000000</v>
      </c>
      <c r="CR101" s="51">
        <f t="shared" si="198"/>
        <v>1341180171</v>
      </c>
      <c r="CS101" s="51">
        <f t="shared" si="198"/>
        <v>976986480</v>
      </c>
      <c r="CT101" s="51">
        <f t="shared" si="198"/>
        <v>976986480</v>
      </c>
      <c r="CU101" s="51">
        <f t="shared" si="198"/>
        <v>0</v>
      </c>
      <c r="CV101" s="51">
        <f t="shared" si="198"/>
        <v>0</v>
      </c>
      <c r="CW101" s="51">
        <f t="shared" si="198"/>
        <v>0</v>
      </c>
      <c r="CX101" s="51">
        <f t="shared" si="198"/>
        <v>0</v>
      </c>
      <c r="CY101" s="51">
        <f t="shared" si="198"/>
        <v>0</v>
      </c>
      <c r="CZ101" s="51">
        <f t="shared" si="198"/>
        <v>0</v>
      </c>
      <c r="DA101" s="51">
        <f t="shared" si="198"/>
        <v>0</v>
      </c>
      <c r="DB101" s="51">
        <f t="shared" si="198"/>
        <v>0</v>
      </c>
      <c r="DC101" s="51">
        <f t="shared" si="198"/>
        <v>0</v>
      </c>
      <c r="DD101" s="51">
        <f t="shared" si="198"/>
        <v>0</v>
      </c>
      <c r="DE101" s="51">
        <f t="shared" si="198"/>
        <v>1183000000</v>
      </c>
      <c r="DF101" s="51">
        <f t="shared" si="198"/>
        <v>1381180171</v>
      </c>
      <c r="DG101" s="51">
        <f t="shared" si="198"/>
        <v>976986480</v>
      </c>
      <c r="DH101" s="51">
        <f t="shared" si="198"/>
        <v>976986480</v>
      </c>
      <c r="DI101" s="51">
        <f t="shared" si="198"/>
        <v>40000000</v>
      </c>
      <c r="DJ101" s="51">
        <f t="shared" si="198"/>
        <v>0</v>
      </c>
      <c r="DK101" s="51">
        <f t="shared" si="198"/>
        <v>0</v>
      </c>
      <c r="DL101" s="51">
        <f t="shared" si="198"/>
        <v>0</v>
      </c>
      <c r="DM101" s="51">
        <f t="shared" si="198"/>
        <v>0</v>
      </c>
      <c r="DN101" s="51">
        <f t="shared" si="198"/>
        <v>0</v>
      </c>
      <c r="DO101" s="51">
        <f t="shared" si="198"/>
        <v>0</v>
      </c>
      <c r="DP101" s="51">
        <f t="shared" si="198"/>
        <v>0</v>
      </c>
      <c r="DQ101" s="51">
        <f t="shared" si="198"/>
        <v>0</v>
      </c>
      <c r="DR101" s="51">
        <f t="shared" si="198"/>
        <v>0</v>
      </c>
      <c r="DS101" s="51">
        <f t="shared" si="198"/>
        <v>15000000</v>
      </c>
      <c r="DT101" s="51">
        <f t="shared" si="198"/>
        <v>36000000</v>
      </c>
      <c r="DU101" s="51">
        <f t="shared" si="198"/>
        <v>2675000</v>
      </c>
      <c r="DV101" s="51">
        <f t="shared" si="198"/>
        <v>2675000</v>
      </c>
      <c r="DW101" s="51">
        <f t="shared" si="198"/>
        <v>0</v>
      </c>
      <c r="DX101" s="51">
        <f t="shared" si="198"/>
        <v>0</v>
      </c>
      <c r="DY101" s="51">
        <f t="shared" ref="DY101:EW101" si="199">SUM(DY102:DY107)</f>
        <v>0</v>
      </c>
      <c r="DZ101" s="51">
        <f t="shared" si="199"/>
        <v>0</v>
      </c>
      <c r="EA101" s="51">
        <f t="shared" si="199"/>
        <v>0</v>
      </c>
      <c r="EB101" s="51">
        <f t="shared" si="199"/>
        <v>0</v>
      </c>
      <c r="EC101" s="51">
        <f t="shared" si="199"/>
        <v>0</v>
      </c>
      <c r="ED101" s="51">
        <f t="shared" si="199"/>
        <v>0</v>
      </c>
      <c r="EE101" s="51">
        <f t="shared" si="199"/>
        <v>0</v>
      </c>
      <c r="EF101" s="51">
        <f t="shared" si="199"/>
        <v>0</v>
      </c>
      <c r="EG101" s="51">
        <f t="shared" si="199"/>
        <v>0</v>
      </c>
      <c r="EH101" s="51">
        <f t="shared" si="199"/>
        <v>0</v>
      </c>
      <c r="EI101" s="51">
        <f t="shared" si="199"/>
        <v>0</v>
      </c>
      <c r="EJ101" s="51">
        <f t="shared" si="199"/>
        <v>1166990000</v>
      </c>
      <c r="EK101" s="51">
        <f t="shared" si="199"/>
        <v>1396631487</v>
      </c>
      <c r="EL101" s="51">
        <f t="shared" si="199"/>
        <v>945212500</v>
      </c>
      <c r="EM101" s="51">
        <f t="shared" si="199"/>
        <v>945212500</v>
      </c>
      <c r="EN101" s="51">
        <f t="shared" si="199"/>
        <v>0</v>
      </c>
      <c r="EO101" s="51">
        <f t="shared" si="199"/>
        <v>0</v>
      </c>
      <c r="EP101" s="51">
        <f t="shared" si="199"/>
        <v>0</v>
      </c>
      <c r="EQ101" s="51">
        <f t="shared" si="199"/>
        <v>0</v>
      </c>
      <c r="ER101" s="51">
        <f t="shared" si="199"/>
        <v>0</v>
      </c>
      <c r="ES101" s="51">
        <f t="shared" si="199"/>
        <v>0</v>
      </c>
      <c r="ET101" s="51">
        <f t="shared" si="199"/>
        <v>0</v>
      </c>
      <c r="EU101" s="51">
        <f t="shared" si="199"/>
        <v>0</v>
      </c>
      <c r="EV101" s="51">
        <f t="shared" si="199"/>
        <v>0</v>
      </c>
      <c r="EW101" s="51">
        <f t="shared" si="199"/>
        <v>1181990000</v>
      </c>
      <c r="EX101" s="51">
        <f t="shared" ref="EX101:GZ101" si="200">SUM(EX102:EX107)</f>
        <v>1432631487</v>
      </c>
      <c r="EY101" s="51">
        <f t="shared" si="200"/>
        <v>947887500</v>
      </c>
      <c r="EZ101" s="51">
        <f t="shared" si="200"/>
        <v>947887500</v>
      </c>
      <c r="FA101" s="51">
        <f t="shared" si="200"/>
        <v>0</v>
      </c>
      <c r="FB101" s="602">
        <f t="shared" si="200"/>
        <v>0</v>
      </c>
      <c r="FC101" s="51">
        <f t="shared" si="200"/>
        <v>0</v>
      </c>
      <c r="FD101" s="51">
        <f t="shared" si="200"/>
        <v>0</v>
      </c>
      <c r="FE101" s="51">
        <f t="shared" si="200"/>
        <v>0</v>
      </c>
      <c r="FF101" s="51">
        <f t="shared" si="200"/>
        <v>0</v>
      </c>
      <c r="FG101" s="51">
        <f t="shared" si="200"/>
        <v>0</v>
      </c>
      <c r="FH101" s="51">
        <f t="shared" si="200"/>
        <v>20000000</v>
      </c>
      <c r="FI101" s="51">
        <f t="shared" si="200"/>
        <v>4402500</v>
      </c>
      <c r="FJ101" s="51">
        <f t="shared" si="200"/>
        <v>2935000</v>
      </c>
      <c r="FK101" s="51">
        <f t="shared" si="200"/>
        <v>0</v>
      </c>
      <c r="FL101" s="51">
        <f t="shared" si="200"/>
        <v>15000000</v>
      </c>
      <c r="FM101" s="51">
        <f t="shared" si="200"/>
        <v>25000000</v>
      </c>
      <c r="FN101" s="51">
        <f t="shared" si="200"/>
        <v>8805000</v>
      </c>
      <c r="FO101" s="51">
        <f t="shared" si="200"/>
        <v>8805000</v>
      </c>
      <c r="FP101" s="51">
        <f t="shared" si="200"/>
        <v>0</v>
      </c>
      <c r="FQ101" s="51">
        <f t="shared" si="200"/>
        <v>0</v>
      </c>
      <c r="FR101" s="51">
        <f t="shared" si="200"/>
        <v>0</v>
      </c>
      <c r="FS101" s="51">
        <f t="shared" si="200"/>
        <v>0</v>
      </c>
      <c r="FT101" s="51">
        <f t="shared" si="200"/>
        <v>0</v>
      </c>
      <c r="FU101" s="51">
        <f t="shared" si="200"/>
        <v>0</v>
      </c>
      <c r="FV101" s="51">
        <f t="shared" si="200"/>
        <v>0</v>
      </c>
      <c r="FW101" s="51">
        <f t="shared" si="200"/>
        <v>0</v>
      </c>
      <c r="FX101" s="51">
        <f t="shared" si="200"/>
        <v>0</v>
      </c>
      <c r="FY101" s="51">
        <f t="shared" si="200"/>
        <v>0</v>
      </c>
      <c r="FZ101" s="51">
        <f t="shared" si="200"/>
        <v>0</v>
      </c>
      <c r="GA101" s="51">
        <f t="shared" si="200"/>
        <v>0</v>
      </c>
      <c r="GB101" s="51">
        <f t="shared" si="200"/>
        <v>0</v>
      </c>
      <c r="GC101" s="51">
        <f t="shared" si="200"/>
        <v>0</v>
      </c>
      <c r="GD101" s="51">
        <f t="shared" si="200"/>
        <v>0</v>
      </c>
      <c r="GE101" s="51">
        <f t="shared" si="200"/>
        <v>0</v>
      </c>
      <c r="GF101" s="51">
        <f t="shared" si="200"/>
        <v>1201999699.9952176</v>
      </c>
      <c r="GG101" s="51">
        <f t="shared" si="200"/>
        <v>1557291242</v>
      </c>
      <c r="GH101" s="51">
        <f t="shared" si="200"/>
        <v>1011580689</v>
      </c>
      <c r="GI101" s="51">
        <f t="shared" si="200"/>
        <v>15900000</v>
      </c>
      <c r="GJ101" s="51">
        <f t="shared" si="200"/>
        <v>0</v>
      </c>
      <c r="GK101" s="51">
        <f t="shared" si="200"/>
        <v>0</v>
      </c>
      <c r="GL101" s="51">
        <f t="shared" si="200"/>
        <v>0</v>
      </c>
      <c r="GM101" s="51">
        <f t="shared" si="200"/>
        <v>0</v>
      </c>
      <c r="GN101" s="51">
        <f t="shared" si="200"/>
        <v>0</v>
      </c>
      <c r="GO101" s="51">
        <f t="shared" si="200"/>
        <v>0</v>
      </c>
      <c r="GP101" s="51">
        <f t="shared" si="200"/>
        <v>0</v>
      </c>
      <c r="GQ101" s="51">
        <f t="shared" si="200"/>
        <v>0</v>
      </c>
      <c r="GR101" s="51">
        <f t="shared" si="200"/>
        <v>0</v>
      </c>
      <c r="GS101" s="51">
        <f t="shared" si="200"/>
        <v>0</v>
      </c>
      <c r="GT101" s="51">
        <f t="shared" si="200"/>
        <v>0</v>
      </c>
      <c r="GU101" s="51">
        <f t="shared" si="200"/>
        <v>1216999699.9952176</v>
      </c>
      <c r="GV101" s="51">
        <f t="shared" si="200"/>
        <v>1602291242</v>
      </c>
      <c r="GW101" s="51">
        <f t="shared" si="200"/>
        <v>1024788189</v>
      </c>
      <c r="GX101" s="51">
        <f t="shared" si="200"/>
        <v>27640000</v>
      </c>
      <c r="GY101" s="51">
        <f t="shared" si="200"/>
        <v>0</v>
      </c>
      <c r="GZ101" s="51">
        <f t="shared" si="200"/>
        <v>4731989699.9952173</v>
      </c>
    </row>
    <row r="102" spans="1:208" ht="96.75" customHeight="1" x14ac:dyDescent="0.2">
      <c r="A102" s="326"/>
      <c r="B102" s="326"/>
      <c r="C102" s="288">
        <v>15</v>
      </c>
      <c r="D102" s="258" t="s">
        <v>261</v>
      </c>
      <c r="E102" s="259" t="s">
        <v>262</v>
      </c>
      <c r="F102" s="374" t="s">
        <v>263</v>
      </c>
      <c r="G102" s="260">
        <v>68</v>
      </c>
      <c r="H102" s="359" t="s">
        <v>272</v>
      </c>
      <c r="I102" s="359" t="s">
        <v>273</v>
      </c>
      <c r="J102" s="386" t="s">
        <v>266</v>
      </c>
      <c r="K102" s="386">
        <v>1</v>
      </c>
      <c r="L102" s="391" t="s">
        <v>58</v>
      </c>
      <c r="M102" s="265">
        <v>4357</v>
      </c>
      <c r="N102" s="265">
        <v>4500</v>
      </c>
      <c r="O102" s="392">
        <v>4500</v>
      </c>
      <c r="P102" s="393">
        <v>4453</v>
      </c>
      <c r="Q102" s="392">
        <v>4500</v>
      </c>
      <c r="R102" s="268"/>
      <c r="S102" s="394">
        <v>3732</v>
      </c>
      <c r="T102" s="392">
        <v>4500</v>
      </c>
      <c r="U102" s="392"/>
      <c r="V102" s="393">
        <v>3816</v>
      </c>
      <c r="W102" s="392">
        <v>4500</v>
      </c>
      <c r="X102" s="391"/>
      <c r="Y102" s="632">
        <v>3182</v>
      </c>
      <c r="Z102" s="390">
        <f t="shared" ref="Z102:Z107" si="201">BM102/$BM$101</f>
        <v>8.6956521739130436E-3</v>
      </c>
      <c r="AA102" s="265">
        <v>4</v>
      </c>
      <c r="AB102" s="327" t="s">
        <v>114</v>
      </c>
      <c r="AC102" s="56"/>
      <c r="AD102" s="55"/>
      <c r="AE102" s="54"/>
      <c r="AF102" s="54"/>
      <c r="AG102" s="56"/>
      <c r="AH102" s="55"/>
      <c r="AI102" s="55"/>
      <c r="AJ102" s="55"/>
      <c r="AK102" s="57">
        <v>10000000</v>
      </c>
      <c r="AL102" s="58">
        <v>0</v>
      </c>
      <c r="AM102" s="58"/>
      <c r="AN102" s="58"/>
      <c r="AO102" s="57"/>
      <c r="AP102" s="58"/>
      <c r="AQ102" s="58"/>
      <c r="AR102" s="55"/>
      <c r="AS102" s="56"/>
      <c r="AT102" s="55"/>
      <c r="AU102" s="54"/>
      <c r="AV102" s="54"/>
      <c r="AW102" s="56"/>
      <c r="AX102" s="55"/>
      <c r="AY102" s="55"/>
      <c r="AZ102" s="55"/>
      <c r="BA102" s="56"/>
      <c r="BB102" s="55"/>
      <c r="BC102" s="55"/>
      <c r="BD102" s="55"/>
      <c r="BE102" s="56"/>
      <c r="BF102" s="55"/>
      <c r="BG102" s="54"/>
      <c r="BH102" s="54"/>
      <c r="BI102" s="56"/>
      <c r="BJ102" s="55"/>
      <c r="BK102" s="55"/>
      <c r="BL102" s="55"/>
      <c r="BM102" s="53">
        <f t="shared" ref="BM102:BM107" si="202">+AC102+AG102+AK102+AO102+AS102+AW102+BA102+BE102+BI102</f>
        <v>10000000</v>
      </c>
      <c r="BN102" s="54">
        <f t="shared" ref="BN102:BP107" si="203">AD102+AH102+AL102+AP102+AT102+AX102+BB102+BF102+BJ102</f>
        <v>0</v>
      </c>
      <c r="BO102" s="54">
        <f t="shared" si="203"/>
        <v>0</v>
      </c>
      <c r="BP102" s="54">
        <f t="shared" si="203"/>
        <v>0</v>
      </c>
      <c r="BQ102" s="83"/>
      <c r="BR102" s="83"/>
      <c r="BS102" s="83"/>
      <c r="BT102" s="83"/>
      <c r="BU102" s="83"/>
      <c r="BV102" s="83"/>
      <c r="BW102" s="83"/>
      <c r="BX102" s="83"/>
      <c r="BY102" s="83"/>
      <c r="BZ102" s="83">
        <v>10000000</v>
      </c>
      <c r="CA102" s="83">
        <v>10000000</v>
      </c>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1">
        <f t="shared" ref="DE102:DE107" si="204">BQ102+BU102+BZ102+CE102+CI102+CM102+CQ102+CV102+DA102</f>
        <v>10000000</v>
      </c>
      <c r="DF102" s="81">
        <f t="shared" ref="DF102:DH107" si="205">BR102+BV102+CA102+CF102+CJ102+CN102+CR102+CW102+DB102</f>
        <v>10000000</v>
      </c>
      <c r="DG102" s="81">
        <f t="shared" si="205"/>
        <v>0</v>
      </c>
      <c r="DH102" s="81">
        <f t="shared" si="205"/>
        <v>0</v>
      </c>
      <c r="DI102" s="81"/>
      <c r="DJ102" s="83"/>
      <c r="DK102" s="82"/>
      <c r="DL102" s="83"/>
      <c r="DM102" s="83"/>
      <c r="DN102" s="83"/>
      <c r="DO102" s="83"/>
      <c r="DP102" s="83"/>
      <c r="DQ102" s="83"/>
      <c r="DR102" s="83"/>
      <c r="DS102" s="83">
        <v>4000000</v>
      </c>
      <c r="DT102" s="83">
        <v>7200000</v>
      </c>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1">
        <f t="shared" ref="EW102:EX107" si="206">DJ102+DN102+DS102+DX102+EB102+EF102+EJ102+EN102+ES102</f>
        <v>4000000</v>
      </c>
      <c r="EX102" s="86">
        <f t="shared" si="206"/>
        <v>7200000</v>
      </c>
      <c r="EY102" s="86">
        <f t="shared" ref="EY102:EZ107" si="207">DL102+DP102+DU102+DZ102+ED102+EH102+EL102+EP102+EU102</f>
        <v>0</v>
      </c>
      <c r="EZ102" s="86">
        <f t="shared" si="207"/>
        <v>0</v>
      </c>
      <c r="FA102" s="176"/>
      <c r="FB102" s="83"/>
      <c r="FC102" s="84"/>
      <c r="FD102" s="84"/>
      <c r="FE102" s="84"/>
      <c r="FF102" s="140"/>
      <c r="FG102" s="83"/>
      <c r="FH102" s="83">
        <v>20000000</v>
      </c>
      <c r="FI102" s="83">
        <v>4402500</v>
      </c>
      <c r="FJ102" s="83">
        <v>2935000</v>
      </c>
      <c r="FK102" s="83"/>
      <c r="FL102" s="83">
        <v>10550000</v>
      </c>
      <c r="FM102" s="83">
        <v>5000000</v>
      </c>
      <c r="FN102" s="83">
        <v>4405000</v>
      </c>
      <c r="FO102" s="83">
        <v>4405000</v>
      </c>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1">
        <f t="shared" ref="GU102:GU107" si="208">FB102+FG102+FL102+FQ102+FV102+GA102+GF102+GK102+GP102</f>
        <v>10550000</v>
      </c>
      <c r="GV102" s="81">
        <f t="shared" ref="GV102:GY107" si="209">GQ102+GL102+GG102+GB102+FW102+FR102+FM102+FH102+FC102</f>
        <v>25000000</v>
      </c>
      <c r="GW102" s="81">
        <f t="shared" si="209"/>
        <v>8807500</v>
      </c>
      <c r="GX102" s="81">
        <f t="shared" si="209"/>
        <v>7340000</v>
      </c>
      <c r="GY102" s="673">
        <f t="shared" si="209"/>
        <v>0</v>
      </c>
      <c r="GZ102" s="67">
        <f t="shared" ref="GZ102:GZ107" si="210">BM102+DE102+EW102+GU102</f>
        <v>34550000</v>
      </c>
    </row>
    <row r="103" spans="1:208" ht="96.75" customHeight="1" x14ac:dyDescent="0.2">
      <c r="A103" s="326"/>
      <c r="B103" s="326"/>
      <c r="C103" s="288">
        <v>14</v>
      </c>
      <c r="D103" s="258" t="s">
        <v>274</v>
      </c>
      <c r="E103" s="284" t="s">
        <v>275</v>
      </c>
      <c r="F103" s="395">
        <v>0.03</v>
      </c>
      <c r="G103" s="260">
        <v>69</v>
      </c>
      <c r="H103" s="261" t="s">
        <v>276</v>
      </c>
      <c r="I103" s="359" t="s">
        <v>277</v>
      </c>
      <c r="J103" s="386" t="s">
        <v>266</v>
      </c>
      <c r="K103" s="386">
        <v>1</v>
      </c>
      <c r="L103" s="391" t="s">
        <v>58</v>
      </c>
      <c r="M103" s="265" t="s">
        <v>53</v>
      </c>
      <c r="N103" s="265">
        <v>1</v>
      </c>
      <c r="O103" s="392">
        <v>1</v>
      </c>
      <c r="P103" s="393">
        <v>1</v>
      </c>
      <c r="Q103" s="392">
        <v>1</v>
      </c>
      <c r="R103" s="268"/>
      <c r="S103" s="396">
        <v>1</v>
      </c>
      <c r="T103" s="392">
        <v>1</v>
      </c>
      <c r="U103" s="392"/>
      <c r="V103" s="393">
        <v>1</v>
      </c>
      <c r="W103" s="392">
        <v>1</v>
      </c>
      <c r="X103" s="391"/>
      <c r="Y103" s="633">
        <v>0.5</v>
      </c>
      <c r="Z103" s="390">
        <f t="shared" si="201"/>
        <v>8.6956521739130436E-3</v>
      </c>
      <c r="AA103" s="265">
        <v>4</v>
      </c>
      <c r="AB103" s="327" t="s">
        <v>114</v>
      </c>
      <c r="AC103" s="56"/>
      <c r="AD103" s="55"/>
      <c r="AE103" s="54"/>
      <c r="AF103" s="54"/>
      <c r="AG103" s="56"/>
      <c r="AH103" s="55"/>
      <c r="AI103" s="55"/>
      <c r="AJ103" s="55"/>
      <c r="AK103" s="57">
        <v>10000000</v>
      </c>
      <c r="AL103" s="58">
        <v>0</v>
      </c>
      <c r="AM103" s="58"/>
      <c r="AN103" s="58"/>
      <c r="AO103" s="57"/>
      <c r="AP103" s="58"/>
      <c r="AQ103" s="58"/>
      <c r="AR103" s="55"/>
      <c r="AS103" s="56"/>
      <c r="AT103" s="55"/>
      <c r="AU103" s="54"/>
      <c r="AV103" s="54"/>
      <c r="AW103" s="56"/>
      <c r="AX103" s="55"/>
      <c r="AY103" s="55"/>
      <c r="AZ103" s="55"/>
      <c r="BA103" s="56"/>
      <c r="BB103" s="55"/>
      <c r="BC103" s="55"/>
      <c r="BD103" s="55"/>
      <c r="BE103" s="56"/>
      <c r="BF103" s="55"/>
      <c r="BG103" s="54"/>
      <c r="BH103" s="54"/>
      <c r="BI103" s="56"/>
      <c r="BJ103" s="55"/>
      <c r="BK103" s="55"/>
      <c r="BL103" s="55"/>
      <c r="BM103" s="53">
        <f t="shared" si="202"/>
        <v>10000000</v>
      </c>
      <c r="BN103" s="54">
        <f t="shared" si="203"/>
        <v>0</v>
      </c>
      <c r="BO103" s="54">
        <f t="shared" si="203"/>
        <v>0</v>
      </c>
      <c r="BP103" s="54">
        <f t="shared" si="203"/>
        <v>0</v>
      </c>
      <c r="BQ103" s="83"/>
      <c r="BR103" s="83"/>
      <c r="BS103" s="83"/>
      <c r="BT103" s="83"/>
      <c r="BU103" s="83"/>
      <c r="BV103" s="83"/>
      <c r="BW103" s="83"/>
      <c r="BX103" s="83"/>
      <c r="BY103" s="83"/>
      <c r="BZ103" s="83">
        <v>10000000</v>
      </c>
      <c r="CA103" s="83">
        <v>10000000</v>
      </c>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1">
        <f t="shared" si="204"/>
        <v>10000000</v>
      </c>
      <c r="DF103" s="81">
        <f t="shared" si="205"/>
        <v>10000000</v>
      </c>
      <c r="DG103" s="81">
        <f t="shared" si="205"/>
        <v>0</v>
      </c>
      <c r="DH103" s="81">
        <f t="shared" si="205"/>
        <v>0</v>
      </c>
      <c r="DI103" s="81"/>
      <c r="DJ103" s="83"/>
      <c r="DK103" s="82"/>
      <c r="DL103" s="83"/>
      <c r="DM103" s="83"/>
      <c r="DN103" s="83"/>
      <c r="DO103" s="83"/>
      <c r="DP103" s="83"/>
      <c r="DQ103" s="83"/>
      <c r="DR103" s="83"/>
      <c r="DS103" s="83">
        <v>4000000</v>
      </c>
      <c r="DT103" s="83">
        <v>7200000</v>
      </c>
      <c r="DU103" s="83">
        <v>2675000</v>
      </c>
      <c r="DV103" s="83">
        <v>2675000</v>
      </c>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1">
        <f t="shared" si="206"/>
        <v>4000000</v>
      </c>
      <c r="EX103" s="86">
        <f t="shared" si="206"/>
        <v>7200000</v>
      </c>
      <c r="EY103" s="86">
        <f t="shared" si="207"/>
        <v>2675000</v>
      </c>
      <c r="EZ103" s="86">
        <f t="shared" si="207"/>
        <v>2675000</v>
      </c>
      <c r="FA103" s="176"/>
      <c r="FB103" s="83"/>
      <c r="FC103" s="84"/>
      <c r="FD103" s="84"/>
      <c r="FE103" s="84"/>
      <c r="FF103" s="140"/>
      <c r="FG103" s="83"/>
      <c r="FH103" s="83"/>
      <c r="FI103" s="83"/>
      <c r="FJ103" s="83"/>
      <c r="FK103" s="83"/>
      <c r="FL103" s="83">
        <f>15000000-10550000</f>
        <v>4450000</v>
      </c>
      <c r="FM103" s="83">
        <v>5000000</v>
      </c>
      <c r="FN103" s="83">
        <v>4400000</v>
      </c>
      <c r="FO103" s="83">
        <v>4400000</v>
      </c>
      <c r="FP103" s="83"/>
      <c r="FQ103" s="83"/>
      <c r="FR103" s="83"/>
      <c r="FS103" s="83"/>
      <c r="FT103" s="83"/>
      <c r="FU103" s="83"/>
      <c r="FV103" s="83"/>
      <c r="FW103" s="83"/>
      <c r="FX103" s="83"/>
      <c r="FY103" s="83"/>
      <c r="FZ103" s="83"/>
      <c r="GA103" s="83"/>
      <c r="GB103" s="83"/>
      <c r="GC103" s="83"/>
      <c r="GD103" s="83"/>
      <c r="GE103" s="83"/>
      <c r="GF103" s="83">
        <f>10550000-4450000</f>
        <v>6100000</v>
      </c>
      <c r="GG103" s="83"/>
      <c r="GH103" s="83"/>
      <c r="GI103" s="83"/>
      <c r="GJ103" s="83"/>
      <c r="GK103" s="83"/>
      <c r="GL103" s="83"/>
      <c r="GM103" s="83"/>
      <c r="GN103" s="83"/>
      <c r="GO103" s="83"/>
      <c r="GP103" s="83"/>
      <c r="GQ103" s="83"/>
      <c r="GR103" s="83"/>
      <c r="GS103" s="83"/>
      <c r="GT103" s="83"/>
      <c r="GU103" s="81">
        <f t="shared" si="208"/>
        <v>10550000</v>
      </c>
      <c r="GV103" s="81">
        <f t="shared" si="209"/>
        <v>5000000</v>
      </c>
      <c r="GW103" s="81">
        <f t="shared" si="209"/>
        <v>4400000</v>
      </c>
      <c r="GX103" s="81">
        <f t="shared" si="209"/>
        <v>4400000</v>
      </c>
      <c r="GY103" s="673">
        <f t="shared" si="209"/>
        <v>0</v>
      </c>
      <c r="GZ103" s="67">
        <f t="shared" si="210"/>
        <v>34550000</v>
      </c>
    </row>
    <row r="104" spans="1:208" ht="96.75" customHeight="1" x14ac:dyDescent="0.2">
      <c r="A104" s="326"/>
      <c r="B104" s="326"/>
      <c r="C104" s="279">
        <v>15</v>
      </c>
      <c r="D104" s="721" t="s">
        <v>261</v>
      </c>
      <c r="E104" s="417" t="s">
        <v>262</v>
      </c>
      <c r="F104" s="417" t="s">
        <v>263</v>
      </c>
      <c r="G104" s="273">
        <v>70</v>
      </c>
      <c r="H104" s="676" t="s">
        <v>278</v>
      </c>
      <c r="I104" s="385" t="s">
        <v>279</v>
      </c>
      <c r="J104" s="677" t="s">
        <v>266</v>
      </c>
      <c r="K104" s="677">
        <v>1</v>
      </c>
      <c r="L104" s="397" t="s">
        <v>73</v>
      </c>
      <c r="M104" s="398">
        <v>322</v>
      </c>
      <c r="N104" s="399">
        <v>490</v>
      </c>
      <c r="O104" s="392">
        <v>343</v>
      </c>
      <c r="P104" s="393">
        <v>464</v>
      </c>
      <c r="Q104" s="392">
        <v>406</v>
      </c>
      <c r="R104" s="268"/>
      <c r="S104" s="394">
        <v>524</v>
      </c>
      <c r="T104" s="392">
        <v>469</v>
      </c>
      <c r="U104" s="392"/>
      <c r="V104" s="393">
        <v>584</v>
      </c>
      <c r="W104" s="678">
        <v>490</v>
      </c>
      <c r="X104" s="679"/>
      <c r="Y104" s="635">
        <v>609</v>
      </c>
      <c r="Z104" s="390">
        <f t="shared" si="201"/>
        <v>1.7391304347826087E-2</v>
      </c>
      <c r="AA104" s="265">
        <v>4</v>
      </c>
      <c r="AB104" s="327" t="s">
        <v>114</v>
      </c>
      <c r="AC104" s="56"/>
      <c r="AD104" s="55"/>
      <c r="AE104" s="54"/>
      <c r="AF104" s="54"/>
      <c r="AG104" s="56"/>
      <c r="AH104" s="55"/>
      <c r="AI104" s="55"/>
      <c r="AJ104" s="55"/>
      <c r="AK104" s="57">
        <v>20000000</v>
      </c>
      <c r="AL104" s="58">
        <v>0</v>
      </c>
      <c r="AM104" s="58"/>
      <c r="AN104" s="58"/>
      <c r="AO104" s="57"/>
      <c r="AP104" s="58"/>
      <c r="AQ104" s="58"/>
      <c r="AR104" s="55"/>
      <c r="AS104" s="56"/>
      <c r="AT104" s="55"/>
      <c r="AU104" s="54"/>
      <c r="AV104" s="54"/>
      <c r="AW104" s="56"/>
      <c r="AX104" s="55"/>
      <c r="AY104" s="55"/>
      <c r="AZ104" s="55"/>
      <c r="BA104" s="56"/>
      <c r="BB104" s="55"/>
      <c r="BC104" s="55"/>
      <c r="BD104" s="55"/>
      <c r="BE104" s="56"/>
      <c r="BF104" s="55"/>
      <c r="BG104" s="54"/>
      <c r="BH104" s="54"/>
      <c r="BI104" s="56"/>
      <c r="BJ104" s="55"/>
      <c r="BK104" s="55"/>
      <c r="BL104" s="55"/>
      <c r="BM104" s="53">
        <f t="shared" si="202"/>
        <v>20000000</v>
      </c>
      <c r="BN104" s="54">
        <f t="shared" si="203"/>
        <v>0</v>
      </c>
      <c r="BO104" s="54">
        <f t="shared" si="203"/>
        <v>0</v>
      </c>
      <c r="BP104" s="54">
        <f t="shared" si="203"/>
        <v>0</v>
      </c>
      <c r="BQ104" s="83"/>
      <c r="BR104" s="83"/>
      <c r="BS104" s="83"/>
      <c r="BT104" s="83"/>
      <c r="BU104" s="83"/>
      <c r="BV104" s="83"/>
      <c r="BW104" s="83"/>
      <c r="BX104" s="83"/>
      <c r="BY104" s="83"/>
      <c r="BZ104" s="83">
        <v>20000000</v>
      </c>
      <c r="CA104" s="83">
        <v>20000000</v>
      </c>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1">
        <f t="shared" si="204"/>
        <v>20000000</v>
      </c>
      <c r="DF104" s="81">
        <f t="shared" si="205"/>
        <v>20000000</v>
      </c>
      <c r="DG104" s="81">
        <f t="shared" si="205"/>
        <v>0</v>
      </c>
      <c r="DH104" s="81">
        <f t="shared" si="205"/>
        <v>0</v>
      </c>
      <c r="DI104" s="81"/>
      <c r="DJ104" s="83"/>
      <c r="DK104" s="82"/>
      <c r="DL104" s="83"/>
      <c r="DM104" s="83"/>
      <c r="DN104" s="83"/>
      <c r="DO104" s="83"/>
      <c r="DP104" s="83"/>
      <c r="DQ104" s="83"/>
      <c r="DR104" s="83"/>
      <c r="DS104" s="83">
        <v>4000000</v>
      </c>
      <c r="DT104" s="83">
        <v>14400000</v>
      </c>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1">
        <f t="shared" si="206"/>
        <v>4000000</v>
      </c>
      <c r="EX104" s="86">
        <f t="shared" si="206"/>
        <v>14400000</v>
      </c>
      <c r="EY104" s="86">
        <f t="shared" si="207"/>
        <v>0</v>
      </c>
      <c r="EZ104" s="86">
        <f t="shared" si="207"/>
        <v>0</v>
      </c>
      <c r="FA104" s="176"/>
      <c r="FB104" s="83"/>
      <c r="FC104" s="84"/>
      <c r="FD104" s="84"/>
      <c r="FE104" s="84"/>
      <c r="FF104" s="140"/>
      <c r="FG104" s="83"/>
      <c r="FH104" s="83"/>
      <c r="FI104" s="83"/>
      <c r="FJ104" s="83"/>
      <c r="FK104" s="83"/>
      <c r="FL104" s="83"/>
      <c r="FM104" s="83">
        <v>10000000</v>
      </c>
      <c r="FN104" s="83"/>
      <c r="FO104" s="83"/>
      <c r="FP104" s="83"/>
      <c r="FQ104" s="83"/>
      <c r="FR104" s="83"/>
      <c r="FS104" s="83"/>
      <c r="FT104" s="83"/>
      <c r="FU104" s="83"/>
      <c r="FV104" s="83"/>
      <c r="FW104" s="83"/>
      <c r="FX104" s="83"/>
      <c r="FY104" s="83"/>
      <c r="FZ104" s="83"/>
      <c r="GA104" s="83"/>
      <c r="GB104" s="83"/>
      <c r="GC104" s="83"/>
      <c r="GD104" s="83"/>
      <c r="GE104" s="83"/>
      <c r="GF104" s="83">
        <v>21165000</v>
      </c>
      <c r="GG104" s="83"/>
      <c r="GH104" s="83"/>
      <c r="GI104" s="83"/>
      <c r="GJ104" s="83"/>
      <c r="GK104" s="83"/>
      <c r="GL104" s="83"/>
      <c r="GM104" s="83"/>
      <c r="GN104" s="83"/>
      <c r="GO104" s="83"/>
      <c r="GP104" s="83"/>
      <c r="GQ104" s="83"/>
      <c r="GR104" s="83"/>
      <c r="GS104" s="83"/>
      <c r="GT104" s="83"/>
      <c r="GU104" s="81">
        <f t="shared" si="208"/>
        <v>21165000</v>
      </c>
      <c r="GV104" s="81">
        <f t="shared" si="209"/>
        <v>10000000</v>
      </c>
      <c r="GW104" s="81">
        <f t="shared" si="209"/>
        <v>0</v>
      </c>
      <c r="GX104" s="81">
        <f t="shared" si="209"/>
        <v>0</v>
      </c>
      <c r="GY104" s="673">
        <f t="shared" si="209"/>
        <v>0</v>
      </c>
      <c r="GZ104" s="67">
        <f t="shared" si="210"/>
        <v>65165000</v>
      </c>
    </row>
    <row r="105" spans="1:208" ht="96.75" customHeight="1" x14ac:dyDescent="0.2">
      <c r="A105" s="326"/>
      <c r="B105" s="326"/>
      <c r="C105" s="279"/>
      <c r="D105" s="722"/>
      <c r="E105" s="306"/>
      <c r="F105" s="306"/>
      <c r="G105" s="273">
        <v>71</v>
      </c>
      <c r="H105" s="676" t="s">
        <v>280</v>
      </c>
      <c r="I105" s="385" t="s">
        <v>281</v>
      </c>
      <c r="J105" s="677" t="s">
        <v>266</v>
      </c>
      <c r="K105" s="677">
        <v>1</v>
      </c>
      <c r="L105" s="397" t="s">
        <v>73</v>
      </c>
      <c r="M105" s="398">
        <v>1762</v>
      </c>
      <c r="N105" s="399">
        <v>2570</v>
      </c>
      <c r="O105" s="392">
        <v>1863</v>
      </c>
      <c r="P105" s="393">
        <v>2551</v>
      </c>
      <c r="Q105" s="392">
        <v>2166</v>
      </c>
      <c r="R105" s="268"/>
      <c r="S105" s="394">
        <v>2706</v>
      </c>
      <c r="T105" s="392">
        <v>2469</v>
      </c>
      <c r="U105" s="392"/>
      <c r="V105" s="393">
        <v>2957</v>
      </c>
      <c r="W105" s="678">
        <v>2570</v>
      </c>
      <c r="X105" s="679"/>
      <c r="Y105" s="635">
        <v>3204</v>
      </c>
      <c r="Z105" s="390">
        <f t="shared" si="201"/>
        <v>0</v>
      </c>
      <c r="AA105" s="265">
        <v>4</v>
      </c>
      <c r="AB105" s="327" t="s">
        <v>114</v>
      </c>
      <c r="AC105" s="56"/>
      <c r="AD105" s="55"/>
      <c r="AE105" s="54"/>
      <c r="AF105" s="54"/>
      <c r="AG105" s="56"/>
      <c r="AH105" s="55"/>
      <c r="AI105" s="55"/>
      <c r="AJ105" s="55"/>
      <c r="AK105" s="57"/>
      <c r="AL105" s="58"/>
      <c r="AM105" s="58"/>
      <c r="AN105" s="58"/>
      <c r="AO105" s="57"/>
      <c r="AP105" s="58"/>
      <c r="AQ105" s="58"/>
      <c r="AR105" s="55"/>
      <c r="AS105" s="56"/>
      <c r="AT105" s="55"/>
      <c r="AU105" s="54"/>
      <c r="AV105" s="54"/>
      <c r="AW105" s="56"/>
      <c r="AX105" s="55"/>
      <c r="AY105" s="55"/>
      <c r="AZ105" s="55"/>
      <c r="BA105" s="56"/>
      <c r="BB105" s="55"/>
      <c r="BC105" s="55"/>
      <c r="BD105" s="55"/>
      <c r="BE105" s="56"/>
      <c r="BF105" s="55"/>
      <c r="BG105" s="54"/>
      <c r="BH105" s="54"/>
      <c r="BI105" s="56"/>
      <c r="BJ105" s="55"/>
      <c r="BK105" s="55"/>
      <c r="BL105" s="55"/>
      <c r="BM105" s="53">
        <f t="shared" si="202"/>
        <v>0</v>
      </c>
      <c r="BN105" s="54">
        <f t="shared" si="203"/>
        <v>0</v>
      </c>
      <c r="BO105" s="54">
        <f t="shared" si="203"/>
        <v>0</v>
      </c>
      <c r="BP105" s="54">
        <f t="shared" si="203"/>
        <v>0</v>
      </c>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1">
        <f t="shared" si="204"/>
        <v>0</v>
      </c>
      <c r="DF105" s="81">
        <f t="shared" si="205"/>
        <v>0</v>
      </c>
      <c r="DG105" s="81">
        <f t="shared" si="205"/>
        <v>0</v>
      </c>
      <c r="DH105" s="81">
        <f t="shared" si="205"/>
        <v>0</v>
      </c>
      <c r="DI105" s="81"/>
      <c r="DJ105" s="83"/>
      <c r="DK105" s="82"/>
      <c r="DL105" s="83"/>
      <c r="DM105" s="83"/>
      <c r="DN105" s="83"/>
      <c r="DO105" s="83"/>
      <c r="DP105" s="83"/>
      <c r="DQ105" s="83"/>
      <c r="DR105" s="83"/>
      <c r="DS105" s="83">
        <v>0</v>
      </c>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1">
        <f t="shared" si="206"/>
        <v>0</v>
      </c>
      <c r="EX105" s="86">
        <f t="shared" si="206"/>
        <v>0</v>
      </c>
      <c r="EY105" s="86">
        <f t="shared" si="207"/>
        <v>0</v>
      </c>
      <c r="EZ105" s="86">
        <f t="shared" si="207"/>
        <v>0</v>
      </c>
      <c r="FA105" s="176"/>
      <c r="FB105" s="83"/>
      <c r="FC105" s="84"/>
      <c r="FD105" s="84"/>
      <c r="FE105" s="84"/>
      <c r="FF105" s="140"/>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v>0</v>
      </c>
      <c r="GG105" s="83"/>
      <c r="GH105" s="83"/>
      <c r="GI105" s="83"/>
      <c r="GJ105" s="83"/>
      <c r="GK105" s="83"/>
      <c r="GL105" s="83"/>
      <c r="GM105" s="83"/>
      <c r="GN105" s="83"/>
      <c r="GO105" s="83"/>
      <c r="GP105" s="83"/>
      <c r="GQ105" s="83"/>
      <c r="GR105" s="83"/>
      <c r="GS105" s="83"/>
      <c r="GT105" s="83"/>
      <c r="GU105" s="81">
        <f t="shared" si="208"/>
        <v>0</v>
      </c>
      <c r="GV105" s="81">
        <f t="shared" si="209"/>
        <v>0</v>
      </c>
      <c r="GW105" s="81">
        <f t="shared" si="209"/>
        <v>0</v>
      </c>
      <c r="GX105" s="81">
        <f t="shared" si="209"/>
        <v>0</v>
      </c>
      <c r="GY105" s="673">
        <f t="shared" si="209"/>
        <v>0</v>
      </c>
      <c r="GZ105" s="67">
        <f t="shared" si="210"/>
        <v>0</v>
      </c>
    </row>
    <row r="106" spans="1:208" ht="96.75" customHeight="1" x14ac:dyDescent="0.2">
      <c r="A106" s="326"/>
      <c r="B106" s="326"/>
      <c r="C106" s="279"/>
      <c r="D106" s="722"/>
      <c r="E106" s="306"/>
      <c r="F106" s="306"/>
      <c r="G106" s="260">
        <v>72</v>
      </c>
      <c r="H106" s="261" t="s">
        <v>282</v>
      </c>
      <c r="I106" s="385" t="s">
        <v>283</v>
      </c>
      <c r="J106" s="386" t="s">
        <v>266</v>
      </c>
      <c r="K106" s="386">
        <v>1</v>
      </c>
      <c r="L106" s="400" t="s">
        <v>58</v>
      </c>
      <c r="M106" s="352">
        <v>455</v>
      </c>
      <c r="N106" s="352">
        <v>455</v>
      </c>
      <c r="O106" s="392">
        <v>455</v>
      </c>
      <c r="P106" s="393">
        <v>445</v>
      </c>
      <c r="Q106" s="401">
        <v>455</v>
      </c>
      <c r="R106" s="268"/>
      <c r="S106" s="388">
        <v>889</v>
      </c>
      <c r="T106" s="401">
        <v>455</v>
      </c>
      <c r="U106" s="401"/>
      <c r="V106" s="402">
        <v>645</v>
      </c>
      <c r="W106" s="678">
        <v>455</v>
      </c>
      <c r="X106" s="400"/>
      <c r="Y106" s="634">
        <v>207</v>
      </c>
      <c r="Z106" s="390">
        <f t="shared" si="201"/>
        <v>8.6956521739130436E-3</v>
      </c>
      <c r="AA106" s="265">
        <v>4</v>
      </c>
      <c r="AB106" s="327" t="s">
        <v>114</v>
      </c>
      <c r="AC106" s="57"/>
      <c r="AD106" s="58"/>
      <c r="AE106" s="59"/>
      <c r="AF106" s="59"/>
      <c r="AG106" s="57"/>
      <c r="AH106" s="58"/>
      <c r="AI106" s="58"/>
      <c r="AJ106" s="58"/>
      <c r="AK106" s="57">
        <v>10000000</v>
      </c>
      <c r="AL106" s="58">
        <v>50000000</v>
      </c>
      <c r="AM106" s="58">
        <v>47986000</v>
      </c>
      <c r="AN106" s="58">
        <v>7986000</v>
      </c>
      <c r="AO106" s="57"/>
      <c r="AP106" s="58"/>
      <c r="AQ106" s="58"/>
      <c r="AR106" s="58"/>
      <c r="AS106" s="57"/>
      <c r="AT106" s="58"/>
      <c r="AU106" s="59"/>
      <c r="AV106" s="59"/>
      <c r="AW106" s="57"/>
      <c r="AX106" s="58"/>
      <c r="AY106" s="58"/>
      <c r="AZ106" s="58"/>
      <c r="BA106" s="57"/>
      <c r="BB106" s="58"/>
      <c r="BC106" s="58"/>
      <c r="BD106" s="58"/>
      <c r="BE106" s="57"/>
      <c r="BF106" s="58"/>
      <c r="BG106" s="59"/>
      <c r="BH106" s="59"/>
      <c r="BI106" s="57"/>
      <c r="BJ106" s="58"/>
      <c r="BK106" s="58"/>
      <c r="BL106" s="58"/>
      <c r="BM106" s="53">
        <f t="shared" si="202"/>
        <v>10000000</v>
      </c>
      <c r="BN106" s="54">
        <f t="shared" si="203"/>
        <v>50000000</v>
      </c>
      <c r="BO106" s="54">
        <f t="shared" si="203"/>
        <v>47986000</v>
      </c>
      <c r="BP106" s="54">
        <f t="shared" si="203"/>
        <v>7986000</v>
      </c>
      <c r="BQ106" s="83"/>
      <c r="BR106" s="83"/>
      <c r="BS106" s="83"/>
      <c r="BT106" s="83"/>
      <c r="BU106" s="83"/>
      <c r="BV106" s="83"/>
      <c r="BW106" s="83"/>
      <c r="BX106" s="83"/>
      <c r="BY106" s="83"/>
      <c r="BZ106" s="83">
        <v>10000000</v>
      </c>
      <c r="CA106" s="83"/>
      <c r="CB106" s="83"/>
      <c r="CC106" s="83"/>
      <c r="CD106" s="83">
        <v>40000000</v>
      </c>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1">
        <f t="shared" si="204"/>
        <v>10000000</v>
      </c>
      <c r="DF106" s="81">
        <f t="shared" si="205"/>
        <v>0</v>
      </c>
      <c r="DG106" s="81">
        <f t="shared" si="205"/>
        <v>0</v>
      </c>
      <c r="DH106" s="81">
        <f t="shared" si="205"/>
        <v>0</v>
      </c>
      <c r="DI106" s="81">
        <f>CD106</f>
        <v>40000000</v>
      </c>
      <c r="DJ106" s="83"/>
      <c r="DK106" s="82"/>
      <c r="DL106" s="83"/>
      <c r="DM106" s="83"/>
      <c r="DN106" s="83"/>
      <c r="DO106" s="83"/>
      <c r="DP106" s="83"/>
      <c r="DQ106" s="83"/>
      <c r="DR106" s="83"/>
      <c r="DS106" s="83">
        <v>3000000</v>
      </c>
      <c r="DT106" s="83">
        <v>7200000</v>
      </c>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1">
        <f t="shared" si="206"/>
        <v>3000000</v>
      </c>
      <c r="EX106" s="86">
        <f t="shared" si="206"/>
        <v>7200000</v>
      </c>
      <c r="EY106" s="86">
        <f t="shared" si="207"/>
        <v>0</v>
      </c>
      <c r="EZ106" s="86">
        <f t="shared" si="207"/>
        <v>0</v>
      </c>
      <c r="FA106" s="176"/>
      <c r="FB106" s="83"/>
      <c r="FC106" s="84"/>
      <c r="FD106" s="84"/>
      <c r="FE106" s="84"/>
      <c r="FF106" s="140"/>
      <c r="FG106" s="83"/>
      <c r="FH106" s="83"/>
      <c r="FI106" s="83"/>
      <c r="FJ106" s="83"/>
      <c r="FK106" s="83"/>
      <c r="FL106" s="83"/>
      <c r="FM106" s="83">
        <v>5000000</v>
      </c>
      <c r="FN106" s="83"/>
      <c r="FO106" s="83"/>
      <c r="FP106" s="83"/>
      <c r="FQ106" s="83"/>
      <c r="FR106" s="83"/>
      <c r="FS106" s="83"/>
      <c r="FT106" s="83"/>
      <c r="FU106" s="83"/>
      <c r="FV106" s="83"/>
      <c r="FW106" s="83"/>
      <c r="FX106" s="83"/>
      <c r="FY106" s="83"/>
      <c r="FZ106" s="83"/>
      <c r="GA106" s="83"/>
      <c r="GB106" s="83"/>
      <c r="GC106" s="83"/>
      <c r="GD106" s="83"/>
      <c r="GE106" s="83"/>
      <c r="GF106" s="83">
        <v>10580000</v>
      </c>
      <c r="GG106" s="83">
        <v>49291242</v>
      </c>
      <c r="GH106" s="83"/>
      <c r="GI106" s="83"/>
      <c r="GJ106" s="83"/>
      <c r="GK106" s="83"/>
      <c r="GL106" s="83"/>
      <c r="GM106" s="83"/>
      <c r="GN106" s="83"/>
      <c r="GO106" s="83"/>
      <c r="GP106" s="83"/>
      <c r="GQ106" s="83"/>
      <c r="GR106" s="83"/>
      <c r="GS106" s="83"/>
      <c r="GT106" s="83"/>
      <c r="GU106" s="81">
        <f t="shared" si="208"/>
        <v>10580000</v>
      </c>
      <c r="GV106" s="81">
        <f t="shared" si="209"/>
        <v>54291242</v>
      </c>
      <c r="GW106" s="81">
        <f t="shared" si="209"/>
        <v>0</v>
      </c>
      <c r="GX106" s="81">
        <f t="shared" si="209"/>
        <v>0</v>
      </c>
      <c r="GY106" s="673">
        <f t="shared" si="209"/>
        <v>0</v>
      </c>
      <c r="GZ106" s="67">
        <f t="shared" si="210"/>
        <v>33580000</v>
      </c>
    </row>
    <row r="107" spans="1:208" ht="150.75" customHeight="1" x14ac:dyDescent="0.2">
      <c r="A107" s="326"/>
      <c r="B107" s="326"/>
      <c r="C107" s="277"/>
      <c r="D107" s="723"/>
      <c r="E107" s="284"/>
      <c r="F107" s="284"/>
      <c r="G107" s="260">
        <v>73</v>
      </c>
      <c r="H107" s="261" t="s">
        <v>284</v>
      </c>
      <c r="I107" s="385" t="s">
        <v>285</v>
      </c>
      <c r="J107" s="386" t="s">
        <v>266</v>
      </c>
      <c r="K107" s="386">
        <v>1</v>
      </c>
      <c r="L107" s="304" t="s">
        <v>58</v>
      </c>
      <c r="M107" s="352" t="s">
        <v>53</v>
      </c>
      <c r="N107" s="352">
        <v>1</v>
      </c>
      <c r="O107" s="259">
        <v>1</v>
      </c>
      <c r="P107" s="387">
        <v>1</v>
      </c>
      <c r="Q107" s="288">
        <v>1</v>
      </c>
      <c r="R107" s="268"/>
      <c r="S107" s="388">
        <v>1</v>
      </c>
      <c r="T107" s="288">
        <v>1</v>
      </c>
      <c r="U107" s="288"/>
      <c r="V107" s="389">
        <v>1</v>
      </c>
      <c r="W107" s="288">
        <v>1</v>
      </c>
      <c r="X107" s="304"/>
      <c r="Y107" s="631">
        <v>0.5</v>
      </c>
      <c r="Z107" s="390">
        <f t="shared" si="201"/>
        <v>0.95652173913043481</v>
      </c>
      <c r="AA107" s="265">
        <v>4</v>
      </c>
      <c r="AB107" s="327" t="s">
        <v>114</v>
      </c>
      <c r="AC107" s="57"/>
      <c r="AD107" s="58"/>
      <c r="AE107" s="59"/>
      <c r="AF107" s="59"/>
      <c r="AG107" s="57"/>
      <c r="AH107" s="58"/>
      <c r="AI107" s="58"/>
      <c r="AJ107" s="58"/>
      <c r="AK107" s="57"/>
      <c r="AL107" s="58"/>
      <c r="AM107" s="58"/>
      <c r="AN107" s="58"/>
      <c r="AO107" s="57"/>
      <c r="AP107" s="58"/>
      <c r="AQ107" s="58"/>
      <c r="AR107" s="58"/>
      <c r="AS107" s="57"/>
      <c r="AT107" s="58"/>
      <c r="AU107" s="59"/>
      <c r="AV107" s="59"/>
      <c r="AW107" s="57"/>
      <c r="AX107" s="58"/>
      <c r="AY107" s="58"/>
      <c r="AZ107" s="58"/>
      <c r="BA107" s="57">
        <v>1100000000</v>
      </c>
      <c r="BB107" s="55">
        <v>1097002022</v>
      </c>
      <c r="BC107" s="55">
        <v>974131283</v>
      </c>
      <c r="BD107" s="55">
        <v>531331283</v>
      </c>
      <c r="BE107" s="57"/>
      <c r="BF107" s="58"/>
      <c r="BG107" s="59"/>
      <c r="BH107" s="59"/>
      <c r="BI107" s="57"/>
      <c r="BJ107" s="58"/>
      <c r="BK107" s="58"/>
      <c r="BL107" s="58"/>
      <c r="BM107" s="53">
        <f t="shared" si="202"/>
        <v>1100000000</v>
      </c>
      <c r="BN107" s="54">
        <f t="shared" si="203"/>
        <v>1097002022</v>
      </c>
      <c r="BO107" s="54">
        <f t="shared" si="203"/>
        <v>974131283</v>
      </c>
      <c r="BP107" s="54">
        <f t="shared" si="203"/>
        <v>531331283</v>
      </c>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v>1133000000</v>
      </c>
      <c r="CR107" s="83">
        <v>1341180171</v>
      </c>
      <c r="CS107" s="83">
        <v>976986480</v>
      </c>
      <c r="CT107" s="83">
        <v>976986480</v>
      </c>
      <c r="CU107" s="83"/>
      <c r="CV107" s="83"/>
      <c r="CW107" s="83"/>
      <c r="CX107" s="83"/>
      <c r="CY107" s="83"/>
      <c r="CZ107" s="83"/>
      <c r="DA107" s="83"/>
      <c r="DB107" s="83"/>
      <c r="DC107" s="83"/>
      <c r="DD107" s="83"/>
      <c r="DE107" s="81">
        <f t="shared" si="204"/>
        <v>1133000000</v>
      </c>
      <c r="DF107" s="81">
        <f t="shared" si="205"/>
        <v>1341180171</v>
      </c>
      <c r="DG107" s="81">
        <f t="shared" si="205"/>
        <v>976986480</v>
      </c>
      <c r="DH107" s="81">
        <f t="shared" si="205"/>
        <v>976986480</v>
      </c>
      <c r="DI107" s="81"/>
      <c r="DJ107" s="83"/>
      <c r="DK107" s="82"/>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v>1166990000</v>
      </c>
      <c r="EK107" s="83">
        <v>1396631487</v>
      </c>
      <c r="EL107" s="83">
        <v>945212500</v>
      </c>
      <c r="EM107" s="83">
        <v>945212500</v>
      </c>
      <c r="EN107" s="83"/>
      <c r="EO107" s="83"/>
      <c r="EP107" s="83"/>
      <c r="EQ107" s="83"/>
      <c r="ER107" s="83"/>
      <c r="ES107" s="83"/>
      <c r="ET107" s="83"/>
      <c r="EU107" s="83"/>
      <c r="EV107" s="83"/>
      <c r="EW107" s="81">
        <f t="shared" si="206"/>
        <v>1166990000</v>
      </c>
      <c r="EX107" s="86">
        <f t="shared" si="206"/>
        <v>1396631487</v>
      </c>
      <c r="EY107" s="86">
        <f t="shared" si="207"/>
        <v>945212500</v>
      </c>
      <c r="EZ107" s="86">
        <f t="shared" si="207"/>
        <v>945212500</v>
      </c>
      <c r="FA107" s="176"/>
      <c r="FB107" s="83"/>
      <c r="FC107" s="84"/>
      <c r="FD107" s="84"/>
      <c r="FE107" s="84"/>
      <c r="FF107" s="140"/>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v>1164154699.9952176</v>
      </c>
      <c r="GG107" s="83">
        <v>1508000000</v>
      </c>
      <c r="GH107" s="83">
        <v>1011580689</v>
      </c>
      <c r="GI107" s="83">
        <v>15900000</v>
      </c>
      <c r="GJ107" s="83"/>
      <c r="GK107" s="83"/>
      <c r="GL107" s="83"/>
      <c r="GM107" s="83"/>
      <c r="GN107" s="83"/>
      <c r="GO107" s="83"/>
      <c r="GP107" s="83"/>
      <c r="GQ107" s="83"/>
      <c r="GR107" s="83"/>
      <c r="GS107" s="83"/>
      <c r="GT107" s="83"/>
      <c r="GU107" s="81">
        <f t="shared" si="208"/>
        <v>1164154699.9952176</v>
      </c>
      <c r="GV107" s="81">
        <f t="shared" si="209"/>
        <v>1508000000</v>
      </c>
      <c r="GW107" s="81">
        <f t="shared" si="209"/>
        <v>1011580689</v>
      </c>
      <c r="GX107" s="81">
        <f t="shared" si="209"/>
        <v>15900000</v>
      </c>
      <c r="GY107" s="673">
        <f t="shared" si="209"/>
        <v>0</v>
      </c>
      <c r="GZ107" s="67">
        <f t="shared" si="210"/>
        <v>4564144699.9952173</v>
      </c>
    </row>
    <row r="108" spans="1:208" ht="24.75" customHeight="1" x14ac:dyDescent="0.2">
      <c r="A108" s="326"/>
      <c r="B108" s="326"/>
      <c r="C108" s="246">
        <v>18</v>
      </c>
      <c r="D108" s="247" t="s">
        <v>286</v>
      </c>
      <c r="E108" s="250"/>
      <c r="F108" s="250"/>
      <c r="G108" s="251"/>
      <c r="H108" s="251"/>
      <c r="I108" s="251"/>
      <c r="J108" s="251"/>
      <c r="K108" s="251"/>
      <c r="L108" s="251"/>
      <c r="M108" s="251"/>
      <c r="N108" s="251"/>
      <c r="O108" s="251"/>
      <c r="P108" s="251"/>
      <c r="Q108" s="251"/>
      <c r="R108" s="251"/>
      <c r="S108" s="251"/>
      <c r="T108" s="251"/>
      <c r="U108" s="251"/>
      <c r="V108" s="251"/>
      <c r="W108" s="251"/>
      <c r="X108" s="251"/>
      <c r="Y108" s="252"/>
      <c r="Z108" s="251"/>
      <c r="AA108" s="251"/>
      <c r="AB108" s="251"/>
      <c r="AC108" s="51">
        <f t="shared" ref="AC108:BL108" si="211">SUM(AC109)</f>
        <v>0</v>
      </c>
      <c r="AD108" s="51">
        <f t="shared" si="211"/>
        <v>0</v>
      </c>
      <c r="AE108" s="51">
        <f t="shared" si="211"/>
        <v>0</v>
      </c>
      <c r="AF108" s="51">
        <f t="shared" si="211"/>
        <v>0</v>
      </c>
      <c r="AG108" s="51">
        <f t="shared" si="211"/>
        <v>0</v>
      </c>
      <c r="AH108" s="51">
        <f t="shared" si="211"/>
        <v>0</v>
      </c>
      <c r="AI108" s="51">
        <f t="shared" si="211"/>
        <v>0</v>
      </c>
      <c r="AJ108" s="51">
        <f t="shared" si="211"/>
        <v>0</v>
      </c>
      <c r="AK108" s="51">
        <f t="shared" si="211"/>
        <v>0</v>
      </c>
      <c r="AL108" s="51">
        <f t="shared" si="211"/>
        <v>0</v>
      </c>
      <c r="AM108" s="51">
        <f t="shared" si="211"/>
        <v>0</v>
      </c>
      <c r="AN108" s="51">
        <f t="shared" si="211"/>
        <v>0</v>
      </c>
      <c r="AO108" s="51">
        <f t="shared" si="211"/>
        <v>0</v>
      </c>
      <c r="AP108" s="51">
        <f t="shared" si="211"/>
        <v>0</v>
      </c>
      <c r="AQ108" s="51">
        <f t="shared" si="211"/>
        <v>0</v>
      </c>
      <c r="AR108" s="51">
        <f t="shared" si="211"/>
        <v>0</v>
      </c>
      <c r="AS108" s="51">
        <f t="shared" si="211"/>
        <v>0</v>
      </c>
      <c r="AT108" s="51">
        <f t="shared" si="211"/>
        <v>0</v>
      </c>
      <c r="AU108" s="51">
        <f t="shared" si="211"/>
        <v>0</v>
      </c>
      <c r="AV108" s="51">
        <f t="shared" si="211"/>
        <v>0</v>
      </c>
      <c r="AW108" s="51">
        <f t="shared" si="211"/>
        <v>0</v>
      </c>
      <c r="AX108" s="51">
        <f t="shared" si="211"/>
        <v>0</v>
      </c>
      <c r="AY108" s="51">
        <f t="shared" si="211"/>
        <v>0</v>
      </c>
      <c r="AZ108" s="51">
        <f t="shared" si="211"/>
        <v>0</v>
      </c>
      <c r="BA108" s="51">
        <f t="shared" si="211"/>
        <v>97934613825</v>
      </c>
      <c r="BB108" s="51">
        <f t="shared" si="211"/>
        <v>97552309856.839996</v>
      </c>
      <c r="BC108" s="51">
        <f t="shared" si="211"/>
        <v>96619452584.130005</v>
      </c>
      <c r="BD108" s="51">
        <f t="shared" si="211"/>
        <v>96619452584.130005</v>
      </c>
      <c r="BE108" s="51">
        <f t="shared" si="211"/>
        <v>0</v>
      </c>
      <c r="BF108" s="51">
        <f t="shared" si="211"/>
        <v>0</v>
      </c>
      <c r="BG108" s="51">
        <f t="shared" si="211"/>
        <v>0</v>
      </c>
      <c r="BH108" s="51">
        <f t="shared" si="211"/>
        <v>0</v>
      </c>
      <c r="BI108" s="51">
        <f t="shared" si="211"/>
        <v>0</v>
      </c>
      <c r="BJ108" s="51">
        <f t="shared" si="211"/>
        <v>0</v>
      </c>
      <c r="BK108" s="51">
        <f t="shared" si="211"/>
        <v>0</v>
      </c>
      <c r="BL108" s="51">
        <f t="shared" si="211"/>
        <v>0</v>
      </c>
      <c r="BM108" s="51">
        <f t="shared" ref="BM108:DX108" si="212">SUM(BM109)</f>
        <v>97934613825</v>
      </c>
      <c r="BN108" s="51">
        <f t="shared" si="212"/>
        <v>97552309856.839996</v>
      </c>
      <c r="BO108" s="51">
        <f t="shared" si="212"/>
        <v>96619452584.130005</v>
      </c>
      <c r="BP108" s="51">
        <f t="shared" si="212"/>
        <v>96619452584.130005</v>
      </c>
      <c r="BQ108" s="51">
        <f t="shared" si="212"/>
        <v>0</v>
      </c>
      <c r="BR108" s="51">
        <f t="shared" si="212"/>
        <v>0</v>
      </c>
      <c r="BS108" s="51">
        <f t="shared" si="212"/>
        <v>0</v>
      </c>
      <c r="BT108" s="51">
        <f t="shared" si="212"/>
        <v>0</v>
      </c>
      <c r="BU108" s="51">
        <f t="shared" si="212"/>
        <v>0</v>
      </c>
      <c r="BV108" s="51">
        <f t="shared" si="212"/>
        <v>0</v>
      </c>
      <c r="BW108" s="51">
        <f t="shared" si="212"/>
        <v>0</v>
      </c>
      <c r="BX108" s="51">
        <f t="shared" si="212"/>
        <v>0</v>
      </c>
      <c r="BY108" s="51">
        <f t="shared" si="212"/>
        <v>0</v>
      </c>
      <c r="BZ108" s="51">
        <f t="shared" si="212"/>
        <v>0</v>
      </c>
      <c r="CA108" s="51">
        <f t="shared" si="212"/>
        <v>0</v>
      </c>
      <c r="CB108" s="51">
        <f t="shared" si="212"/>
        <v>0</v>
      </c>
      <c r="CC108" s="51">
        <f t="shared" si="212"/>
        <v>0</v>
      </c>
      <c r="CD108" s="51">
        <f t="shared" si="212"/>
        <v>0</v>
      </c>
      <c r="CE108" s="51">
        <f t="shared" si="212"/>
        <v>0</v>
      </c>
      <c r="CF108" s="51">
        <f t="shared" si="212"/>
        <v>0</v>
      </c>
      <c r="CG108" s="51">
        <f t="shared" si="212"/>
        <v>0</v>
      </c>
      <c r="CH108" s="51">
        <f t="shared" si="212"/>
        <v>0</v>
      </c>
      <c r="CI108" s="51">
        <f t="shared" si="212"/>
        <v>0</v>
      </c>
      <c r="CJ108" s="51">
        <f t="shared" si="212"/>
        <v>0</v>
      </c>
      <c r="CK108" s="51">
        <f t="shared" si="212"/>
        <v>0</v>
      </c>
      <c r="CL108" s="51">
        <f t="shared" si="212"/>
        <v>0</v>
      </c>
      <c r="CM108" s="51">
        <f t="shared" si="212"/>
        <v>0</v>
      </c>
      <c r="CN108" s="51">
        <f t="shared" si="212"/>
        <v>0</v>
      </c>
      <c r="CO108" s="51">
        <f t="shared" si="212"/>
        <v>0</v>
      </c>
      <c r="CP108" s="51">
        <f t="shared" si="212"/>
        <v>0</v>
      </c>
      <c r="CQ108" s="51">
        <f t="shared" si="212"/>
        <v>100872652239.75</v>
      </c>
      <c r="CR108" s="51">
        <f t="shared" si="212"/>
        <v>108524888182</v>
      </c>
      <c r="CS108" s="51">
        <f t="shared" si="212"/>
        <v>106036933375.14</v>
      </c>
      <c r="CT108" s="51">
        <f t="shared" si="212"/>
        <v>106031629125.14</v>
      </c>
      <c r="CU108" s="51">
        <f t="shared" si="212"/>
        <v>0</v>
      </c>
      <c r="CV108" s="51">
        <f t="shared" si="212"/>
        <v>0</v>
      </c>
      <c r="CW108" s="51">
        <f t="shared" si="212"/>
        <v>0</v>
      </c>
      <c r="CX108" s="51">
        <f t="shared" si="212"/>
        <v>0</v>
      </c>
      <c r="CY108" s="51">
        <f t="shared" si="212"/>
        <v>0</v>
      </c>
      <c r="CZ108" s="51">
        <f t="shared" si="212"/>
        <v>0</v>
      </c>
      <c r="DA108" s="51">
        <f t="shared" si="212"/>
        <v>0</v>
      </c>
      <c r="DB108" s="51">
        <f t="shared" si="212"/>
        <v>0</v>
      </c>
      <c r="DC108" s="51">
        <f t="shared" si="212"/>
        <v>0</v>
      </c>
      <c r="DD108" s="51">
        <f t="shared" si="212"/>
        <v>0</v>
      </c>
      <c r="DE108" s="51">
        <f t="shared" si="212"/>
        <v>100872652239.75</v>
      </c>
      <c r="DF108" s="51">
        <f t="shared" si="212"/>
        <v>108524888182</v>
      </c>
      <c r="DG108" s="51">
        <f t="shared" si="212"/>
        <v>106036933375.14</v>
      </c>
      <c r="DH108" s="51">
        <f t="shared" si="212"/>
        <v>106031629125.14</v>
      </c>
      <c r="DI108" s="51">
        <f t="shared" si="212"/>
        <v>0</v>
      </c>
      <c r="DJ108" s="51">
        <f t="shared" si="212"/>
        <v>0</v>
      </c>
      <c r="DK108" s="51">
        <f t="shared" si="212"/>
        <v>0</v>
      </c>
      <c r="DL108" s="51">
        <f t="shared" si="212"/>
        <v>0</v>
      </c>
      <c r="DM108" s="51">
        <f t="shared" si="212"/>
        <v>0</v>
      </c>
      <c r="DN108" s="51">
        <f t="shared" si="212"/>
        <v>0</v>
      </c>
      <c r="DO108" s="51">
        <f t="shared" si="212"/>
        <v>15000000</v>
      </c>
      <c r="DP108" s="51">
        <f t="shared" si="212"/>
        <v>15000000</v>
      </c>
      <c r="DQ108" s="51">
        <f t="shared" si="212"/>
        <v>15000000</v>
      </c>
      <c r="DR108" s="51">
        <f t="shared" si="212"/>
        <v>0</v>
      </c>
      <c r="DS108" s="51">
        <f t="shared" si="212"/>
        <v>0</v>
      </c>
      <c r="DT108" s="51">
        <f t="shared" si="212"/>
        <v>0</v>
      </c>
      <c r="DU108" s="51">
        <f t="shared" si="212"/>
        <v>0</v>
      </c>
      <c r="DV108" s="51">
        <f t="shared" si="212"/>
        <v>0</v>
      </c>
      <c r="DW108" s="51">
        <f t="shared" si="212"/>
        <v>0</v>
      </c>
      <c r="DX108" s="51">
        <f t="shared" si="212"/>
        <v>0</v>
      </c>
      <c r="DY108" s="51">
        <f t="shared" ref="DY108:EW108" si="213">SUM(DY109)</f>
        <v>0</v>
      </c>
      <c r="DZ108" s="51">
        <f t="shared" si="213"/>
        <v>0</v>
      </c>
      <c r="EA108" s="51">
        <f t="shared" si="213"/>
        <v>0</v>
      </c>
      <c r="EB108" s="51">
        <f t="shared" si="213"/>
        <v>0</v>
      </c>
      <c r="EC108" s="51">
        <f t="shared" si="213"/>
        <v>0</v>
      </c>
      <c r="ED108" s="51">
        <f t="shared" si="213"/>
        <v>0</v>
      </c>
      <c r="EE108" s="51">
        <f t="shared" si="213"/>
        <v>0</v>
      </c>
      <c r="EF108" s="51">
        <f t="shared" si="213"/>
        <v>0</v>
      </c>
      <c r="EG108" s="51">
        <f t="shared" si="213"/>
        <v>0</v>
      </c>
      <c r="EH108" s="51">
        <f t="shared" si="213"/>
        <v>0</v>
      </c>
      <c r="EI108" s="51">
        <f t="shared" si="213"/>
        <v>0</v>
      </c>
      <c r="EJ108" s="51">
        <f t="shared" si="213"/>
        <v>103898831806.94299</v>
      </c>
      <c r="EK108" s="51">
        <f t="shared" si="213"/>
        <v>117049364955</v>
      </c>
      <c r="EL108" s="51">
        <f t="shared" si="213"/>
        <v>116987378125.24001</v>
      </c>
      <c r="EM108" s="51">
        <f t="shared" si="213"/>
        <v>116982429870.24001</v>
      </c>
      <c r="EN108" s="51">
        <f t="shared" si="213"/>
        <v>0</v>
      </c>
      <c r="EO108" s="51">
        <f t="shared" si="213"/>
        <v>0</v>
      </c>
      <c r="EP108" s="51">
        <f t="shared" si="213"/>
        <v>0</v>
      </c>
      <c r="EQ108" s="51">
        <f t="shared" si="213"/>
        <v>0</v>
      </c>
      <c r="ER108" s="51">
        <f t="shared" si="213"/>
        <v>0</v>
      </c>
      <c r="ES108" s="51">
        <f t="shared" si="213"/>
        <v>0</v>
      </c>
      <c r="ET108" s="51">
        <f t="shared" si="213"/>
        <v>0</v>
      </c>
      <c r="EU108" s="51">
        <f t="shared" si="213"/>
        <v>0</v>
      </c>
      <c r="EV108" s="51">
        <f t="shared" si="213"/>
        <v>0</v>
      </c>
      <c r="EW108" s="51">
        <f t="shared" si="213"/>
        <v>103898831806.94299</v>
      </c>
      <c r="EX108" s="51">
        <f t="shared" ref="EX108:GZ108" si="214">SUM(EX109)</f>
        <v>117064364955</v>
      </c>
      <c r="EY108" s="51">
        <f t="shared" si="214"/>
        <v>117002378125.24001</v>
      </c>
      <c r="EZ108" s="51">
        <f t="shared" si="214"/>
        <v>116997429870.24001</v>
      </c>
      <c r="FA108" s="51">
        <f t="shared" si="214"/>
        <v>0</v>
      </c>
      <c r="FB108" s="602">
        <f t="shared" si="214"/>
        <v>0</v>
      </c>
      <c r="FC108" s="51">
        <f t="shared" si="214"/>
        <v>0</v>
      </c>
      <c r="FD108" s="51">
        <f t="shared" si="214"/>
        <v>0</v>
      </c>
      <c r="FE108" s="51">
        <f t="shared" si="214"/>
        <v>0</v>
      </c>
      <c r="FF108" s="51">
        <f t="shared" si="214"/>
        <v>0</v>
      </c>
      <c r="FG108" s="51">
        <f t="shared" si="214"/>
        <v>0</v>
      </c>
      <c r="FH108" s="51">
        <f t="shared" si="214"/>
        <v>4620683724</v>
      </c>
      <c r="FI108" s="51">
        <f t="shared" si="214"/>
        <v>4620376171</v>
      </c>
      <c r="FJ108" s="51">
        <f t="shared" si="214"/>
        <v>4620376171</v>
      </c>
      <c r="FK108" s="51">
        <f t="shared" si="214"/>
        <v>0</v>
      </c>
      <c r="FL108" s="51">
        <f t="shared" si="214"/>
        <v>0</v>
      </c>
      <c r="FM108" s="51">
        <f t="shared" si="214"/>
        <v>0</v>
      </c>
      <c r="FN108" s="51">
        <f t="shared" si="214"/>
        <v>0</v>
      </c>
      <c r="FO108" s="51">
        <f t="shared" si="214"/>
        <v>0</v>
      </c>
      <c r="FP108" s="51">
        <f t="shared" si="214"/>
        <v>0</v>
      </c>
      <c r="FQ108" s="51">
        <f t="shared" si="214"/>
        <v>0</v>
      </c>
      <c r="FR108" s="51">
        <f t="shared" si="214"/>
        <v>0</v>
      </c>
      <c r="FS108" s="51">
        <f t="shared" si="214"/>
        <v>0</v>
      </c>
      <c r="FT108" s="51">
        <f t="shared" si="214"/>
        <v>0</v>
      </c>
      <c r="FU108" s="51">
        <f t="shared" si="214"/>
        <v>0</v>
      </c>
      <c r="FV108" s="51">
        <f t="shared" si="214"/>
        <v>0</v>
      </c>
      <c r="FW108" s="51">
        <f t="shared" si="214"/>
        <v>0</v>
      </c>
      <c r="FX108" s="51">
        <f t="shared" si="214"/>
        <v>0</v>
      </c>
      <c r="FY108" s="51">
        <f t="shared" si="214"/>
        <v>0</v>
      </c>
      <c r="FZ108" s="51">
        <f t="shared" si="214"/>
        <v>0</v>
      </c>
      <c r="GA108" s="51">
        <f t="shared" si="214"/>
        <v>0</v>
      </c>
      <c r="GB108" s="51">
        <f t="shared" si="214"/>
        <v>0</v>
      </c>
      <c r="GC108" s="51">
        <f t="shared" si="214"/>
        <v>0</v>
      </c>
      <c r="GD108" s="51">
        <f t="shared" si="214"/>
        <v>0</v>
      </c>
      <c r="GE108" s="51">
        <f t="shared" si="214"/>
        <v>0</v>
      </c>
      <c r="GF108" s="51">
        <f t="shared" si="214"/>
        <v>107015796761.151</v>
      </c>
      <c r="GG108" s="51">
        <f t="shared" si="214"/>
        <v>144231459176.28998</v>
      </c>
      <c r="GH108" s="51">
        <f t="shared" si="214"/>
        <v>57129221575</v>
      </c>
      <c r="GI108" s="51">
        <f t="shared" si="214"/>
        <v>56653504739</v>
      </c>
      <c r="GJ108" s="51">
        <f t="shared" si="214"/>
        <v>0</v>
      </c>
      <c r="GK108" s="51">
        <f t="shared" si="214"/>
        <v>0</v>
      </c>
      <c r="GL108" s="51">
        <f t="shared" si="214"/>
        <v>0</v>
      </c>
      <c r="GM108" s="51">
        <f t="shared" si="214"/>
        <v>0</v>
      </c>
      <c r="GN108" s="51">
        <f t="shared" si="214"/>
        <v>0</v>
      </c>
      <c r="GO108" s="51">
        <f t="shared" si="214"/>
        <v>0</v>
      </c>
      <c r="GP108" s="51">
        <f t="shared" si="214"/>
        <v>0</v>
      </c>
      <c r="GQ108" s="51">
        <f t="shared" si="214"/>
        <v>0</v>
      </c>
      <c r="GR108" s="51">
        <f t="shared" si="214"/>
        <v>0</v>
      </c>
      <c r="GS108" s="51">
        <f t="shared" si="214"/>
        <v>0</v>
      </c>
      <c r="GT108" s="51">
        <f t="shared" si="214"/>
        <v>0</v>
      </c>
      <c r="GU108" s="51">
        <f t="shared" si="214"/>
        <v>107015796761.151</v>
      </c>
      <c r="GV108" s="51">
        <f t="shared" si="214"/>
        <v>148852142900.28998</v>
      </c>
      <c r="GW108" s="51">
        <f t="shared" si="214"/>
        <v>61749597746</v>
      </c>
      <c r="GX108" s="51">
        <f t="shared" si="214"/>
        <v>61273880910</v>
      </c>
      <c r="GY108" s="51">
        <f t="shared" si="214"/>
        <v>0</v>
      </c>
      <c r="GZ108" s="51">
        <f t="shared" si="214"/>
        <v>409721894632.84399</v>
      </c>
    </row>
    <row r="109" spans="1:208" s="711" customFormat="1" ht="102.75" customHeight="1" x14ac:dyDescent="0.2">
      <c r="A109" s="703"/>
      <c r="B109" s="844"/>
      <c r="C109" s="621">
        <v>15</v>
      </c>
      <c r="D109" s="676" t="s">
        <v>287</v>
      </c>
      <c r="E109" s="621" t="s">
        <v>262</v>
      </c>
      <c r="F109" s="714" t="s">
        <v>263</v>
      </c>
      <c r="G109" s="684">
        <v>74</v>
      </c>
      <c r="H109" s="676" t="s">
        <v>288</v>
      </c>
      <c r="I109" s="846" t="s">
        <v>289</v>
      </c>
      <c r="J109" s="677" t="s">
        <v>266</v>
      </c>
      <c r="K109" s="677">
        <v>1</v>
      </c>
      <c r="L109" s="677" t="s">
        <v>58</v>
      </c>
      <c r="M109" s="680">
        <v>2232</v>
      </c>
      <c r="N109" s="680">
        <v>2232</v>
      </c>
      <c r="O109" s="680">
        <v>2232</v>
      </c>
      <c r="P109" s="847">
        <v>2232</v>
      </c>
      <c r="Q109" s="680">
        <v>2232</v>
      </c>
      <c r="R109" s="814"/>
      <c r="S109" s="815">
        <v>2232</v>
      </c>
      <c r="T109" s="680">
        <v>2232</v>
      </c>
      <c r="U109" s="680"/>
      <c r="V109" s="847">
        <v>2232</v>
      </c>
      <c r="W109" s="680">
        <v>2232</v>
      </c>
      <c r="X109" s="677"/>
      <c r="Y109" s="681">
        <v>2232</v>
      </c>
      <c r="Z109" s="809">
        <f>BM109/BM108</f>
        <v>1</v>
      </c>
      <c r="AA109" s="682">
        <v>4</v>
      </c>
      <c r="AB109" s="848" t="s">
        <v>114</v>
      </c>
      <c r="AC109" s="817">
        <v>0</v>
      </c>
      <c r="AD109" s="818">
        <v>0</v>
      </c>
      <c r="AE109" s="818">
        <v>0</v>
      </c>
      <c r="AF109" s="818">
        <v>0</v>
      </c>
      <c r="AG109" s="817">
        <v>0</v>
      </c>
      <c r="AH109" s="818">
        <v>0</v>
      </c>
      <c r="AI109" s="818">
        <v>0</v>
      </c>
      <c r="AJ109" s="818">
        <v>0</v>
      </c>
      <c r="AK109" s="817">
        <v>0</v>
      </c>
      <c r="AL109" s="818">
        <v>0</v>
      </c>
      <c r="AM109" s="818">
        <v>0</v>
      </c>
      <c r="AN109" s="818">
        <v>0</v>
      </c>
      <c r="AO109" s="817">
        <v>0</v>
      </c>
      <c r="AP109" s="818">
        <v>0</v>
      </c>
      <c r="AQ109" s="818">
        <v>0</v>
      </c>
      <c r="AR109" s="818">
        <v>0</v>
      </c>
      <c r="AS109" s="817">
        <v>0</v>
      </c>
      <c r="AT109" s="818">
        <v>0</v>
      </c>
      <c r="AU109" s="818">
        <v>0</v>
      </c>
      <c r="AV109" s="818">
        <v>0</v>
      </c>
      <c r="AW109" s="817">
        <v>0</v>
      </c>
      <c r="AX109" s="818">
        <v>0</v>
      </c>
      <c r="AY109" s="818">
        <v>0</v>
      </c>
      <c r="AZ109" s="818">
        <v>0</v>
      </c>
      <c r="BA109" s="830">
        <v>97934613825</v>
      </c>
      <c r="BB109" s="830">
        <v>97552309856.839996</v>
      </c>
      <c r="BC109" s="831">
        <v>96619452584.130005</v>
      </c>
      <c r="BD109" s="831">
        <v>96619452584.130005</v>
      </c>
      <c r="BE109" s="817">
        <v>0</v>
      </c>
      <c r="BF109" s="818">
        <v>0</v>
      </c>
      <c r="BG109" s="818">
        <v>0</v>
      </c>
      <c r="BH109" s="818">
        <v>0</v>
      </c>
      <c r="BI109" s="817">
        <v>0</v>
      </c>
      <c r="BJ109" s="818">
        <v>0</v>
      </c>
      <c r="BK109" s="818">
        <v>0</v>
      </c>
      <c r="BL109" s="818">
        <v>0</v>
      </c>
      <c r="BM109" s="817">
        <f>+AC109+AG109+AK109+AO109+AS109+AW109+BA109+BE109+BI109</f>
        <v>97934613825</v>
      </c>
      <c r="BN109" s="818">
        <f>AD109+AH109+AL109+AP109+AT109+AX109+BB109+BF109+BJ109</f>
        <v>97552309856.839996</v>
      </c>
      <c r="BO109" s="818">
        <f>AE109+AI109+AM109+AQ109+AU109+AY109+BC109+BG109+BK109</f>
        <v>96619452584.130005</v>
      </c>
      <c r="BP109" s="818">
        <f>AF109+AJ109+AN109+AR109+AV109+AZ109+BD109+BH109+BL109</f>
        <v>96619452584.130005</v>
      </c>
      <c r="BQ109" s="667"/>
      <c r="BR109" s="667"/>
      <c r="BS109" s="667"/>
      <c r="BT109" s="667"/>
      <c r="BU109" s="667"/>
      <c r="BV109" s="667"/>
      <c r="BW109" s="667"/>
      <c r="BX109" s="667"/>
      <c r="BY109" s="667"/>
      <c r="BZ109" s="667"/>
      <c r="CA109" s="667"/>
      <c r="CB109" s="667"/>
      <c r="CC109" s="667"/>
      <c r="CD109" s="667"/>
      <c r="CE109" s="667"/>
      <c r="CF109" s="667"/>
      <c r="CG109" s="667"/>
      <c r="CH109" s="667"/>
      <c r="CI109" s="667"/>
      <c r="CJ109" s="667"/>
      <c r="CK109" s="667"/>
      <c r="CL109" s="667"/>
      <c r="CM109" s="667"/>
      <c r="CN109" s="667"/>
      <c r="CO109" s="667"/>
      <c r="CP109" s="667"/>
      <c r="CQ109" s="667">
        <f>100872652239.75</f>
        <v>100872652239.75</v>
      </c>
      <c r="CR109" s="667">
        <v>108524888182</v>
      </c>
      <c r="CS109" s="667">
        <f>106036933375.14</f>
        <v>106036933375.14</v>
      </c>
      <c r="CT109" s="667">
        <f>106031629125.14</f>
        <v>106031629125.14</v>
      </c>
      <c r="CU109" s="667"/>
      <c r="CV109" s="667"/>
      <c r="CW109" s="667"/>
      <c r="CX109" s="667"/>
      <c r="CY109" s="667"/>
      <c r="CZ109" s="667"/>
      <c r="DA109" s="667"/>
      <c r="DB109" s="667"/>
      <c r="DC109" s="667"/>
      <c r="DD109" s="667"/>
      <c r="DE109" s="708">
        <f>BQ109+BU109+BZ109+CE109+CI109+CM109+CQ109+CV109+DA109</f>
        <v>100872652239.75</v>
      </c>
      <c r="DF109" s="708">
        <f>BR109+BV109+CA109+CF109+CJ109+CN109+CR109+CW109+DB109</f>
        <v>108524888182</v>
      </c>
      <c r="DG109" s="708">
        <f>BS109+BW109+CB109+CG109+CK109+CO109+CS109+CX109+DC109</f>
        <v>106036933375.14</v>
      </c>
      <c r="DH109" s="708">
        <f>BT109+BX109+CC109+CH109+CL109+CP109+CT109+CY109+DD109</f>
        <v>106031629125.14</v>
      </c>
      <c r="DI109" s="708"/>
      <c r="DJ109" s="819"/>
      <c r="DK109" s="819"/>
      <c r="DL109" s="819"/>
      <c r="DM109" s="819"/>
      <c r="DN109" s="819"/>
      <c r="DO109" s="819">
        <v>15000000</v>
      </c>
      <c r="DP109" s="819">
        <v>15000000</v>
      </c>
      <c r="DQ109" s="819">
        <v>15000000</v>
      </c>
      <c r="DR109" s="819"/>
      <c r="DS109" s="819"/>
      <c r="DT109" s="819"/>
      <c r="DU109" s="819"/>
      <c r="DV109" s="819"/>
      <c r="DW109" s="819"/>
      <c r="DX109" s="819"/>
      <c r="DY109" s="819"/>
      <c r="DZ109" s="819"/>
      <c r="EA109" s="819"/>
      <c r="EB109" s="819"/>
      <c r="EC109" s="819"/>
      <c r="ED109" s="819"/>
      <c r="EE109" s="819"/>
      <c r="EF109" s="819"/>
      <c r="EG109" s="819"/>
      <c r="EH109" s="819"/>
      <c r="EI109" s="819"/>
      <c r="EJ109" s="706">
        <v>103898831806.94299</v>
      </c>
      <c r="EK109" s="706">
        <v>117049364955</v>
      </c>
      <c r="EL109" s="706">
        <v>116987378125.24001</v>
      </c>
      <c r="EM109" s="706">
        <v>116982429870.24001</v>
      </c>
      <c r="EN109" s="819"/>
      <c r="EO109" s="819"/>
      <c r="EP109" s="819"/>
      <c r="EQ109" s="819"/>
      <c r="ER109" s="819"/>
      <c r="ES109" s="819"/>
      <c r="ET109" s="708"/>
      <c r="EU109" s="708"/>
      <c r="EV109" s="708"/>
      <c r="EW109" s="708">
        <f>DJ109+DN109+DS109+DX109+EB109+EF109+EJ109+EN109+ES109</f>
        <v>103898831806.94299</v>
      </c>
      <c r="EX109" s="819">
        <f>DK109+DO109+DT109+DY109+EC109+EG109+EK109+EO109+ET109</f>
        <v>117064364955</v>
      </c>
      <c r="EY109" s="819">
        <f>DL109+DP109+DU109+DZ109+ED109+EH109+EL109+EP109+EU109</f>
        <v>117002378125.24001</v>
      </c>
      <c r="EZ109" s="819">
        <f>DM109+DQ109+DV109+EA109+EE109+EI109+EM109+EQ109+EV109</f>
        <v>116997429870.24001</v>
      </c>
      <c r="FA109" s="820"/>
      <c r="FB109" s="667"/>
      <c r="FC109" s="706"/>
      <c r="FD109" s="706"/>
      <c r="FE109" s="706"/>
      <c r="FF109" s="707"/>
      <c r="FG109" s="667"/>
      <c r="FH109" s="667">
        <v>4620683724</v>
      </c>
      <c r="FI109" s="667">
        <v>4620376171</v>
      </c>
      <c r="FJ109" s="667">
        <v>4620376171</v>
      </c>
      <c r="FK109" s="667"/>
      <c r="FL109" s="667"/>
      <c r="FM109" s="667"/>
      <c r="FN109" s="667"/>
      <c r="FO109" s="667"/>
      <c r="FP109" s="667"/>
      <c r="FQ109" s="667"/>
      <c r="FR109" s="667"/>
      <c r="FS109" s="667"/>
      <c r="FT109" s="667"/>
      <c r="FU109" s="667"/>
      <c r="FV109" s="667"/>
      <c r="FW109" s="667"/>
      <c r="FX109" s="667"/>
      <c r="FY109" s="667"/>
      <c r="FZ109" s="667"/>
      <c r="GA109" s="667"/>
      <c r="GB109" s="667"/>
      <c r="GC109" s="667"/>
      <c r="GD109" s="667"/>
      <c r="GE109" s="667"/>
      <c r="GF109" s="667">
        <v>107015796761.151</v>
      </c>
      <c r="GG109" s="667">
        <v>144231459176.28998</v>
      </c>
      <c r="GH109" s="667">
        <v>57129221575</v>
      </c>
      <c r="GI109" s="667">
        <v>56653504739</v>
      </c>
      <c r="GJ109" s="667"/>
      <c r="GK109" s="667"/>
      <c r="GL109" s="667"/>
      <c r="GM109" s="667"/>
      <c r="GN109" s="667"/>
      <c r="GO109" s="667"/>
      <c r="GP109" s="667"/>
      <c r="GQ109" s="667"/>
      <c r="GR109" s="667"/>
      <c r="GS109" s="667"/>
      <c r="GT109" s="667"/>
      <c r="GU109" s="708">
        <f>FB109+FG109+FL109+FQ109+FV109+GA109+GF109+GK109+GP109</f>
        <v>107015796761.151</v>
      </c>
      <c r="GV109" s="708">
        <f>GQ109+GL109+GG109+GB109+FW109+FR109+FM109+FH109+FC109</f>
        <v>148852142900.28998</v>
      </c>
      <c r="GW109" s="708">
        <f>GR109+GM109+GH109+GC109+FX109+FS109+FN109+FI109+FD109</f>
        <v>61749597746</v>
      </c>
      <c r="GX109" s="708">
        <f>GS109+GN109+GI109+GD109+FY109+FT109+FO109+FJ109+FE109</f>
        <v>61273880910</v>
      </c>
      <c r="GY109" s="709">
        <f>GT109+GO109+GJ109+GE109+FZ109+FU109+FP109+FK109+FF109</f>
        <v>0</v>
      </c>
      <c r="GZ109" s="710">
        <f>BM109+DE109+EW109+GU109</f>
        <v>409721894632.84399</v>
      </c>
    </row>
    <row r="110" spans="1:208" ht="24.75" customHeight="1" x14ac:dyDescent="0.2">
      <c r="A110" s="326"/>
      <c r="B110" s="234">
        <v>6</v>
      </c>
      <c r="C110" s="324" t="s">
        <v>290</v>
      </c>
      <c r="D110" s="239"/>
      <c r="E110" s="239"/>
      <c r="F110" s="239"/>
      <c r="G110" s="238"/>
      <c r="H110" s="238"/>
      <c r="I110" s="238"/>
      <c r="J110" s="238"/>
      <c r="K110" s="238"/>
      <c r="L110" s="238"/>
      <c r="M110" s="238"/>
      <c r="N110" s="238"/>
      <c r="O110" s="238"/>
      <c r="P110" s="238"/>
      <c r="Q110" s="238"/>
      <c r="R110" s="238"/>
      <c r="S110" s="238"/>
      <c r="T110" s="238"/>
      <c r="U110" s="238"/>
      <c r="V110" s="238"/>
      <c r="W110" s="238"/>
      <c r="X110" s="238"/>
      <c r="Y110" s="241"/>
      <c r="Z110" s="238"/>
      <c r="AA110" s="238"/>
      <c r="AB110" s="238"/>
      <c r="AC110" s="50">
        <f t="shared" ref="AC110:CN110" si="215">AC111+AC120+AC131+AC136</f>
        <v>0</v>
      </c>
      <c r="AD110" s="50">
        <f t="shared" si="215"/>
        <v>0</v>
      </c>
      <c r="AE110" s="50">
        <f t="shared" si="215"/>
        <v>0</v>
      </c>
      <c r="AF110" s="50">
        <f t="shared" si="215"/>
        <v>0</v>
      </c>
      <c r="AG110" s="50">
        <f t="shared" si="215"/>
        <v>100000000</v>
      </c>
      <c r="AH110" s="50">
        <f t="shared" si="215"/>
        <v>651120524.54999995</v>
      </c>
      <c r="AI110" s="50">
        <f t="shared" si="215"/>
        <v>405569514</v>
      </c>
      <c r="AJ110" s="50">
        <f t="shared" si="215"/>
        <v>383198989</v>
      </c>
      <c r="AK110" s="50">
        <f t="shared" si="215"/>
        <v>105000000</v>
      </c>
      <c r="AL110" s="50">
        <f t="shared" si="215"/>
        <v>105000000</v>
      </c>
      <c r="AM110" s="50">
        <f t="shared" si="215"/>
        <v>62480000</v>
      </c>
      <c r="AN110" s="50">
        <f t="shared" si="215"/>
        <v>62480000</v>
      </c>
      <c r="AO110" s="50">
        <f t="shared" si="215"/>
        <v>0</v>
      </c>
      <c r="AP110" s="50">
        <f t="shared" si="215"/>
        <v>0</v>
      </c>
      <c r="AQ110" s="50">
        <f t="shared" si="215"/>
        <v>0</v>
      </c>
      <c r="AR110" s="50">
        <f t="shared" si="215"/>
        <v>0</v>
      </c>
      <c r="AS110" s="50">
        <f t="shared" si="215"/>
        <v>0</v>
      </c>
      <c r="AT110" s="50">
        <f t="shared" si="215"/>
        <v>48879475.450000003</v>
      </c>
      <c r="AU110" s="50">
        <f t="shared" si="215"/>
        <v>45699075</v>
      </c>
      <c r="AV110" s="50">
        <f t="shared" si="215"/>
        <v>35000000</v>
      </c>
      <c r="AW110" s="50">
        <f t="shared" si="215"/>
        <v>0</v>
      </c>
      <c r="AX110" s="50">
        <f t="shared" si="215"/>
        <v>0</v>
      </c>
      <c r="AY110" s="50">
        <f t="shared" si="215"/>
        <v>0</v>
      </c>
      <c r="AZ110" s="50">
        <f t="shared" si="215"/>
        <v>0</v>
      </c>
      <c r="BA110" s="50">
        <f t="shared" si="215"/>
        <v>360000000</v>
      </c>
      <c r="BB110" s="50">
        <f t="shared" si="215"/>
        <v>360000000</v>
      </c>
      <c r="BC110" s="50">
        <f t="shared" si="215"/>
        <v>7500000</v>
      </c>
      <c r="BD110" s="50">
        <f t="shared" si="215"/>
        <v>7500000</v>
      </c>
      <c r="BE110" s="50">
        <f t="shared" si="215"/>
        <v>0</v>
      </c>
      <c r="BF110" s="50">
        <f t="shared" si="215"/>
        <v>0</v>
      </c>
      <c r="BG110" s="50">
        <f t="shared" si="215"/>
        <v>0</v>
      </c>
      <c r="BH110" s="50">
        <f t="shared" si="215"/>
        <v>0</v>
      </c>
      <c r="BI110" s="50">
        <f t="shared" si="215"/>
        <v>4200000000</v>
      </c>
      <c r="BJ110" s="50">
        <f t="shared" si="215"/>
        <v>0</v>
      </c>
      <c r="BK110" s="50">
        <f t="shared" si="215"/>
        <v>0</v>
      </c>
      <c r="BL110" s="50">
        <f t="shared" si="215"/>
        <v>0</v>
      </c>
      <c r="BM110" s="50">
        <f t="shared" si="215"/>
        <v>4765000000</v>
      </c>
      <c r="BN110" s="50">
        <f t="shared" si="215"/>
        <v>1165000000</v>
      </c>
      <c r="BO110" s="50">
        <f t="shared" si="215"/>
        <v>521248589</v>
      </c>
      <c r="BP110" s="50">
        <f t="shared" si="215"/>
        <v>488178989</v>
      </c>
      <c r="BQ110" s="50">
        <f t="shared" si="215"/>
        <v>0</v>
      </c>
      <c r="BR110" s="50">
        <f t="shared" si="215"/>
        <v>0</v>
      </c>
      <c r="BS110" s="50">
        <f t="shared" si="215"/>
        <v>0</v>
      </c>
      <c r="BT110" s="50">
        <f t="shared" si="215"/>
        <v>0</v>
      </c>
      <c r="BU110" s="50">
        <f t="shared" si="215"/>
        <v>103000000</v>
      </c>
      <c r="BV110" s="50">
        <f t="shared" si="215"/>
        <v>349950000</v>
      </c>
      <c r="BW110" s="50">
        <f t="shared" si="215"/>
        <v>299731040</v>
      </c>
      <c r="BX110" s="50">
        <f t="shared" si="215"/>
        <v>299731040</v>
      </c>
      <c r="BY110" s="50">
        <f t="shared" si="215"/>
        <v>10699075</v>
      </c>
      <c r="BZ110" s="50">
        <f t="shared" si="215"/>
        <v>80000000</v>
      </c>
      <c r="CA110" s="50">
        <f t="shared" si="215"/>
        <v>452254816</v>
      </c>
      <c r="CB110" s="50">
        <f t="shared" si="215"/>
        <v>155754816</v>
      </c>
      <c r="CC110" s="50">
        <f t="shared" si="215"/>
        <v>155754816</v>
      </c>
      <c r="CD110" s="50">
        <f t="shared" si="215"/>
        <v>7370525</v>
      </c>
      <c r="CE110" s="50">
        <f t="shared" si="215"/>
        <v>0</v>
      </c>
      <c r="CF110" s="50">
        <f t="shared" si="215"/>
        <v>0</v>
      </c>
      <c r="CG110" s="50">
        <f t="shared" si="215"/>
        <v>0</v>
      </c>
      <c r="CH110" s="50">
        <f t="shared" si="215"/>
        <v>0</v>
      </c>
      <c r="CI110" s="50">
        <f t="shared" si="215"/>
        <v>0</v>
      </c>
      <c r="CJ110" s="50">
        <f t="shared" si="215"/>
        <v>0</v>
      </c>
      <c r="CK110" s="50">
        <f t="shared" si="215"/>
        <v>0</v>
      </c>
      <c r="CL110" s="50">
        <f t="shared" si="215"/>
        <v>0</v>
      </c>
      <c r="CM110" s="50">
        <f t="shared" si="215"/>
        <v>0</v>
      </c>
      <c r="CN110" s="50">
        <f t="shared" si="215"/>
        <v>0</v>
      </c>
      <c r="CO110" s="50">
        <f t="shared" ref="CO110:EV110" si="216">CO111+CO120+CO131+CO136</f>
        <v>0</v>
      </c>
      <c r="CP110" s="50">
        <f t="shared" si="216"/>
        <v>0</v>
      </c>
      <c r="CQ110" s="50">
        <f t="shared" si="216"/>
        <v>370800000</v>
      </c>
      <c r="CR110" s="50">
        <f t="shared" si="216"/>
        <v>286276023</v>
      </c>
      <c r="CS110" s="50">
        <f t="shared" si="216"/>
        <v>231068152</v>
      </c>
      <c r="CT110" s="50">
        <f t="shared" si="216"/>
        <v>231068152</v>
      </c>
      <c r="CU110" s="50">
        <f t="shared" si="216"/>
        <v>0</v>
      </c>
      <c r="CV110" s="50">
        <f t="shared" si="216"/>
        <v>0</v>
      </c>
      <c r="CW110" s="50">
        <f t="shared" si="216"/>
        <v>0</v>
      </c>
      <c r="CX110" s="50">
        <f t="shared" si="216"/>
        <v>0</v>
      </c>
      <c r="CY110" s="50">
        <f t="shared" si="216"/>
        <v>0</v>
      </c>
      <c r="CZ110" s="50">
        <f t="shared" si="216"/>
        <v>0</v>
      </c>
      <c r="DA110" s="50">
        <f t="shared" si="216"/>
        <v>5295276423</v>
      </c>
      <c r="DB110" s="50">
        <f t="shared" si="216"/>
        <v>0</v>
      </c>
      <c r="DC110" s="50">
        <f t="shared" si="216"/>
        <v>0</v>
      </c>
      <c r="DD110" s="50">
        <f t="shared" si="216"/>
        <v>0</v>
      </c>
      <c r="DE110" s="50">
        <f t="shared" si="216"/>
        <v>5849076423</v>
      </c>
      <c r="DF110" s="50">
        <f t="shared" si="216"/>
        <v>1088480839</v>
      </c>
      <c r="DG110" s="50">
        <f t="shared" si="216"/>
        <v>686554008</v>
      </c>
      <c r="DH110" s="50">
        <f t="shared" si="216"/>
        <v>686554008</v>
      </c>
      <c r="DI110" s="50">
        <f t="shared" si="216"/>
        <v>18069600</v>
      </c>
      <c r="DJ110" s="50">
        <f t="shared" si="216"/>
        <v>0</v>
      </c>
      <c r="DK110" s="50">
        <f t="shared" si="216"/>
        <v>0</v>
      </c>
      <c r="DL110" s="50">
        <f t="shared" si="216"/>
        <v>0</v>
      </c>
      <c r="DM110" s="50">
        <f t="shared" si="216"/>
        <v>0</v>
      </c>
      <c r="DN110" s="50">
        <f t="shared" si="216"/>
        <v>106090000</v>
      </c>
      <c r="DO110" s="50">
        <f t="shared" si="216"/>
        <v>603465345</v>
      </c>
      <c r="DP110" s="50">
        <f t="shared" si="216"/>
        <v>510816080</v>
      </c>
      <c r="DQ110" s="50">
        <f t="shared" si="216"/>
        <v>510816080</v>
      </c>
      <c r="DR110" s="50">
        <f t="shared" si="216"/>
        <v>0</v>
      </c>
      <c r="DS110" s="50">
        <f t="shared" si="216"/>
        <v>35000000</v>
      </c>
      <c r="DT110" s="50">
        <f t="shared" si="216"/>
        <v>112000000</v>
      </c>
      <c r="DU110" s="50">
        <f t="shared" si="216"/>
        <v>70117632</v>
      </c>
      <c r="DV110" s="50">
        <f t="shared" si="216"/>
        <v>70117632</v>
      </c>
      <c r="DW110" s="50">
        <f t="shared" si="216"/>
        <v>0</v>
      </c>
      <c r="DX110" s="50">
        <f t="shared" si="216"/>
        <v>0</v>
      </c>
      <c r="DY110" s="50">
        <f t="shared" si="216"/>
        <v>0</v>
      </c>
      <c r="DZ110" s="50">
        <f t="shared" si="216"/>
        <v>0</v>
      </c>
      <c r="EA110" s="50">
        <f t="shared" si="216"/>
        <v>0</v>
      </c>
      <c r="EB110" s="50">
        <f t="shared" si="216"/>
        <v>0</v>
      </c>
      <c r="EC110" s="50">
        <f t="shared" si="216"/>
        <v>0</v>
      </c>
      <c r="ED110" s="50">
        <f t="shared" si="216"/>
        <v>0</v>
      </c>
      <c r="EE110" s="50">
        <f t="shared" si="216"/>
        <v>0</v>
      </c>
      <c r="EF110" s="50">
        <f t="shared" si="216"/>
        <v>0</v>
      </c>
      <c r="EG110" s="50">
        <f t="shared" si="216"/>
        <v>0</v>
      </c>
      <c r="EH110" s="50">
        <f t="shared" si="216"/>
        <v>0</v>
      </c>
      <c r="EI110" s="50">
        <f t="shared" si="216"/>
        <v>0</v>
      </c>
      <c r="EJ110" s="50">
        <f t="shared" si="216"/>
        <v>381924000</v>
      </c>
      <c r="EK110" s="50">
        <f t="shared" si="216"/>
        <v>253447106.86000001</v>
      </c>
      <c r="EL110" s="50">
        <f t="shared" si="216"/>
        <v>221458502</v>
      </c>
      <c r="EM110" s="50">
        <f t="shared" si="216"/>
        <v>221458502</v>
      </c>
      <c r="EN110" s="50">
        <f t="shared" si="216"/>
        <v>0</v>
      </c>
      <c r="EO110" s="50">
        <f t="shared" si="216"/>
        <v>0</v>
      </c>
      <c r="EP110" s="50">
        <f t="shared" si="216"/>
        <v>0</v>
      </c>
      <c r="EQ110" s="50">
        <f t="shared" si="216"/>
        <v>0</v>
      </c>
      <c r="ER110" s="50">
        <f t="shared" si="216"/>
        <v>0</v>
      </c>
      <c r="ES110" s="50">
        <f t="shared" si="216"/>
        <v>6000000000</v>
      </c>
      <c r="ET110" s="50">
        <f t="shared" si="216"/>
        <v>0</v>
      </c>
      <c r="EU110" s="50">
        <f t="shared" si="216"/>
        <v>0</v>
      </c>
      <c r="EV110" s="50">
        <f t="shared" si="216"/>
        <v>0</v>
      </c>
      <c r="EW110" s="50">
        <f t="shared" ref="EW110" si="217">EW111+EW120+EW131+EW136</f>
        <v>6523014000</v>
      </c>
      <c r="EX110" s="50">
        <f t="shared" ref="EX110:GZ110" si="218">EX111+EX120+EX131+EX136</f>
        <v>968912451.86000001</v>
      </c>
      <c r="EY110" s="50">
        <f t="shared" si="218"/>
        <v>802392214</v>
      </c>
      <c r="EZ110" s="50">
        <f t="shared" si="218"/>
        <v>802392214</v>
      </c>
      <c r="FA110" s="50">
        <f t="shared" si="218"/>
        <v>0</v>
      </c>
      <c r="FB110" s="50">
        <f t="shared" si="218"/>
        <v>0</v>
      </c>
      <c r="FC110" s="50">
        <f t="shared" si="218"/>
        <v>0</v>
      </c>
      <c r="FD110" s="50">
        <f t="shared" si="218"/>
        <v>0</v>
      </c>
      <c r="FE110" s="50">
        <f t="shared" si="218"/>
        <v>0</v>
      </c>
      <c r="FF110" s="50">
        <f t="shared" si="218"/>
        <v>0</v>
      </c>
      <c r="FG110" s="50">
        <f t="shared" si="218"/>
        <v>106090000</v>
      </c>
      <c r="FH110" s="50">
        <f t="shared" si="218"/>
        <v>158624000</v>
      </c>
      <c r="FI110" s="50">
        <f t="shared" si="218"/>
        <v>104571500</v>
      </c>
      <c r="FJ110" s="50">
        <f t="shared" si="218"/>
        <v>24684000</v>
      </c>
      <c r="FK110" s="50">
        <f t="shared" si="218"/>
        <v>0</v>
      </c>
      <c r="FL110" s="50">
        <f t="shared" si="218"/>
        <v>30000000</v>
      </c>
      <c r="FM110" s="50">
        <f t="shared" si="218"/>
        <v>196422756</v>
      </c>
      <c r="FN110" s="50">
        <f t="shared" si="218"/>
        <v>97002750</v>
      </c>
      <c r="FO110" s="50">
        <f t="shared" si="218"/>
        <v>94167250</v>
      </c>
      <c r="FP110" s="50">
        <f t="shared" si="218"/>
        <v>0</v>
      </c>
      <c r="FQ110" s="50">
        <f t="shared" si="218"/>
        <v>0</v>
      </c>
      <c r="FR110" s="50">
        <f t="shared" si="218"/>
        <v>0</v>
      </c>
      <c r="FS110" s="50">
        <f t="shared" si="218"/>
        <v>0</v>
      </c>
      <c r="FT110" s="50">
        <f t="shared" si="218"/>
        <v>0</v>
      </c>
      <c r="FU110" s="50">
        <f t="shared" si="218"/>
        <v>0</v>
      </c>
      <c r="FV110" s="50">
        <f t="shared" si="218"/>
        <v>0</v>
      </c>
      <c r="FW110" s="50">
        <f t="shared" si="218"/>
        <v>0</v>
      </c>
      <c r="FX110" s="50">
        <f t="shared" si="218"/>
        <v>0</v>
      </c>
      <c r="FY110" s="50">
        <f t="shared" si="218"/>
        <v>0</v>
      </c>
      <c r="FZ110" s="50">
        <f t="shared" si="218"/>
        <v>0</v>
      </c>
      <c r="GA110" s="50">
        <f t="shared" si="218"/>
        <v>0</v>
      </c>
      <c r="GB110" s="50">
        <f t="shared" si="218"/>
        <v>0</v>
      </c>
      <c r="GC110" s="50">
        <f t="shared" si="218"/>
        <v>0</v>
      </c>
      <c r="GD110" s="50">
        <f t="shared" si="218"/>
        <v>0</v>
      </c>
      <c r="GE110" s="50">
        <f t="shared" si="218"/>
        <v>0</v>
      </c>
      <c r="GF110" s="50">
        <f t="shared" si="218"/>
        <v>393381720</v>
      </c>
      <c r="GG110" s="50">
        <f t="shared" si="218"/>
        <v>249134822.86000001</v>
      </c>
      <c r="GH110" s="50">
        <f t="shared" si="218"/>
        <v>0</v>
      </c>
      <c r="GI110" s="50">
        <f t="shared" si="218"/>
        <v>0</v>
      </c>
      <c r="GJ110" s="50">
        <f t="shared" si="218"/>
        <v>0</v>
      </c>
      <c r="GK110" s="50">
        <f t="shared" si="218"/>
        <v>0</v>
      </c>
      <c r="GL110" s="50">
        <f t="shared" si="218"/>
        <v>0</v>
      </c>
      <c r="GM110" s="50">
        <f t="shared" si="218"/>
        <v>0</v>
      </c>
      <c r="GN110" s="50">
        <f t="shared" si="218"/>
        <v>0</v>
      </c>
      <c r="GO110" s="50">
        <f t="shared" si="218"/>
        <v>0</v>
      </c>
      <c r="GP110" s="50">
        <f t="shared" si="218"/>
        <v>4000000000</v>
      </c>
      <c r="GQ110" s="50">
        <f t="shared" si="218"/>
        <v>0</v>
      </c>
      <c r="GR110" s="50">
        <f t="shared" si="218"/>
        <v>0</v>
      </c>
      <c r="GS110" s="50">
        <f t="shared" si="218"/>
        <v>0</v>
      </c>
      <c r="GT110" s="50">
        <f t="shared" si="218"/>
        <v>0</v>
      </c>
      <c r="GU110" s="50">
        <f t="shared" si="218"/>
        <v>4529471720</v>
      </c>
      <c r="GV110" s="50">
        <f t="shared" si="218"/>
        <v>604181578.86000001</v>
      </c>
      <c r="GW110" s="50">
        <f t="shared" si="218"/>
        <v>201574250</v>
      </c>
      <c r="GX110" s="50">
        <f t="shared" si="218"/>
        <v>118851250</v>
      </c>
      <c r="GY110" s="50">
        <f t="shared" si="218"/>
        <v>0</v>
      </c>
      <c r="GZ110" s="50">
        <f t="shared" si="218"/>
        <v>21666562143</v>
      </c>
    </row>
    <row r="111" spans="1:208" ht="24.75" customHeight="1" x14ac:dyDescent="0.2">
      <c r="A111" s="326"/>
      <c r="B111" s="993"/>
      <c r="C111" s="246">
        <v>19</v>
      </c>
      <c r="D111" s="247" t="s">
        <v>291</v>
      </c>
      <c r="E111" s="255"/>
      <c r="F111" s="255"/>
      <c r="G111" s="249"/>
      <c r="H111" s="249"/>
      <c r="I111" s="249"/>
      <c r="J111" s="249"/>
      <c r="K111" s="249"/>
      <c r="L111" s="249"/>
      <c r="M111" s="249"/>
      <c r="N111" s="249"/>
      <c r="O111" s="249"/>
      <c r="P111" s="249"/>
      <c r="Q111" s="249"/>
      <c r="R111" s="249"/>
      <c r="S111" s="249"/>
      <c r="T111" s="249"/>
      <c r="U111" s="249"/>
      <c r="V111" s="249"/>
      <c r="W111" s="249"/>
      <c r="X111" s="249"/>
      <c r="Y111" s="296"/>
      <c r="Z111" s="249"/>
      <c r="AA111" s="249"/>
      <c r="AB111" s="249"/>
      <c r="AC111" s="51">
        <f t="shared" ref="AC111:BL111" si="219">SUM(AC112:AC119)</f>
        <v>0</v>
      </c>
      <c r="AD111" s="51">
        <f t="shared" si="219"/>
        <v>0</v>
      </c>
      <c r="AE111" s="51">
        <f t="shared" si="219"/>
        <v>0</v>
      </c>
      <c r="AF111" s="51">
        <f t="shared" si="219"/>
        <v>0</v>
      </c>
      <c r="AG111" s="51">
        <f t="shared" si="219"/>
        <v>100000000</v>
      </c>
      <c r="AH111" s="51">
        <f t="shared" si="219"/>
        <v>51120524.549999997</v>
      </c>
      <c r="AI111" s="51">
        <f t="shared" si="219"/>
        <v>51120525</v>
      </c>
      <c r="AJ111" s="51">
        <f t="shared" si="219"/>
        <v>43750000</v>
      </c>
      <c r="AK111" s="51">
        <f t="shared" si="219"/>
        <v>30000000</v>
      </c>
      <c r="AL111" s="51">
        <f t="shared" si="219"/>
        <v>30000000</v>
      </c>
      <c r="AM111" s="51">
        <f t="shared" si="219"/>
        <v>25480000</v>
      </c>
      <c r="AN111" s="51">
        <f t="shared" si="219"/>
        <v>25480000</v>
      </c>
      <c r="AO111" s="51">
        <f t="shared" si="219"/>
        <v>0</v>
      </c>
      <c r="AP111" s="51">
        <f t="shared" si="219"/>
        <v>0</v>
      </c>
      <c r="AQ111" s="51">
        <f t="shared" si="219"/>
        <v>0</v>
      </c>
      <c r="AR111" s="51">
        <f t="shared" si="219"/>
        <v>0</v>
      </c>
      <c r="AS111" s="51">
        <f t="shared" si="219"/>
        <v>0</v>
      </c>
      <c r="AT111" s="51">
        <f t="shared" si="219"/>
        <v>48879475.450000003</v>
      </c>
      <c r="AU111" s="51">
        <f t="shared" si="219"/>
        <v>45699075</v>
      </c>
      <c r="AV111" s="51">
        <f t="shared" si="219"/>
        <v>35000000</v>
      </c>
      <c r="AW111" s="51">
        <f t="shared" si="219"/>
        <v>0</v>
      </c>
      <c r="AX111" s="51">
        <f t="shared" si="219"/>
        <v>0</v>
      </c>
      <c r="AY111" s="51">
        <f t="shared" si="219"/>
        <v>0</v>
      </c>
      <c r="AZ111" s="51">
        <f t="shared" si="219"/>
        <v>0</v>
      </c>
      <c r="BA111" s="51">
        <f t="shared" si="219"/>
        <v>0</v>
      </c>
      <c r="BB111" s="51">
        <f t="shared" si="219"/>
        <v>0</v>
      </c>
      <c r="BC111" s="51">
        <f t="shared" si="219"/>
        <v>0</v>
      </c>
      <c r="BD111" s="51">
        <f t="shared" si="219"/>
        <v>0</v>
      </c>
      <c r="BE111" s="51">
        <f t="shared" si="219"/>
        <v>0</v>
      </c>
      <c r="BF111" s="51">
        <f t="shared" si="219"/>
        <v>0</v>
      </c>
      <c r="BG111" s="51">
        <f t="shared" si="219"/>
        <v>0</v>
      </c>
      <c r="BH111" s="51">
        <f t="shared" si="219"/>
        <v>0</v>
      </c>
      <c r="BI111" s="51">
        <f t="shared" si="219"/>
        <v>0</v>
      </c>
      <c r="BJ111" s="51">
        <f t="shared" si="219"/>
        <v>0</v>
      </c>
      <c r="BK111" s="51">
        <f t="shared" si="219"/>
        <v>0</v>
      </c>
      <c r="BL111" s="51">
        <f t="shared" si="219"/>
        <v>0</v>
      </c>
      <c r="BM111" s="51">
        <f t="shared" ref="BM111:DX111" si="220">SUM(BM112:BM119)</f>
        <v>130000000</v>
      </c>
      <c r="BN111" s="51">
        <f t="shared" si="220"/>
        <v>130000000</v>
      </c>
      <c r="BO111" s="51">
        <f t="shared" si="220"/>
        <v>122299600</v>
      </c>
      <c r="BP111" s="51">
        <f t="shared" si="220"/>
        <v>104230000</v>
      </c>
      <c r="BQ111" s="51">
        <f t="shared" si="220"/>
        <v>0</v>
      </c>
      <c r="BR111" s="51">
        <f t="shared" si="220"/>
        <v>0</v>
      </c>
      <c r="BS111" s="51">
        <f t="shared" si="220"/>
        <v>0</v>
      </c>
      <c r="BT111" s="51">
        <f t="shared" si="220"/>
        <v>0</v>
      </c>
      <c r="BU111" s="51">
        <f t="shared" si="220"/>
        <v>103000000</v>
      </c>
      <c r="BV111" s="51">
        <f t="shared" si="220"/>
        <v>59950000</v>
      </c>
      <c r="BW111" s="51">
        <f t="shared" si="220"/>
        <v>59950000</v>
      </c>
      <c r="BX111" s="51">
        <f t="shared" si="220"/>
        <v>59950000</v>
      </c>
      <c r="BY111" s="51">
        <f t="shared" si="220"/>
        <v>10699075</v>
      </c>
      <c r="BZ111" s="51">
        <f t="shared" si="220"/>
        <v>0</v>
      </c>
      <c r="CA111" s="51">
        <f t="shared" si="220"/>
        <v>99154816</v>
      </c>
      <c r="CB111" s="51">
        <f t="shared" si="220"/>
        <v>91954816</v>
      </c>
      <c r="CC111" s="51">
        <f t="shared" si="220"/>
        <v>91954816</v>
      </c>
      <c r="CD111" s="51">
        <f t="shared" si="220"/>
        <v>7370525</v>
      </c>
      <c r="CE111" s="51">
        <f t="shared" si="220"/>
        <v>0</v>
      </c>
      <c r="CF111" s="51">
        <f t="shared" si="220"/>
        <v>0</v>
      </c>
      <c r="CG111" s="51">
        <f t="shared" si="220"/>
        <v>0</v>
      </c>
      <c r="CH111" s="51">
        <f t="shared" si="220"/>
        <v>0</v>
      </c>
      <c r="CI111" s="51">
        <f t="shared" si="220"/>
        <v>0</v>
      </c>
      <c r="CJ111" s="51">
        <f t="shared" si="220"/>
        <v>0</v>
      </c>
      <c r="CK111" s="51">
        <f t="shared" si="220"/>
        <v>0</v>
      </c>
      <c r="CL111" s="51">
        <f t="shared" si="220"/>
        <v>0</v>
      </c>
      <c r="CM111" s="51">
        <f t="shared" si="220"/>
        <v>0</v>
      </c>
      <c r="CN111" s="51">
        <f t="shared" si="220"/>
        <v>0</v>
      </c>
      <c r="CO111" s="51">
        <f t="shared" si="220"/>
        <v>0</v>
      </c>
      <c r="CP111" s="51">
        <f t="shared" si="220"/>
        <v>0</v>
      </c>
      <c r="CQ111" s="51">
        <f t="shared" si="220"/>
        <v>0</v>
      </c>
      <c r="CR111" s="51">
        <f t="shared" si="220"/>
        <v>0</v>
      </c>
      <c r="CS111" s="51">
        <f t="shared" si="220"/>
        <v>0</v>
      </c>
      <c r="CT111" s="51">
        <f t="shared" si="220"/>
        <v>0</v>
      </c>
      <c r="CU111" s="51">
        <f t="shared" si="220"/>
        <v>0</v>
      </c>
      <c r="CV111" s="51">
        <f t="shared" si="220"/>
        <v>0</v>
      </c>
      <c r="CW111" s="51">
        <f t="shared" si="220"/>
        <v>0</v>
      </c>
      <c r="CX111" s="51">
        <f t="shared" si="220"/>
        <v>0</v>
      </c>
      <c r="CY111" s="51">
        <f t="shared" si="220"/>
        <v>0</v>
      </c>
      <c r="CZ111" s="51">
        <f t="shared" si="220"/>
        <v>0</v>
      </c>
      <c r="DA111" s="51">
        <f t="shared" si="220"/>
        <v>0</v>
      </c>
      <c r="DB111" s="51">
        <f t="shared" si="220"/>
        <v>0</v>
      </c>
      <c r="DC111" s="51">
        <f t="shared" si="220"/>
        <v>0</v>
      </c>
      <c r="DD111" s="51">
        <f t="shared" si="220"/>
        <v>0</v>
      </c>
      <c r="DE111" s="51">
        <f t="shared" si="220"/>
        <v>103000000</v>
      </c>
      <c r="DF111" s="51">
        <f t="shared" si="220"/>
        <v>159104816</v>
      </c>
      <c r="DG111" s="51">
        <f t="shared" si="220"/>
        <v>151904816</v>
      </c>
      <c r="DH111" s="51">
        <f t="shared" si="220"/>
        <v>151904816</v>
      </c>
      <c r="DI111" s="51">
        <f t="shared" si="220"/>
        <v>18069600</v>
      </c>
      <c r="DJ111" s="51">
        <f t="shared" si="220"/>
        <v>0</v>
      </c>
      <c r="DK111" s="51">
        <f t="shared" si="220"/>
        <v>0</v>
      </c>
      <c r="DL111" s="51">
        <f t="shared" si="220"/>
        <v>0</v>
      </c>
      <c r="DM111" s="51">
        <f t="shared" si="220"/>
        <v>0</v>
      </c>
      <c r="DN111" s="51">
        <f t="shared" si="220"/>
        <v>106090000</v>
      </c>
      <c r="DO111" s="51">
        <f t="shared" si="220"/>
        <v>218165345</v>
      </c>
      <c r="DP111" s="51">
        <f t="shared" si="220"/>
        <v>177525000</v>
      </c>
      <c r="DQ111" s="51">
        <f t="shared" si="220"/>
        <v>177525000</v>
      </c>
      <c r="DR111" s="51">
        <f t="shared" si="220"/>
        <v>0</v>
      </c>
      <c r="DS111" s="51">
        <f t="shared" si="220"/>
        <v>0</v>
      </c>
      <c r="DT111" s="51">
        <f t="shared" si="220"/>
        <v>30000000</v>
      </c>
      <c r="DU111" s="51">
        <f t="shared" si="220"/>
        <v>13375000</v>
      </c>
      <c r="DV111" s="51">
        <f t="shared" si="220"/>
        <v>13375000</v>
      </c>
      <c r="DW111" s="51">
        <f t="shared" si="220"/>
        <v>0</v>
      </c>
      <c r="DX111" s="51">
        <f t="shared" si="220"/>
        <v>0</v>
      </c>
      <c r="DY111" s="51">
        <f t="shared" ref="DY111:EW111" si="221">SUM(DY112:DY119)</f>
        <v>0</v>
      </c>
      <c r="DZ111" s="51">
        <f t="shared" si="221"/>
        <v>0</v>
      </c>
      <c r="EA111" s="51">
        <f t="shared" si="221"/>
        <v>0</v>
      </c>
      <c r="EB111" s="51">
        <f t="shared" si="221"/>
        <v>0</v>
      </c>
      <c r="EC111" s="51">
        <f t="shared" si="221"/>
        <v>0</v>
      </c>
      <c r="ED111" s="51">
        <f t="shared" si="221"/>
        <v>0</v>
      </c>
      <c r="EE111" s="51">
        <f t="shared" si="221"/>
        <v>0</v>
      </c>
      <c r="EF111" s="51">
        <f t="shared" si="221"/>
        <v>0</v>
      </c>
      <c r="EG111" s="51">
        <f t="shared" si="221"/>
        <v>0</v>
      </c>
      <c r="EH111" s="51">
        <f t="shared" si="221"/>
        <v>0</v>
      </c>
      <c r="EI111" s="51">
        <f t="shared" si="221"/>
        <v>0</v>
      </c>
      <c r="EJ111" s="51">
        <f t="shared" si="221"/>
        <v>0</v>
      </c>
      <c r="EK111" s="51">
        <f t="shared" si="221"/>
        <v>0</v>
      </c>
      <c r="EL111" s="51">
        <f t="shared" si="221"/>
        <v>0</v>
      </c>
      <c r="EM111" s="51">
        <f t="shared" si="221"/>
        <v>0</v>
      </c>
      <c r="EN111" s="51">
        <f t="shared" si="221"/>
        <v>0</v>
      </c>
      <c r="EO111" s="51">
        <f t="shared" si="221"/>
        <v>0</v>
      </c>
      <c r="EP111" s="51">
        <f t="shared" si="221"/>
        <v>0</v>
      </c>
      <c r="EQ111" s="51">
        <f t="shared" si="221"/>
        <v>0</v>
      </c>
      <c r="ER111" s="51">
        <f t="shared" si="221"/>
        <v>0</v>
      </c>
      <c r="ES111" s="51">
        <f t="shared" si="221"/>
        <v>0</v>
      </c>
      <c r="ET111" s="51">
        <f t="shared" si="221"/>
        <v>0</v>
      </c>
      <c r="EU111" s="51">
        <f t="shared" si="221"/>
        <v>0</v>
      </c>
      <c r="EV111" s="51">
        <f t="shared" si="221"/>
        <v>0</v>
      </c>
      <c r="EW111" s="51">
        <f t="shared" si="221"/>
        <v>106090000</v>
      </c>
      <c r="EX111" s="51">
        <f t="shared" ref="EX111:GZ111" si="222">SUM(EX112:EX119)</f>
        <v>248165345</v>
      </c>
      <c r="EY111" s="51">
        <f t="shared" si="222"/>
        <v>190900000</v>
      </c>
      <c r="EZ111" s="51">
        <f t="shared" si="222"/>
        <v>190900000</v>
      </c>
      <c r="FA111" s="51">
        <f t="shared" si="222"/>
        <v>0</v>
      </c>
      <c r="FB111" s="602">
        <f t="shared" si="222"/>
        <v>0</v>
      </c>
      <c r="FC111" s="51">
        <f t="shared" si="222"/>
        <v>0</v>
      </c>
      <c r="FD111" s="51">
        <f t="shared" si="222"/>
        <v>0</v>
      </c>
      <c r="FE111" s="51">
        <f t="shared" si="222"/>
        <v>0</v>
      </c>
      <c r="FF111" s="51">
        <f t="shared" si="222"/>
        <v>0</v>
      </c>
      <c r="FG111" s="51">
        <f t="shared" si="222"/>
        <v>106090000</v>
      </c>
      <c r="FH111" s="51">
        <f t="shared" si="222"/>
        <v>18355000</v>
      </c>
      <c r="FI111" s="51">
        <f t="shared" si="222"/>
        <v>0</v>
      </c>
      <c r="FJ111" s="51">
        <f t="shared" si="222"/>
        <v>0</v>
      </c>
      <c r="FK111" s="51">
        <f t="shared" si="222"/>
        <v>0</v>
      </c>
      <c r="FL111" s="51">
        <f t="shared" si="222"/>
        <v>0</v>
      </c>
      <c r="FM111" s="51">
        <f t="shared" si="222"/>
        <v>10000000</v>
      </c>
      <c r="FN111" s="51">
        <f t="shared" si="222"/>
        <v>9924250</v>
      </c>
      <c r="FO111" s="51">
        <f t="shared" si="222"/>
        <v>9924250</v>
      </c>
      <c r="FP111" s="51">
        <f t="shared" si="222"/>
        <v>0</v>
      </c>
      <c r="FQ111" s="51">
        <f t="shared" si="222"/>
        <v>0</v>
      </c>
      <c r="FR111" s="51">
        <f t="shared" si="222"/>
        <v>0</v>
      </c>
      <c r="FS111" s="51">
        <f t="shared" si="222"/>
        <v>0</v>
      </c>
      <c r="FT111" s="51">
        <f t="shared" si="222"/>
        <v>0</v>
      </c>
      <c r="FU111" s="51">
        <f t="shared" si="222"/>
        <v>0</v>
      </c>
      <c r="FV111" s="51">
        <f t="shared" si="222"/>
        <v>0</v>
      </c>
      <c r="FW111" s="51">
        <f t="shared" si="222"/>
        <v>0</v>
      </c>
      <c r="FX111" s="51">
        <f t="shared" si="222"/>
        <v>0</v>
      </c>
      <c r="FY111" s="51">
        <f t="shared" si="222"/>
        <v>0</v>
      </c>
      <c r="FZ111" s="51">
        <f t="shared" si="222"/>
        <v>0</v>
      </c>
      <c r="GA111" s="51">
        <f t="shared" si="222"/>
        <v>0</v>
      </c>
      <c r="GB111" s="51">
        <f t="shared" si="222"/>
        <v>0</v>
      </c>
      <c r="GC111" s="51">
        <f t="shared" si="222"/>
        <v>0</v>
      </c>
      <c r="GD111" s="51">
        <f t="shared" si="222"/>
        <v>0</v>
      </c>
      <c r="GE111" s="51">
        <f t="shared" si="222"/>
        <v>0</v>
      </c>
      <c r="GF111" s="51">
        <f t="shared" si="222"/>
        <v>0</v>
      </c>
      <c r="GG111" s="51">
        <f t="shared" si="222"/>
        <v>0</v>
      </c>
      <c r="GH111" s="51">
        <f t="shared" si="222"/>
        <v>0</v>
      </c>
      <c r="GI111" s="51">
        <f t="shared" si="222"/>
        <v>0</v>
      </c>
      <c r="GJ111" s="51">
        <f t="shared" si="222"/>
        <v>0</v>
      </c>
      <c r="GK111" s="51">
        <f t="shared" si="222"/>
        <v>0</v>
      </c>
      <c r="GL111" s="51">
        <f t="shared" si="222"/>
        <v>0</v>
      </c>
      <c r="GM111" s="51">
        <f t="shared" si="222"/>
        <v>0</v>
      </c>
      <c r="GN111" s="51">
        <f t="shared" si="222"/>
        <v>0</v>
      </c>
      <c r="GO111" s="51">
        <f t="shared" si="222"/>
        <v>0</v>
      </c>
      <c r="GP111" s="51">
        <f t="shared" si="222"/>
        <v>0</v>
      </c>
      <c r="GQ111" s="51">
        <f t="shared" si="222"/>
        <v>0</v>
      </c>
      <c r="GR111" s="51">
        <f t="shared" si="222"/>
        <v>0</v>
      </c>
      <c r="GS111" s="51">
        <f t="shared" si="222"/>
        <v>0</v>
      </c>
      <c r="GT111" s="51">
        <f t="shared" si="222"/>
        <v>0</v>
      </c>
      <c r="GU111" s="51">
        <f t="shared" si="222"/>
        <v>106090000</v>
      </c>
      <c r="GV111" s="51">
        <f t="shared" si="222"/>
        <v>28355000</v>
      </c>
      <c r="GW111" s="51">
        <f t="shared" si="222"/>
        <v>9924250</v>
      </c>
      <c r="GX111" s="51">
        <f t="shared" si="222"/>
        <v>9924250</v>
      </c>
      <c r="GY111" s="51">
        <f t="shared" si="222"/>
        <v>0</v>
      </c>
      <c r="GZ111" s="51">
        <f t="shared" si="222"/>
        <v>445180000</v>
      </c>
    </row>
    <row r="112" spans="1:208" s="711" customFormat="1" ht="113.25" customHeight="1" x14ac:dyDescent="0.2">
      <c r="A112" s="703"/>
      <c r="B112" s="703"/>
      <c r="C112" s="995"/>
      <c r="D112" s="849" t="s">
        <v>294</v>
      </c>
      <c r="E112" s="897"/>
      <c r="F112" s="897"/>
      <c r="G112" s="684">
        <v>75</v>
      </c>
      <c r="H112" s="676" t="s">
        <v>292</v>
      </c>
      <c r="I112" s="846" t="s">
        <v>293</v>
      </c>
      <c r="J112" s="677" t="s">
        <v>266</v>
      </c>
      <c r="K112" s="677">
        <v>1</v>
      </c>
      <c r="L112" s="679" t="s">
        <v>73</v>
      </c>
      <c r="M112" s="680">
        <v>18</v>
      </c>
      <c r="N112" s="678">
        <v>36</v>
      </c>
      <c r="O112" s="678">
        <v>23</v>
      </c>
      <c r="P112" s="850">
        <v>13</v>
      </c>
      <c r="Q112" s="678">
        <v>27</v>
      </c>
      <c r="R112" s="807">
        <v>20</v>
      </c>
      <c r="S112" s="851">
        <v>13</v>
      </c>
      <c r="T112" s="678">
        <v>34</v>
      </c>
      <c r="U112" s="678">
        <v>28</v>
      </c>
      <c r="V112" s="850">
        <v>19</v>
      </c>
      <c r="W112" s="678">
        <v>36</v>
      </c>
      <c r="X112" s="679"/>
      <c r="Y112" s="635">
        <v>19</v>
      </c>
      <c r="Z112" s="852"/>
      <c r="AA112" s="682">
        <v>4</v>
      </c>
      <c r="AB112" s="848" t="s">
        <v>114</v>
      </c>
      <c r="AC112" s="830"/>
      <c r="AD112" s="831"/>
      <c r="AE112" s="818"/>
      <c r="AF112" s="818"/>
      <c r="AG112" s="830"/>
      <c r="AH112" s="831"/>
      <c r="AI112" s="831"/>
      <c r="AJ112" s="831"/>
      <c r="AK112" s="830"/>
      <c r="AL112" s="831"/>
      <c r="AM112" s="831"/>
      <c r="AN112" s="831"/>
      <c r="AO112" s="830"/>
      <c r="AP112" s="831"/>
      <c r="AQ112" s="831"/>
      <c r="AR112" s="831"/>
      <c r="AS112" s="830"/>
      <c r="AT112" s="831"/>
      <c r="AU112" s="818"/>
      <c r="AV112" s="818"/>
      <c r="AW112" s="830"/>
      <c r="AX112" s="831"/>
      <c r="AY112" s="831"/>
      <c r="AZ112" s="831"/>
      <c r="BA112" s="830"/>
      <c r="BB112" s="831"/>
      <c r="BC112" s="831"/>
      <c r="BD112" s="831"/>
      <c r="BE112" s="830"/>
      <c r="BF112" s="831"/>
      <c r="BG112" s="818"/>
      <c r="BH112" s="818"/>
      <c r="BI112" s="830"/>
      <c r="BJ112" s="831"/>
      <c r="BK112" s="831"/>
      <c r="BL112" s="831"/>
      <c r="BM112" s="817">
        <f t="shared" ref="BM112:BM119" si="223">+AC112+AG112+AK112+AO112+AS112+AW112+BA112+BE112+BI112</f>
        <v>0</v>
      </c>
      <c r="BN112" s="818">
        <f t="shared" ref="BN112:BP119" si="224">AD112+AH112+AL112+AP112+AT112+AX112+BB112+BF112+BJ112</f>
        <v>0</v>
      </c>
      <c r="BO112" s="818">
        <f t="shared" si="224"/>
        <v>0</v>
      </c>
      <c r="BP112" s="818">
        <f t="shared" si="224"/>
        <v>0</v>
      </c>
      <c r="BQ112" s="667"/>
      <c r="BR112" s="667"/>
      <c r="BS112" s="667"/>
      <c r="BT112" s="667"/>
      <c r="BU112" s="667"/>
      <c r="BV112" s="667"/>
      <c r="BW112" s="667"/>
      <c r="BX112" s="667"/>
      <c r="BY112" s="667"/>
      <c r="BZ112" s="667"/>
      <c r="CA112" s="667"/>
      <c r="CB112" s="667"/>
      <c r="CC112" s="667"/>
      <c r="CD112" s="667"/>
      <c r="CE112" s="667"/>
      <c r="CF112" s="667"/>
      <c r="CG112" s="667"/>
      <c r="CH112" s="667"/>
      <c r="CI112" s="667"/>
      <c r="CJ112" s="667"/>
      <c r="CK112" s="667"/>
      <c r="CL112" s="667"/>
      <c r="CM112" s="667"/>
      <c r="CN112" s="667"/>
      <c r="CO112" s="667"/>
      <c r="CP112" s="667"/>
      <c r="CQ112" s="667"/>
      <c r="CR112" s="667"/>
      <c r="CS112" s="667"/>
      <c r="CT112" s="667"/>
      <c r="CU112" s="667"/>
      <c r="CV112" s="667"/>
      <c r="CW112" s="667"/>
      <c r="CX112" s="667"/>
      <c r="CY112" s="667"/>
      <c r="CZ112" s="667"/>
      <c r="DA112" s="667"/>
      <c r="DB112" s="667"/>
      <c r="DC112" s="667"/>
      <c r="DD112" s="667"/>
      <c r="DE112" s="708">
        <f t="shared" ref="DE112:DE119" si="225">BQ112+BU112+BZ112+CE112+CI112+CM112+CQ112+CV112+DA112</f>
        <v>0</v>
      </c>
      <c r="DF112" s="708">
        <f t="shared" ref="DF112:DF119" si="226">BR112+BV112+CA112+CF112+CJ112+CN112+CR112+CW112+DB112</f>
        <v>0</v>
      </c>
      <c r="DG112" s="708">
        <f t="shared" ref="DG112:DG119" si="227">BS112+BW112+CB112+CG112+CK112+CO112+CS112+CX112+DC112</f>
        <v>0</v>
      </c>
      <c r="DH112" s="708">
        <f t="shared" ref="DH112:DH119" si="228">BT112+BX112+CC112+CH112+CL112+CP112+CT112+CY112+DD112</f>
        <v>0</v>
      </c>
      <c r="DI112" s="708"/>
      <c r="DJ112" s="706"/>
      <c r="DK112" s="706"/>
      <c r="DL112" s="706"/>
      <c r="DM112" s="706"/>
      <c r="DN112" s="706"/>
      <c r="DO112" s="706"/>
      <c r="DP112" s="706"/>
      <c r="DQ112" s="706"/>
      <c r="DR112" s="706"/>
      <c r="DS112" s="706"/>
      <c r="DT112" s="706"/>
      <c r="DU112" s="706"/>
      <c r="DV112" s="706"/>
      <c r="DW112" s="706"/>
      <c r="DX112" s="706"/>
      <c r="DY112" s="706"/>
      <c r="DZ112" s="706"/>
      <c r="EA112" s="706"/>
      <c r="EB112" s="706"/>
      <c r="EC112" s="706"/>
      <c r="ED112" s="706"/>
      <c r="EE112" s="706"/>
      <c r="EF112" s="706"/>
      <c r="EG112" s="706"/>
      <c r="EH112" s="706"/>
      <c r="EI112" s="706"/>
      <c r="EJ112" s="706"/>
      <c r="EK112" s="706"/>
      <c r="EL112" s="706"/>
      <c r="EM112" s="706"/>
      <c r="EN112" s="706"/>
      <c r="EO112" s="706"/>
      <c r="EP112" s="706"/>
      <c r="EQ112" s="706"/>
      <c r="ER112" s="706"/>
      <c r="ES112" s="706"/>
      <c r="ET112" s="667"/>
      <c r="EU112" s="667"/>
      <c r="EV112" s="667"/>
      <c r="EW112" s="708">
        <f t="shared" ref="EW112:EX119" si="229">DJ112+DN112+DS112+DX112+EB112+EF112+EJ112+EN112+ES112</f>
        <v>0</v>
      </c>
      <c r="EX112" s="819">
        <f t="shared" si="229"/>
        <v>0</v>
      </c>
      <c r="EY112" s="819">
        <f t="shared" ref="EY112:EZ119" si="230">DL112+DP112+DU112+DZ112+ED112+EH112+EL112+EP112+EU112</f>
        <v>0</v>
      </c>
      <c r="EZ112" s="819">
        <f t="shared" si="230"/>
        <v>0</v>
      </c>
      <c r="FA112" s="820"/>
      <c r="FB112" s="667"/>
      <c r="FC112" s="706"/>
      <c r="FD112" s="706"/>
      <c r="FE112" s="706"/>
      <c r="FF112" s="707"/>
      <c r="FG112" s="667"/>
      <c r="FH112" s="667"/>
      <c r="FI112" s="667"/>
      <c r="FJ112" s="667"/>
      <c r="FK112" s="667"/>
      <c r="FL112" s="667"/>
      <c r="FM112" s="667"/>
      <c r="FN112" s="667"/>
      <c r="FO112" s="667"/>
      <c r="FP112" s="667"/>
      <c r="FQ112" s="667"/>
      <c r="FR112" s="667"/>
      <c r="FS112" s="667"/>
      <c r="FT112" s="667"/>
      <c r="FU112" s="667"/>
      <c r="FV112" s="667"/>
      <c r="FW112" s="667"/>
      <c r="FX112" s="667"/>
      <c r="FY112" s="667"/>
      <c r="FZ112" s="667"/>
      <c r="GA112" s="667"/>
      <c r="GB112" s="667"/>
      <c r="GC112" s="667"/>
      <c r="GD112" s="667"/>
      <c r="GE112" s="667"/>
      <c r="GF112" s="667"/>
      <c r="GG112" s="667"/>
      <c r="GH112" s="667"/>
      <c r="GI112" s="667"/>
      <c r="GJ112" s="667"/>
      <c r="GK112" s="667"/>
      <c r="GL112" s="667"/>
      <c r="GM112" s="667"/>
      <c r="GN112" s="667"/>
      <c r="GO112" s="667"/>
      <c r="GP112" s="667"/>
      <c r="GQ112" s="667"/>
      <c r="GR112" s="667"/>
      <c r="GS112" s="667"/>
      <c r="GT112" s="667"/>
      <c r="GU112" s="708">
        <f t="shared" ref="GU112:GU119" si="231">FB112+FG112+FL112+FQ112+FV112+GA112+GF112+GK112+GP112</f>
        <v>0</v>
      </c>
      <c r="GV112" s="708">
        <f t="shared" ref="GV112:GY119" si="232">GQ112+GL112+GG112+GB112+FW112+FR112+FM112+FH112+FC112</f>
        <v>0</v>
      </c>
      <c r="GW112" s="708">
        <f t="shared" si="232"/>
        <v>0</v>
      </c>
      <c r="GX112" s="708">
        <f t="shared" si="232"/>
        <v>0</v>
      </c>
      <c r="GY112" s="709">
        <f t="shared" si="232"/>
        <v>0</v>
      </c>
      <c r="GZ112" s="710">
        <f t="shared" ref="GZ112:GZ119" si="233">BM112+DE112+EW112+GU112</f>
        <v>0</v>
      </c>
    </row>
    <row r="113" spans="1:208" s="711" customFormat="1" ht="120.75" customHeight="1" x14ac:dyDescent="0.2">
      <c r="A113" s="703"/>
      <c r="B113" s="703"/>
      <c r="C113" s="715">
        <v>16</v>
      </c>
      <c r="D113" s="853"/>
      <c r="E113" s="827">
        <v>45</v>
      </c>
      <c r="F113" s="827">
        <v>90</v>
      </c>
      <c r="G113" s="684">
        <v>76</v>
      </c>
      <c r="H113" s="676" t="s">
        <v>295</v>
      </c>
      <c r="I113" s="846" t="s">
        <v>296</v>
      </c>
      <c r="J113" s="677" t="s">
        <v>266</v>
      </c>
      <c r="K113" s="677">
        <v>1</v>
      </c>
      <c r="L113" s="679" t="s">
        <v>73</v>
      </c>
      <c r="M113" s="680">
        <v>0</v>
      </c>
      <c r="N113" s="680">
        <v>1200</v>
      </c>
      <c r="O113" s="678">
        <v>450</v>
      </c>
      <c r="P113" s="850">
        <v>450</v>
      </c>
      <c r="Q113" s="678">
        <v>600</v>
      </c>
      <c r="R113" s="814"/>
      <c r="S113" s="851">
        <v>837</v>
      </c>
      <c r="T113" s="678">
        <v>1050</v>
      </c>
      <c r="U113" s="678"/>
      <c r="V113" s="850">
        <v>1728</v>
      </c>
      <c r="W113" s="678">
        <v>1200</v>
      </c>
      <c r="X113" s="679"/>
      <c r="Y113" s="635">
        <v>757</v>
      </c>
      <c r="Z113" s="852">
        <f>BM113/BM111</f>
        <v>1</v>
      </c>
      <c r="AA113" s="682">
        <v>4</v>
      </c>
      <c r="AB113" s="848" t="s">
        <v>114</v>
      </c>
      <c r="AC113" s="830"/>
      <c r="AD113" s="831"/>
      <c r="AE113" s="818"/>
      <c r="AF113" s="818"/>
      <c r="AG113" s="830">
        <v>100000000</v>
      </c>
      <c r="AH113" s="831">
        <v>51120524.549999997</v>
      </c>
      <c r="AI113" s="831">
        <v>51120525</v>
      </c>
      <c r="AJ113" s="831">
        <v>43750000</v>
      </c>
      <c r="AK113" s="830">
        <v>30000000</v>
      </c>
      <c r="AL113" s="831">
        <v>30000000</v>
      </c>
      <c r="AM113" s="831">
        <v>25480000</v>
      </c>
      <c r="AN113" s="831">
        <v>25480000</v>
      </c>
      <c r="AO113" s="830"/>
      <c r="AP113" s="831"/>
      <c r="AQ113" s="831"/>
      <c r="AR113" s="831"/>
      <c r="AS113" s="830"/>
      <c r="AT113" s="706">
        <v>48879475.450000003</v>
      </c>
      <c r="AU113" s="854">
        <v>45699075</v>
      </c>
      <c r="AV113" s="854">
        <v>35000000</v>
      </c>
      <c r="AW113" s="830"/>
      <c r="AX113" s="831"/>
      <c r="AY113" s="831"/>
      <c r="AZ113" s="831"/>
      <c r="BA113" s="830"/>
      <c r="BB113" s="831"/>
      <c r="BC113" s="831"/>
      <c r="BD113" s="831"/>
      <c r="BE113" s="830"/>
      <c r="BF113" s="831"/>
      <c r="BG113" s="818"/>
      <c r="BH113" s="818"/>
      <c r="BI113" s="830"/>
      <c r="BJ113" s="831"/>
      <c r="BK113" s="831"/>
      <c r="BL113" s="831"/>
      <c r="BM113" s="817">
        <f t="shared" si="223"/>
        <v>130000000</v>
      </c>
      <c r="BN113" s="818">
        <f t="shared" si="224"/>
        <v>130000000</v>
      </c>
      <c r="BO113" s="818">
        <f t="shared" si="224"/>
        <v>122299600</v>
      </c>
      <c r="BP113" s="818">
        <f t="shared" si="224"/>
        <v>104230000</v>
      </c>
      <c r="BQ113" s="667"/>
      <c r="BR113" s="667"/>
      <c r="BS113" s="667"/>
      <c r="BT113" s="667"/>
      <c r="BU113" s="667">
        <v>103000000</v>
      </c>
      <c r="BV113" s="667">
        <v>59950000</v>
      </c>
      <c r="BW113" s="667">
        <v>59950000</v>
      </c>
      <c r="BX113" s="667">
        <v>59950000</v>
      </c>
      <c r="BY113" s="667">
        <v>10699075</v>
      </c>
      <c r="BZ113" s="667"/>
      <c r="CA113" s="667">
        <v>99154816</v>
      </c>
      <c r="CB113" s="667">
        <v>91954816</v>
      </c>
      <c r="CC113" s="667">
        <v>91954816</v>
      </c>
      <c r="CD113" s="706">
        <v>7370525</v>
      </c>
      <c r="CE113" s="667"/>
      <c r="CF113" s="667"/>
      <c r="CG113" s="667"/>
      <c r="CH113" s="667"/>
      <c r="CI113" s="667"/>
      <c r="CJ113" s="667"/>
      <c r="CK113" s="667"/>
      <c r="CL113" s="667"/>
      <c r="CM113" s="667"/>
      <c r="CN113" s="667"/>
      <c r="CO113" s="667"/>
      <c r="CP113" s="667"/>
      <c r="CQ113" s="667"/>
      <c r="CR113" s="667"/>
      <c r="CS113" s="667"/>
      <c r="CT113" s="667"/>
      <c r="CU113" s="667"/>
      <c r="CV113" s="667"/>
      <c r="CW113" s="667"/>
      <c r="CX113" s="667"/>
      <c r="CY113" s="667"/>
      <c r="CZ113" s="667"/>
      <c r="DA113" s="667"/>
      <c r="DB113" s="667"/>
      <c r="DC113" s="667"/>
      <c r="DD113" s="667"/>
      <c r="DE113" s="708">
        <f t="shared" si="225"/>
        <v>103000000</v>
      </c>
      <c r="DF113" s="708">
        <f t="shared" si="226"/>
        <v>159104816</v>
      </c>
      <c r="DG113" s="708">
        <f t="shared" si="227"/>
        <v>151904816</v>
      </c>
      <c r="DH113" s="708">
        <f t="shared" si="228"/>
        <v>151904816</v>
      </c>
      <c r="DI113" s="708">
        <f>CD113+BY113</f>
        <v>18069600</v>
      </c>
      <c r="DJ113" s="706"/>
      <c r="DK113" s="706"/>
      <c r="DL113" s="706"/>
      <c r="DM113" s="706"/>
      <c r="DN113" s="706">
        <v>106090000</v>
      </c>
      <c r="DO113" s="706">
        <v>202365345</v>
      </c>
      <c r="DP113" s="706">
        <v>166825000</v>
      </c>
      <c r="DQ113" s="706">
        <v>166825000</v>
      </c>
      <c r="DR113" s="706"/>
      <c r="DS113" s="706"/>
      <c r="DT113" s="706">
        <v>30000000</v>
      </c>
      <c r="DU113" s="706">
        <v>13375000</v>
      </c>
      <c r="DV113" s="706">
        <v>13375000</v>
      </c>
      <c r="DW113" s="706"/>
      <c r="DX113" s="706"/>
      <c r="DY113" s="706"/>
      <c r="DZ113" s="706"/>
      <c r="EA113" s="706"/>
      <c r="EB113" s="706"/>
      <c r="EC113" s="706"/>
      <c r="ED113" s="706"/>
      <c r="EE113" s="706"/>
      <c r="EF113" s="706"/>
      <c r="EG113" s="706"/>
      <c r="EH113" s="706"/>
      <c r="EI113" s="706"/>
      <c r="EJ113" s="706"/>
      <c r="EK113" s="706"/>
      <c r="EL113" s="706"/>
      <c r="EM113" s="706"/>
      <c r="EN113" s="706"/>
      <c r="EO113" s="706"/>
      <c r="EP113" s="706"/>
      <c r="EQ113" s="706"/>
      <c r="ER113" s="706"/>
      <c r="ES113" s="706"/>
      <c r="ET113" s="667"/>
      <c r="EU113" s="667"/>
      <c r="EV113" s="667"/>
      <c r="EW113" s="708">
        <f t="shared" si="229"/>
        <v>106090000</v>
      </c>
      <c r="EX113" s="819">
        <f t="shared" si="229"/>
        <v>232365345</v>
      </c>
      <c r="EY113" s="819">
        <f t="shared" si="230"/>
        <v>180200000</v>
      </c>
      <c r="EZ113" s="819">
        <f t="shared" si="230"/>
        <v>180200000</v>
      </c>
      <c r="FA113" s="820"/>
      <c r="FB113" s="667"/>
      <c r="FC113" s="706"/>
      <c r="FD113" s="706"/>
      <c r="FE113" s="706"/>
      <c r="FF113" s="707"/>
      <c r="FG113" s="667">
        <v>106090000</v>
      </c>
      <c r="FH113" s="667">
        <v>18355000</v>
      </c>
      <c r="FI113" s="667"/>
      <c r="FJ113" s="667"/>
      <c r="FK113" s="667"/>
      <c r="FL113" s="667"/>
      <c r="FM113" s="855">
        <v>10000000</v>
      </c>
      <c r="FN113" s="855">
        <v>9924250</v>
      </c>
      <c r="FO113" s="855">
        <v>9924250</v>
      </c>
      <c r="FP113" s="855"/>
      <c r="FQ113" s="667"/>
      <c r="FR113" s="667"/>
      <c r="FS113" s="667"/>
      <c r="FT113" s="667"/>
      <c r="FU113" s="667"/>
      <c r="FV113" s="667"/>
      <c r="FW113" s="667"/>
      <c r="FX113" s="667"/>
      <c r="FY113" s="667"/>
      <c r="FZ113" s="667"/>
      <c r="GA113" s="667"/>
      <c r="GB113" s="667"/>
      <c r="GC113" s="667"/>
      <c r="GD113" s="667"/>
      <c r="GE113" s="667"/>
      <c r="GF113" s="667"/>
      <c r="GG113" s="667"/>
      <c r="GH113" s="667"/>
      <c r="GI113" s="667"/>
      <c r="GJ113" s="667"/>
      <c r="GK113" s="667"/>
      <c r="GL113" s="667"/>
      <c r="GM113" s="667"/>
      <c r="GN113" s="667"/>
      <c r="GO113" s="667"/>
      <c r="GP113" s="667"/>
      <c r="GQ113" s="667"/>
      <c r="GR113" s="667"/>
      <c r="GS113" s="667"/>
      <c r="GT113" s="667"/>
      <c r="GU113" s="708">
        <f t="shared" si="231"/>
        <v>106090000</v>
      </c>
      <c r="GV113" s="708">
        <f t="shared" si="232"/>
        <v>28355000</v>
      </c>
      <c r="GW113" s="708">
        <f t="shared" si="232"/>
        <v>9924250</v>
      </c>
      <c r="GX113" s="708">
        <f t="shared" si="232"/>
        <v>9924250</v>
      </c>
      <c r="GY113" s="709">
        <f t="shared" si="232"/>
        <v>0</v>
      </c>
      <c r="GZ113" s="710">
        <f t="shared" si="233"/>
        <v>445180000</v>
      </c>
    </row>
    <row r="114" spans="1:208" s="711" customFormat="1" ht="93.75" customHeight="1" x14ac:dyDescent="0.2">
      <c r="A114" s="703"/>
      <c r="B114" s="703"/>
      <c r="C114" s="822"/>
      <c r="D114" s="849" t="s">
        <v>299</v>
      </c>
      <c r="E114" s="823"/>
      <c r="F114" s="823"/>
      <c r="G114" s="684">
        <v>77</v>
      </c>
      <c r="H114" s="676" t="s">
        <v>297</v>
      </c>
      <c r="I114" s="846" t="s">
        <v>298</v>
      </c>
      <c r="J114" s="677" t="s">
        <v>266</v>
      </c>
      <c r="K114" s="677">
        <v>1</v>
      </c>
      <c r="L114" s="679" t="s">
        <v>73</v>
      </c>
      <c r="M114" s="680">
        <v>20</v>
      </c>
      <c r="N114" s="678">
        <v>80</v>
      </c>
      <c r="O114" s="678">
        <v>28</v>
      </c>
      <c r="P114" s="850">
        <v>75</v>
      </c>
      <c r="Q114" s="678">
        <v>50</v>
      </c>
      <c r="R114" s="814"/>
      <c r="S114" s="851">
        <v>79</v>
      </c>
      <c r="T114" s="678">
        <v>73</v>
      </c>
      <c r="U114" s="678"/>
      <c r="V114" s="850">
        <v>94</v>
      </c>
      <c r="W114" s="678">
        <v>80</v>
      </c>
      <c r="X114" s="679"/>
      <c r="Y114" s="635">
        <v>94</v>
      </c>
      <c r="Z114" s="852"/>
      <c r="AA114" s="682">
        <v>4</v>
      </c>
      <c r="AB114" s="848" t="s">
        <v>114</v>
      </c>
      <c r="AC114" s="830"/>
      <c r="AD114" s="831"/>
      <c r="AE114" s="818"/>
      <c r="AF114" s="818"/>
      <c r="AG114" s="830"/>
      <c r="AH114" s="831"/>
      <c r="AI114" s="831"/>
      <c r="AJ114" s="831"/>
      <c r="AK114" s="830"/>
      <c r="AL114" s="831"/>
      <c r="AM114" s="831"/>
      <c r="AN114" s="831"/>
      <c r="AO114" s="830"/>
      <c r="AP114" s="831"/>
      <c r="AQ114" s="831"/>
      <c r="AR114" s="831"/>
      <c r="AS114" s="830"/>
      <c r="AT114" s="831"/>
      <c r="AU114" s="818"/>
      <c r="AV114" s="818"/>
      <c r="AW114" s="830"/>
      <c r="AX114" s="831"/>
      <c r="AY114" s="831"/>
      <c r="AZ114" s="831"/>
      <c r="BA114" s="830"/>
      <c r="BB114" s="831"/>
      <c r="BC114" s="831"/>
      <c r="BD114" s="831"/>
      <c r="BE114" s="830"/>
      <c r="BF114" s="831"/>
      <c r="BG114" s="818"/>
      <c r="BH114" s="818"/>
      <c r="BI114" s="830"/>
      <c r="BJ114" s="831"/>
      <c r="BK114" s="831"/>
      <c r="BL114" s="831"/>
      <c r="BM114" s="817">
        <f t="shared" si="223"/>
        <v>0</v>
      </c>
      <c r="BN114" s="818">
        <f t="shared" si="224"/>
        <v>0</v>
      </c>
      <c r="BO114" s="818">
        <f t="shared" si="224"/>
        <v>0</v>
      </c>
      <c r="BP114" s="818">
        <f t="shared" si="224"/>
        <v>0</v>
      </c>
      <c r="BQ114" s="667"/>
      <c r="BR114" s="667"/>
      <c r="BS114" s="667"/>
      <c r="BT114" s="667"/>
      <c r="BU114" s="667"/>
      <c r="BV114" s="667"/>
      <c r="BW114" s="667"/>
      <c r="BX114" s="667"/>
      <c r="BY114" s="667"/>
      <c r="BZ114" s="667"/>
      <c r="CA114" s="667"/>
      <c r="CB114" s="667"/>
      <c r="CC114" s="667"/>
      <c r="CD114" s="667"/>
      <c r="CE114" s="667"/>
      <c r="CF114" s="667"/>
      <c r="CG114" s="667"/>
      <c r="CH114" s="667"/>
      <c r="CI114" s="667"/>
      <c r="CJ114" s="667"/>
      <c r="CK114" s="667"/>
      <c r="CL114" s="667"/>
      <c r="CM114" s="667"/>
      <c r="CN114" s="667"/>
      <c r="CO114" s="667"/>
      <c r="CP114" s="667"/>
      <c r="CQ114" s="667"/>
      <c r="CR114" s="667"/>
      <c r="CS114" s="667"/>
      <c r="CT114" s="667"/>
      <c r="CU114" s="667"/>
      <c r="CV114" s="667"/>
      <c r="CW114" s="667"/>
      <c r="CX114" s="667"/>
      <c r="CY114" s="667"/>
      <c r="CZ114" s="667"/>
      <c r="DA114" s="667"/>
      <c r="DB114" s="667"/>
      <c r="DC114" s="667"/>
      <c r="DD114" s="667"/>
      <c r="DE114" s="708">
        <f t="shared" si="225"/>
        <v>0</v>
      </c>
      <c r="DF114" s="708">
        <f t="shared" si="226"/>
        <v>0</v>
      </c>
      <c r="DG114" s="708">
        <f t="shared" si="227"/>
        <v>0</v>
      </c>
      <c r="DH114" s="708">
        <f t="shared" si="228"/>
        <v>0</v>
      </c>
      <c r="DI114" s="708"/>
      <c r="DJ114" s="706"/>
      <c r="DK114" s="706"/>
      <c r="DL114" s="706"/>
      <c r="DM114" s="706"/>
      <c r="DN114" s="706"/>
      <c r="DO114" s="706"/>
      <c r="DP114" s="706"/>
      <c r="DQ114" s="706"/>
      <c r="DR114" s="706"/>
      <c r="DS114" s="706"/>
      <c r="DT114" s="706"/>
      <c r="DU114" s="706"/>
      <c r="DV114" s="706"/>
      <c r="DW114" s="706"/>
      <c r="DX114" s="706"/>
      <c r="DY114" s="706"/>
      <c r="DZ114" s="706"/>
      <c r="EA114" s="706"/>
      <c r="EB114" s="706"/>
      <c r="EC114" s="706"/>
      <c r="ED114" s="706"/>
      <c r="EE114" s="706"/>
      <c r="EF114" s="706"/>
      <c r="EG114" s="706"/>
      <c r="EH114" s="706"/>
      <c r="EI114" s="706"/>
      <c r="EJ114" s="706"/>
      <c r="EK114" s="706"/>
      <c r="EL114" s="706"/>
      <c r="EM114" s="706"/>
      <c r="EN114" s="706"/>
      <c r="EO114" s="706"/>
      <c r="EP114" s="706"/>
      <c r="EQ114" s="706"/>
      <c r="ER114" s="706"/>
      <c r="ES114" s="706"/>
      <c r="ET114" s="667"/>
      <c r="EU114" s="667"/>
      <c r="EV114" s="667"/>
      <c r="EW114" s="708">
        <f t="shared" si="229"/>
        <v>0</v>
      </c>
      <c r="EX114" s="819">
        <f t="shared" si="229"/>
        <v>0</v>
      </c>
      <c r="EY114" s="819">
        <f t="shared" si="230"/>
        <v>0</v>
      </c>
      <c r="EZ114" s="819">
        <f t="shared" si="230"/>
        <v>0</v>
      </c>
      <c r="FA114" s="820"/>
      <c r="FB114" s="667"/>
      <c r="FC114" s="706"/>
      <c r="FD114" s="706"/>
      <c r="FE114" s="706"/>
      <c r="FF114" s="707"/>
      <c r="FG114" s="667"/>
      <c r="FH114" s="667"/>
      <c r="FI114" s="667"/>
      <c r="FJ114" s="667"/>
      <c r="FK114" s="667"/>
      <c r="FL114" s="667"/>
      <c r="FM114" s="667"/>
      <c r="FN114" s="667"/>
      <c r="FO114" s="667"/>
      <c r="FP114" s="667"/>
      <c r="FQ114" s="667"/>
      <c r="FR114" s="667"/>
      <c r="FS114" s="667"/>
      <c r="FT114" s="667"/>
      <c r="FU114" s="667"/>
      <c r="FV114" s="667"/>
      <c r="FW114" s="667"/>
      <c r="FX114" s="667"/>
      <c r="FY114" s="667"/>
      <c r="FZ114" s="667"/>
      <c r="GA114" s="667"/>
      <c r="GB114" s="667"/>
      <c r="GC114" s="667"/>
      <c r="GD114" s="667"/>
      <c r="GE114" s="667"/>
      <c r="GF114" s="667"/>
      <c r="GG114" s="667"/>
      <c r="GH114" s="667"/>
      <c r="GI114" s="667"/>
      <c r="GJ114" s="667"/>
      <c r="GK114" s="667"/>
      <c r="GL114" s="667"/>
      <c r="GM114" s="667"/>
      <c r="GN114" s="667"/>
      <c r="GO114" s="667"/>
      <c r="GP114" s="667"/>
      <c r="GQ114" s="667"/>
      <c r="GR114" s="667"/>
      <c r="GS114" s="667"/>
      <c r="GT114" s="667"/>
      <c r="GU114" s="708">
        <f t="shared" si="231"/>
        <v>0</v>
      </c>
      <c r="GV114" s="708">
        <f t="shared" si="232"/>
        <v>0</v>
      </c>
      <c r="GW114" s="708">
        <f t="shared" si="232"/>
        <v>0</v>
      </c>
      <c r="GX114" s="708">
        <f t="shared" si="232"/>
        <v>0</v>
      </c>
      <c r="GY114" s="709">
        <f t="shared" si="232"/>
        <v>0</v>
      </c>
      <c r="GZ114" s="710">
        <f t="shared" si="233"/>
        <v>0</v>
      </c>
    </row>
    <row r="115" spans="1:208" s="711" customFormat="1" ht="57.75" customHeight="1" x14ac:dyDescent="0.2">
      <c r="A115" s="703"/>
      <c r="B115" s="703"/>
      <c r="C115" s="715">
        <v>17</v>
      </c>
      <c r="D115" s="853"/>
      <c r="E115" s="856" t="s">
        <v>300</v>
      </c>
      <c r="F115" s="843">
        <v>0.5</v>
      </c>
      <c r="G115" s="684">
        <v>78</v>
      </c>
      <c r="H115" s="676" t="s">
        <v>301</v>
      </c>
      <c r="I115" s="846" t="s">
        <v>302</v>
      </c>
      <c r="J115" s="677" t="s">
        <v>266</v>
      </c>
      <c r="K115" s="677">
        <v>1</v>
      </c>
      <c r="L115" s="679" t="s">
        <v>73</v>
      </c>
      <c r="M115" s="680">
        <v>7</v>
      </c>
      <c r="N115" s="678">
        <v>15</v>
      </c>
      <c r="O115" s="678">
        <v>9</v>
      </c>
      <c r="P115" s="850">
        <v>9</v>
      </c>
      <c r="Q115" s="678">
        <v>11</v>
      </c>
      <c r="R115" s="814"/>
      <c r="S115" s="851">
        <v>9</v>
      </c>
      <c r="T115" s="678">
        <v>14</v>
      </c>
      <c r="U115" s="678"/>
      <c r="V115" s="850">
        <v>17</v>
      </c>
      <c r="W115" s="678">
        <v>15</v>
      </c>
      <c r="X115" s="679"/>
      <c r="Y115" s="635">
        <v>9</v>
      </c>
      <c r="Z115" s="852"/>
      <c r="AA115" s="682">
        <v>4</v>
      </c>
      <c r="AB115" s="848" t="s">
        <v>114</v>
      </c>
      <c r="AC115" s="830"/>
      <c r="AD115" s="831"/>
      <c r="AE115" s="818"/>
      <c r="AF115" s="818"/>
      <c r="AG115" s="830"/>
      <c r="AH115" s="831"/>
      <c r="AI115" s="831"/>
      <c r="AJ115" s="831"/>
      <c r="AK115" s="830"/>
      <c r="AL115" s="831"/>
      <c r="AM115" s="831"/>
      <c r="AN115" s="831"/>
      <c r="AO115" s="830"/>
      <c r="AP115" s="831"/>
      <c r="AQ115" s="831"/>
      <c r="AR115" s="831"/>
      <c r="AS115" s="830"/>
      <c r="AT115" s="831"/>
      <c r="AU115" s="818"/>
      <c r="AV115" s="818"/>
      <c r="AW115" s="830"/>
      <c r="AX115" s="831"/>
      <c r="AY115" s="831"/>
      <c r="AZ115" s="831"/>
      <c r="BA115" s="830"/>
      <c r="BB115" s="831"/>
      <c r="BC115" s="831"/>
      <c r="BD115" s="831"/>
      <c r="BE115" s="830"/>
      <c r="BF115" s="831"/>
      <c r="BG115" s="818"/>
      <c r="BH115" s="818"/>
      <c r="BI115" s="830"/>
      <c r="BJ115" s="831"/>
      <c r="BK115" s="831"/>
      <c r="BL115" s="831"/>
      <c r="BM115" s="817">
        <f t="shared" si="223"/>
        <v>0</v>
      </c>
      <c r="BN115" s="818">
        <f t="shared" si="224"/>
        <v>0</v>
      </c>
      <c r="BO115" s="818">
        <f t="shared" si="224"/>
        <v>0</v>
      </c>
      <c r="BP115" s="818">
        <f t="shared" si="224"/>
        <v>0</v>
      </c>
      <c r="BQ115" s="667"/>
      <c r="BR115" s="667"/>
      <c r="BS115" s="667"/>
      <c r="BT115" s="667"/>
      <c r="BU115" s="667"/>
      <c r="BV115" s="667"/>
      <c r="BW115" s="667"/>
      <c r="BX115" s="667"/>
      <c r="BY115" s="667"/>
      <c r="BZ115" s="667"/>
      <c r="CA115" s="667"/>
      <c r="CB115" s="667"/>
      <c r="CC115" s="667"/>
      <c r="CD115" s="667"/>
      <c r="CE115" s="667"/>
      <c r="CF115" s="667"/>
      <c r="CG115" s="667"/>
      <c r="CH115" s="667"/>
      <c r="CI115" s="667"/>
      <c r="CJ115" s="667"/>
      <c r="CK115" s="667"/>
      <c r="CL115" s="667"/>
      <c r="CM115" s="667"/>
      <c r="CN115" s="667"/>
      <c r="CO115" s="667"/>
      <c r="CP115" s="667"/>
      <c r="CQ115" s="667"/>
      <c r="CR115" s="667"/>
      <c r="CS115" s="667"/>
      <c r="CT115" s="667"/>
      <c r="CU115" s="667"/>
      <c r="CV115" s="667"/>
      <c r="CW115" s="667"/>
      <c r="CX115" s="667"/>
      <c r="CY115" s="667"/>
      <c r="CZ115" s="667"/>
      <c r="DA115" s="667"/>
      <c r="DB115" s="667"/>
      <c r="DC115" s="667"/>
      <c r="DD115" s="667"/>
      <c r="DE115" s="708">
        <f t="shared" si="225"/>
        <v>0</v>
      </c>
      <c r="DF115" s="708">
        <f t="shared" si="226"/>
        <v>0</v>
      </c>
      <c r="DG115" s="708">
        <f t="shared" si="227"/>
        <v>0</v>
      </c>
      <c r="DH115" s="708">
        <f t="shared" si="228"/>
        <v>0</v>
      </c>
      <c r="DI115" s="708"/>
      <c r="DJ115" s="706"/>
      <c r="DK115" s="706"/>
      <c r="DL115" s="706"/>
      <c r="DM115" s="706"/>
      <c r="DN115" s="706"/>
      <c r="DO115" s="706"/>
      <c r="DP115" s="706"/>
      <c r="DQ115" s="706"/>
      <c r="DR115" s="706"/>
      <c r="DS115" s="706"/>
      <c r="DT115" s="706"/>
      <c r="DU115" s="706"/>
      <c r="DV115" s="706"/>
      <c r="DW115" s="706"/>
      <c r="DX115" s="706"/>
      <c r="DY115" s="706"/>
      <c r="DZ115" s="706"/>
      <c r="EA115" s="706"/>
      <c r="EB115" s="706"/>
      <c r="EC115" s="706"/>
      <c r="ED115" s="706"/>
      <c r="EE115" s="706"/>
      <c r="EF115" s="706"/>
      <c r="EG115" s="706"/>
      <c r="EH115" s="706"/>
      <c r="EI115" s="706"/>
      <c r="EJ115" s="706"/>
      <c r="EK115" s="706"/>
      <c r="EL115" s="706"/>
      <c r="EM115" s="706"/>
      <c r="EN115" s="706"/>
      <c r="EO115" s="706"/>
      <c r="EP115" s="706"/>
      <c r="EQ115" s="706"/>
      <c r="ER115" s="706"/>
      <c r="ES115" s="706"/>
      <c r="ET115" s="667"/>
      <c r="EU115" s="667"/>
      <c r="EV115" s="667"/>
      <c r="EW115" s="708">
        <f t="shared" si="229"/>
        <v>0</v>
      </c>
      <c r="EX115" s="819">
        <f t="shared" si="229"/>
        <v>0</v>
      </c>
      <c r="EY115" s="819">
        <f t="shared" si="230"/>
        <v>0</v>
      </c>
      <c r="EZ115" s="819">
        <f t="shared" si="230"/>
        <v>0</v>
      </c>
      <c r="FA115" s="820"/>
      <c r="FB115" s="667"/>
      <c r="FC115" s="706"/>
      <c r="FD115" s="706"/>
      <c r="FE115" s="706"/>
      <c r="FF115" s="707"/>
      <c r="FG115" s="667"/>
      <c r="FH115" s="667"/>
      <c r="FI115" s="667"/>
      <c r="FJ115" s="667"/>
      <c r="FK115" s="667"/>
      <c r="FL115" s="667"/>
      <c r="FM115" s="667"/>
      <c r="FN115" s="667"/>
      <c r="FO115" s="667"/>
      <c r="FP115" s="667"/>
      <c r="FQ115" s="667"/>
      <c r="FR115" s="667"/>
      <c r="FS115" s="667"/>
      <c r="FT115" s="667"/>
      <c r="FU115" s="667"/>
      <c r="FV115" s="667"/>
      <c r="FW115" s="667"/>
      <c r="FX115" s="667"/>
      <c r="FY115" s="667"/>
      <c r="FZ115" s="667"/>
      <c r="GA115" s="667"/>
      <c r="GB115" s="667"/>
      <c r="GC115" s="667"/>
      <c r="GD115" s="667"/>
      <c r="GE115" s="667"/>
      <c r="GF115" s="667"/>
      <c r="GG115" s="667"/>
      <c r="GH115" s="667"/>
      <c r="GI115" s="667"/>
      <c r="GJ115" s="667"/>
      <c r="GK115" s="667"/>
      <c r="GL115" s="667"/>
      <c r="GM115" s="667"/>
      <c r="GN115" s="667"/>
      <c r="GO115" s="667"/>
      <c r="GP115" s="667"/>
      <c r="GQ115" s="667"/>
      <c r="GR115" s="667"/>
      <c r="GS115" s="667"/>
      <c r="GT115" s="667"/>
      <c r="GU115" s="708">
        <f t="shared" si="231"/>
        <v>0</v>
      </c>
      <c r="GV115" s="708">
        <f t="shared" si="232"/>
        <v>0</v>
      </c>
      <c r="GW115" s="708">
        <f t="shared" si="232"/>
        <v>0</v>
      </c>
      <c r="GX115" s="708">
        <f t="shared" si="232"/>
        <v>0</v>
      </c>
      <c r="GY115" s="709">
        <f t="shared" si="232"/>
        <v>0</v>
      </c>
      <c r="GZ115" s="1009">
        <f t="shared" si="233"/>
        <v>0</v>
      </c>
    </row>
    <row r="116" spans="1:208" s="711" customFormat="1" ht="57.75" customHeight="1" x14ac:dyDescent="0.2">
      <c r="A116" s="703"/>
      <c r="B116" s="703"/>
      <c r="C116" s="621">
        <v>18</v>
      </c>
      <c r="D116" s="676" t="s">
        <v>956</v>
      </c>
      <c r="E116" s="682">
        <v>6</v>
      </c>
      <c r="F116" s="682">
        <v>12</v>
      </c>
      <c r="G116" s="684">
        <v>79</v>
      </c>
      <c r="H116" s="676" t="s">
        <v>304</v>
      </c>
      <c r="I116" s="846" t="s">
        <v>305</v>
      </c>
      <c r="J116" s="677" t="s">
        <v>266</v>
      </c>
      <c r="K116" s="677">
        <v>1</v>
      </c>
      <c r="L116" s="679" t="s">
        <v>73</v>
      </c>
      <c r="M116" s="680">
        <v>96</v>
      </c>
      <c r="N116" s="678">
        <v>230</v>
      </c>
      <c r="O116" s="678">
        <v>113</v>
      </c>
      <c r="P116" s="850">
        <v>123</v>
      </c>
      <c r="Q116" s="678">
        <v>163</v>
      </c>
      <c r="R116" s="814"/>
      <c r="S116" s="851">
        <v>125</v>
      </c>
      <c r="T116" s="678">
        <v>213</v>
      </c>
      <c r="U116" s="678"/>
      <c r="V116" s="850">
        <v>233</v>
      </c>
      <c r="W116" s="678">
        <v>230</v>
      </c>
      <c r="X116" s="679"/>
      <c r="Y116" s="635">
        <v>145</v>
      </c>
      <c r="Z116" s="852"/>
      <c r="AA116" s="682">
        <v>4</v>
      </c>
      <c r="AB116" s="848" t="s">
        <v>114</v>
      </c>
      <c r="AC116" s="830"/>
      <c r="AD116" s="831"/>
      <c r="AE116" s="818"/>
      <c r="AF116" s="818"/>
      <c r="AG116" s="830"/>
      <c r="AH116" s="831"/>
      <c r="AI116" s="831"/>
      <c r="AJ116" s="831"/>
      <c r="AK116" s="830"/>
      <c r="AL116" s="831"/>
      <c r="AM116" s="831"/>
      <c r="AN116" s="831"/>
      <c r="AO116" s="830"/>
      <c r="AP116" s="831"/>
      <c r="AQ116" s="831"/>
      <c r="AR116" s="831"/>
      <c r="AS116" s="830"/>
      <c r="AT116" s="831"/>
      <c r="AU116" s="818"/>
      <c r="AV116" s="818"/>
      <c r="AW116" s="830"/>
      <c r="AX116" s="831"/>
      <c r="AY116" s="831"/>
      <c r="AZ116" s="831"/>
      <c r="BA116" s="830"/>
      <c r="BB116" s="831"/>
      <c r="BC116" s="831"/>
      <c r="BD116" s="831"/>
      <c r="BE116" s="830"/>
      <c r="BF116" s="831"/>
      <c r="BG116" s="818"/>
      <c r="BH116" s="818"/>
      <c r="BI116" s="830"/>
      <c r="BJ116" s="831"/>
      <c r="BK116" s="831"/>
      <c r="BL116" s="831"/>
      <c r="BM116" s="817">
        <f t="shared" si="223"/>
        <v>0</v>
      </c>
      <c r="BN116" s="818">
        <f t="shared" si="224"/>
        <v>0</v>
      </c>
      <c r="BO116" s="818">
        <f t="shared" si="224"/>
        <v>0</v>
      </c>
      <c r="BP116" s="818">
        <f t="shared" si="224"/>
        <v>0</v>
      </c>
      <c r="BQ116" s="667"/>
      <c r="BR116" s="667"/>
      <c r="BS116" s="667"/>
      <c r="BT116" s="667"/>
      <c r="BU116" s="667"/>
      <c r="BV116" s="667"/>
      <c r="BW116" s="667"/>
      <c r="BX116" s="667"/>
      <c r="BY116" s="667"/>
      <c r="BZ116" s="667"/>
      <c r="CA116" s="667"/>
      <c r="CB116" s="667"/>
      <c r="CC116" s="667"/>
      <c r="CD116" s="667"/>
      <c r="CE116" s="667"/>
      <c r="CF116" s="667"/>
      <c r="CG116" s="667"/>
      <c r="CH116" s="667"/>
      <c r="CI116" s="667"/>
      <c r="CJ116" s="667"/>
      <c r="CK116" s="667"/>
      <c r="CL116" s="667"/>
      <c r="CM116" s="667"/>
      <c r="CN116" s="667"/>
      <c r="CO116" s="667"/>
      <c r="CP116" s="667"/>
      <c r="CQ116" s="667"/>
      <c r="CR116" s="667"/>
      <c r="CS116" s="667"/>
      <c r="CT116" s="667"/>
      <c r="CU116" s="667"/>
      <c r="CV116" s="667"/>
      <c r="CW116" s="667"/>
      <c r="CX116" s="667"/>
      <c r="CY116" s="667"/>
      <c r="CZ116" s="667"/>
      <c r="DA116" s="667"/>
      <c r="DB116" s="667"/>
      <c r="DC116" s="667"/>
      <c r="DD116" s="667"/>
      <c r="DE116" s="708">
        <f t="shared" si="225"/>
        <v>0</v>
      </c>
      <c r="DF116" s="708">
        <f t="shared" si="226"/>
        <v>0</v>
      </c>
      <c r="DG116" s="708">
        <f t="shared" si="227"/>
        <v>0</v>
      </c>
      <c r="DH116" s="708">
        <f t="shared" si="228"/>
        <v>0</v>
      </c>
      <c r="DI116" s="708"/>
      <c r="DJ116" s="706"/>
      <c r="DK116" s="706"/>
      <c r="DL116" s="706"/>
      <c r="DM116" s="706"/>
      <c r="DN116" s="706"/>
      <c r="DO116" s="706">
        <v>15800000</v>
      </c>
      <c r="DP116" s="706">
        <v>10700000</v>
      </c>
      <c r="DQ116" s="706">
        <v>10700000</v>
      </c>
      <c r="DR116" s="706"/>
      <c r="DS116" s="706"/>
      <c r="DT116" s="706"/>
      <c r="DU116" s="706"/>
      <c r="DV116" s="706"/>
      <c r="DW116" s="706"/>
      <c r="DX116" s="706"/>
      <c r="DY116" s="706"/>
      <c r="DZ116" s="706"/>
      <c r="EA116" s="706"/>
      <c r="EB116" s="706"/>
      <c r="EC116" s="706"/>
      <c r="ED116" s="706"/>
      <c r="EE116" s="706"/>
      <c r="EF116" s="706"/>
      <c r="EG116" s="706"/>
      <c r="EH116" s="706"/>
      <c r="EI116" s="706"/>
      <c r="EJ116" s="706"/>
      <c r="EK116" s="706"/>
      <c r="EL116" s="706"/>
      <c r="EM116" s="706"/>
      <c r="EN116" s="706"/>
      <c r="EO116" s="706"/>
      <c r="EP116" s="706"/>
      <c r="EQ116" s="706"/>
      <c r="ER116" s="706"/>
      <c r="ES116" s="706"/>
      <c r="ET116" s="667"/>
      <c r="EU116" s="667"/>
      <c r="EV116" s="667"/>
      <c r="EW116" s="708">
        <f t="shared" si="229"/>
        <v>0</v>
      </c>
      <c r="EX116" s="819">
        <f t="shared" si="229"/>
        <v>15800000</v>
      </c>
      <c r="EY116" s="819">
        <f t="shared" si="230"/>
        <v>10700000</v>
      </c>
      <c r="EZ116" s="819">
        <f t="shared" si="230"/>
        <v>10700000</v>
      </c>
      <c r="FA116" s="820"/>
      <c r="FB116" s="667"/>
      <c r="FC116" s="706"/>
      <c r="FD116" s="706"/>
      <c r="FE116" s="706"/>
      <c r="FF116" s="707"/>
      <c r="FG116" s="667"/>
      <c r="FH116" s="667"/>
      <c r="FI116" s="667"/>
      <c r="FJ116" s="667"/>
      <c r="FK116" s="667"/>
      <c r="FL116" s="667"/>
      <c r="FM116" s="667"/>
      <c r="FN116" s="667"/>
      <c r="FO116" s="667"/>
      <c r="FP116" s="667"/>
      <c r="FQ116" s="667"/>
      <c r="FR116" s="667"/>
      <c r="FS116" s="667"/>
      <c r="FT116" s="667"/>
      <c r="FU116" s="667"/>
      <c r="FV116" s="667"/>
      <c r="FW116" s="667"/>
      <c r="FX116" s="667"/>
      <c r="FY116" s="667"/>
      <c r="FZ116" s="667"/>
      <c r="GA116" s="667"/>
      <c r="GB116" s="667"/>
      <c r="GC116" s="667"/>
      <c r="GD116" s="667"/>
      <c r="GE116" s="667"/>
      <c r="GF116" s="667"/>
      <c r="GG116" s="667"/>
      <c r="GH116" s="667"/>
      <c r="GI116" s="667"/>
      <c r="GJ116" s="667"/>
      <c r="GK116" s="667"/>
      <c r="GL116" s="667"/>
      <c r="GM116" s="667"/>
      <c r="GN116" s="667"/>
      <c r="GO116" s="667"/>
      <c r="GP116" s="667"/>
      <c r="GQ116" s="667"/>
      <c r="GR116" s="667"/>
      <c r="GS116" s="667"/>
      <c r="GT116" s="667"/>
      <c r="GU116" s="708">
        <f t="shared" si="231"/>
        <v>0</v>
      </c>
      <c r="GV116" s="708">
        <f t="shared" si="232"/>
        <v>0</v>
      </c>
      <c r="GW116" s="708">
        <f t="shared" si="232"/>
        <v>0</v>
      </c>
      <c r="GX116" s="708">
        <f t="shared" si="232"/>
        <v>0</v>
      </c>
      <c r="GY116" s="709">
        <f t="shared" si="232"/>
        <v>0</v>
      </c>
      <c r="GZ116" s="1009">
        <f t="shared" si="233"/>
        <v>0</v>
      </c>
    </row>
    <row r="117" spans="1:208" s="711" customFormat="1" ht="57.75" customHeight="1" x14ac:dyDescent="0.2">
      <c r="A117" s="703"/>
      <c r="B117" s="703"/>
      <c r="C117" s="621">
        <v>19</v>
      </c>
      <c r="D117" s="676" t="s">
        <v>306</v>
      </c>
      <c r="E117" s="857" t="s">
        <v>307</v>
      </c>
      <c r="F117" s="857" t="s">
        <v>308</v>
      </c>
      <c r="G117" s="684">
        <v>80</v>
      </c>
      <c r="H117" s="676" t="s">
        <v>309</v>
      </c>
      <c r="I117" s="846" t="s">
        <v>310</v>
      </c>
      <c r="J117" s="677" t="s">
        <v>266</v>
      </c>
      <c r="K117" s="677">
        <v>1</v>
      </c>
      <c r="L117" s="679" t="s">
        <v>73</v>
      </c>
      <c r="M117" s="680">
        <v>2906</v>
      </c>
      <c r="N117" s="678">
        <v>4700</v>
      </c>
      <c r="O117" s="678">
        <v>3130</v>
      </c>
      <c r="P117" s="850">
        <v>3204</v>
      </c>
      <c r="Q117" s="678">
        <v>3803</v>
      </c>
      <c r="R117" s="814"/>
      <c r="S117" s="851">
        <v>3138</v>
      </c>
      <c r="T117" s="678">
        <v>4476</v>
      </c>
      <c r="U117" s="678"/>
      <c r="V117" s="850">
        <v>6199</v>
      </c>
      <c r="W117" s="678">
        <v>4700</v>
      </c>
      <c r="X117" s="679"/>
      <c r="Y117" s="635">
        <v>4249</v>
      </c>
      <c r="Z117" s="852"/>
      <c r="AA117" s="682">
        <v>4</v>
      </c>
      <c r="AB117" s="848" t="s">
        <v>114</v>
      </c>
      <c r="AC117" s="830"/>
      <c r="AD117" s="831"/>
      <c r="AE117" s="818"/>
      <c r="AF117" s="818"/>
      <c r="AG117" s="830"/>
      <c r="AH117" s="831"/>
      <c r="AI117" s="831"/>
      <c r="AJ117" s="831"/>
      <c r="AK117" s="830"/>
      <c r="AL117" s="831"/>
      <c r="AM117" s="831"/>
      <c r="AN117" s="831"/>
      <c r="AO117" s="830"/>
      <c r="AP117" s="831"/>
      <c r="AQ117" s="831"/>
      <c r="AR117" s="831"/>
      <c r="AS117" s="830"/>
      <c r="AT117" s="831"/>
      <c r="AU117" s="818"/>
      <c r="AV117" s="818"/>
      <c r="AW117" s="830"/>
      <c r="AX117" s="831"/>
      <c r="AY117" s="831"/>
      <c r="AZ117" s="831"/>
      <c r="BA117" s="830"/>
      <c r="BB117" s="831"/>
      <c r="BC117" s="831"/>
      <c r="BD117" s="831"/>
      <c r="BE117" s="830"/>
      <c r="BF117" s="831"/>
      <c r="BG117" s="818"/>
      <c r="BH117" s="818"/>
      <c r="BI117" s="830"/>
      <c r="BJ117" s="831"/>
      <c r="BK117" s="831"/>
      <c r="BL117" s="831"/>
      <c r="BM117" s="817">
        <f t="shared" si="223"/>
        <v>0</v>
      </c>
      <c r="BN117" s="818">
        <f t="shared" si="224"/>
        <v>0</v>
      </c>
      <c r="BO117" s="818">
        <f t="shared" si="224"/>
        <v>0</v>
      </c>
      <c r="BP117" s="818">
        <f t="shared" si="224"/>
        <v>0</v>
      </c>
      <c r="BQ117" s="667"/>
      <c r="BR117" s="667"/>
      <c r="BS117" s="667"/>
      <c r="BT117" s="667"/>
      <c r="BU117" s="667"/>
      <c r="BV117" s="667"/>
      <c r="BW117" s="667"/>
      <c r="BX117" s="667"/>
      <c r="BY117" s="667"/>
      <c r="BZ117" s="667"/>
      <c r="CA117" s="667"/>
      <c r="CB117" s="667"/>
      <c r="CC117" s="667"/>
      <c r="CD117" s="667"/>
      <c r="CE117" s="667"/>
      <c r="CF117" s="667"/>
      <c r="CG117" s="667"/>
      <c r="CH117" s="667"/>
      <c r="CI117" s="667"/>
      <c r="CJ117" s="667"/>
      <c r="CK117" s="667"/>
      <c r="CL117" s="667"/>
      <c r="CM117" s="667"/>
      <c r="CN117" s="667"/>
      <c r="CO117" s="667"/>
      <c r="CP117" s="667"/>
      <c r="CQ117" s="667"/>
      <c r="CR117" s="667"/>
      <c r="CS117" s="667"/>
      <c r="CT117" s="667"/>
      <c r="CU117" s="667"/>
      <c r="CV117" s="667"/>
      <c r="CW117" s="667"/>
      <c r="CX117" s="667"/>
      <c r="CY117" s="667"/>
      <c r="CZ117" s="667"/>
      <c r="DA117" s="667"/>
      <c r="DB117" s="667"/>
      <c r="DC117" s="667"/>
      <c r="DD117" s="667"/>
      <c r="DE117" s="708">
        <f t="shared" si="225"/>
        <v>0</v>
      </c>
      <c r="DF117" s="708">
        <f t="shared" si="226"/>
        <v>0</v>
      </c>
      <c r="DG117" s="708">
        <f t="shared" si="227"/>
        <v>0</v>
      </c>
      <c r="DH117" s="708">
        <f t="shared" si="228"/>
        <v>0</v>
      </c>
      <c r="DI117" s="708"/>
      <c r="DJ117" s="706"/>
      <c r="DK117" s="706"/>
      <c r="DL117" s="706"/>
      <c r="DM117" s="706"/>
      <c r="DN117" s="706"/>
      <c r="DO117" s="706"/>
      <c r="DP117" s="706"/>
      <c r="DQ117" s="706"/>
      <c r="DR117" s="706"/>
      <c r="DS117" s="706"/>
      <c r="DT117" s="706"/>
      <c r="DU117" s="706"/>
      <c r="DV117" s="706"/>
      <c r="DW117" s="706"/>
      <c r="DX117" s="706"/>
      <c r="DY117" s="706"/>
      <c r="DZ117" s="706"/>
      <c r="EA117" s="706"/>
      <c r="EB117" s="706"/>
      <c r="EC117" s="706"/>
      <c r="ED117" s="706"/>
      <c r="EE117" s="706"/>
      <c r="EF117" s="706"/>
      <c r="EG117" s="706"/>
      <c r="EH117" s="706"/>
      <c r="EI117" s="706"/>
      <c r="EJ117" s="706"/>
      <c r="EK117" s="706"/>
      <c r="EL117" s="706"/>
      <c r="EM117" s="706"/>
      <c r="EN117" s="706"/>
      <c r="EO117" s="706"/>
      <c r="EP117" s="706"/>
      <c r="EQ117" s="706"/>
      <c r="ER117" s="706"/>
      <c r="ES117" s="706"/>
      <c r="ET117" s="667"/>
      <c r="EU117" s="667"/>
      <c r="EV117" s="667"/>
      <c r="EW117" s="708">
        <f t="shared" si="229"/>
        <v>0</v>
      </c>
      <c r="EX117" s="819">
        <f t="shared" si="229"/>
        <v>0</v>
      </c>
      <c r="EY117" s="819">
        <f t="shared" si="230"/>
        <v>0</v>
      </c>
      <c r="EZ117" s="819">
        <f t="shared" si="230"/>
        <v>0</v>
      </c>
      <c r="FA117" s="820"/>
      <c r="FB117" s="667"/>
      <c r="FC117" s="706"/>
      <c r="FD117" s="706"/>
      <c r="FE117" s="706"/>
      <c r="FF117" s="707"/>
      <c r="FG117" s="667"/>
      <c r="FH117" s="667"/>
      <c r="FI117" s="667"/>
      <c r="FJ117" s="667"/>
      <c r="FK117" s="667"/>
      <c r="FL117" s="667"/>
      <c r="FM117" s="667"/>
      <c r="FN117" s="667"/>
      <c r="FO117" s="667"/>
      <c r="FP117" s="667"/>
      <c r="FQ117" s="667"/>
      <c r="FR117" s="667"/>
      <c r="FS117" s="667"/>
      <c r="FT117" s="667"/>
      <c r="FU117" s="667"/>
      <c r="FV117" s="667"/>
      <c r="FW117" s="667"/>
      <c r="FX117" s="667"/>
      <c r="FY117" s="667"/>
      <c r="FZ117" s="667"/>
      <c r="GA117" s="667"/>
      <c r="GB117" s="667"/>
      <c r="GC117" s="667"/>
      <c r="GD117" s="667"/>
      <c r="GE117" s="667"/>
      <c r="GF117" s="667"/>
      <c r="GG117" s="667"/>
      <c r="GH117" s="667"/>
      <c r="GI117" s="667"/>
      <c r="GJ117" s="667"/>
      <c r="GK117" s="667"/>
      <c r="GL117" s="667"/>
      <c r="GM117" s="667"/>
      <c r="GN117" s="667"/>
      <c r="GO117" s="667"/>
      <c r="GP117" s="667"/>
      <c r="GQ117" s="667"/>
      <c r="GR117" s="667"/>
      <c r="GS117" s="667"/>
      <c r="GT117" s="667"/>
      <c r="GU117" s="708">
        <f t="shared" si="231"/>
        <v>0</v>
      </c>
      <c r="GV117" s="708">
        <f t="shared" si="232"/>
        <v>0</v>
      </c>
      <c r="GW117" s="708">
        <f t="shared" si="232"/>
        <v>0</v>
      </c>
      <c r="GX117" s="708">
        <f t="shared" si="232"/>
        <v>0</v>
      </c>
      <c r="GY117" s="709">
        <f t="shared" si="232"/>
        <v>0</v>
      </c>
      <c r="GZ117" s="1009">
        <f t="shared" si="233"/>
        <v>0</v>
      </c>
    </row>
    <row r="118" spans="1:208" s="711" customFormat="1" ht="101.25" customHeight="1" x14ac:dyDescent="0.2">
      <c r="A118" s="703">
        <v>52</v>
      </c>
      <c r="B118" s="703"/>
      <c r="C118" s="822">
        <v>19</v>
      </c>
      <c r="D118" s="849" t="s">
        <v>306</v>
      </c>
      <c r="E118" s="858" t="s">
        <v>307</v>
      </c>
      <c r="F118" s="858" t="s">
        <v>308</v>
      </c>
      <c r="G118" s="684">
        <v>81</v>
      </c>
      <c r="H118" s="676" t="s">
        <v>311</v>
      </c>
      <c r="I118" s="846" t="s">
        <v>312</v>
      </c>
      <c r="J118" s="677" t="s">
        <v>266</v>
      </c>
      <c r="K118" s="677">
        <v>1</v>
      </c>
      <c r="L118" s="679" t="s">
        <v>73</v>
      </c>
      <c r="M118" s="621">
        <v>13</v>
      </c>
      <c r="N118" s="621">
        <v>41</v>
      </c>
      <c r="O118" s="678">
        <v>17</v>
      </c>
      <c r="P118" s="850">
        <v>20</v>
      </c>
      <c r="Q118" s="678">
        <v>27</v>
      </c>
      <c r="R118" s="807">
        <v>25</v>
      </c>
      <c r="S118" s="851">
        <v>20</v>
      </c>
      <c r="T118" s="678">
        <v>38</v>
      </c>
      <c r="U118" s="678">
        <v>32</v>
      </c>
      <c r="V118" s="850">
        <v>18</v>
      </c>
      <c r="W118" s="678">
        <v>41</v>
      </c>
      <c r="X118" s="679"/>
      <c r="Y118" s="635">
        <v>19</v>
      </c>
      <c r="Z118" s="852"/>
      <c r="AA118" s="682">
        <v>4</v>
      </c>
      <c r="AB118" s="848" t="s">
        <v>114</v>
      </c>
      <c r="AC118" s="830"/>
      <c r="AD118" s="831"/>
      <c r="AE118" s="818"/>
      <c r="AF118" s="818"/>
      <c r="AG118" s="830"/>
      <c r="AH118" s="831"/>
      <c r="AI118" s="831"/>
      <c r="AJ118" s="831"/>
      <c r="AK118" s="830"/>
      <c r="AL118" s="831"/>
      <c r="AM118" s="831"/>
      <c r="AN118" s="831"/>
      <c r="AO118" s="830"/>
      <c r="AP118" s="831"/>
      <c r="AQ118" s="831"/>
      <c r="AR118" s="831"/>
      <c r="AS118" s="830"/>
      <c r="AT118" s="831"/>
      <c r="AU118" s="818"/>
      <c r="AV118" s="818"/>
      <c r="AW118" s="830"/>
      <c r="AX118" s="831"/>
      <c r="AY118" s="831"/>
      <c r="AZ118" s="831"/>
      <c r="BA118" s="830"/>
      <c r="BB118" s="831"/>
      <c r="BC118" s="831"/>
      <c r="BD118" s="831"/>
      <c r="BE118" s="830"/>
      <c r="BF118" s="831"/>
      <c r="BG118" s="818"/>
      <c r="BH118" s="818"/>
      <c r="BI118" s="830"/>
      <c r="BJ118" s="831"/>
      <c r="BK118" s="831"/>
      <c r="BL118" s="831"/>
      <c r="BM118" s="817">
        <f t="shared" si="223"/>
        <v>0</v>
      </c>
      <c r="BN118" s="818">
        <f t="shared" si="224"/>
        <v>0</v>
      </c>
      <c r="BO118" s="818">
        <f t="shared" si="224"/>
        <v>0</v>
      </c>
      <c r="BP118" s="818">
        <f t="shared" si="224"/>
        <v>0</v>
      </c>
      <c r="BQ118" s="667"/>
      <c r="BR118" s="667"/>
      <c r="BS118" s="667"/>
      <c r="BT118" s="667"/>
      <c r="BU118" s="667"/>
      <c r="BV118" s="667"/>
      <c r="BW118" s="667"/>
      <c r="BX118" s="667"/>
      <c r="BY118" s="667"/>
      <c r="BZ118" s="667"/>
      <c r="CA118" s="667"/>
      <c r="CB118" s="667"/>
      <c r="CC118" s="667"/>
      <c r="CD118" s="667"/>
      <c r="CE118" s="667"/>
      <c r="CF118" s="667"/>
      <c r="CG118" s="667"/>
      <c r="CH118" s="667"/>
      <c r="CI118" s="667"/>
      <c r="CJ118" s="667"/>
      <c r="CK118" s="667"/>
      <c r="CL118" s="667"/>
      <c r="CM118" s="667"/>
      <c r="CN118" s="667"/>
      <c r="CO118" s="667"/>
      <c r="CP118" s="667"/>
      <c r="CQ118" s="667"/>
      <c r="CR118" s="667"/>
      <c r="CS118" s="667"/>
      <c r="CT118" s="667"/>
      <c r="CU118" s="667"/>
      <c r="CV118" s="667"/>
      <c r="CW118" s="667"/>
      <c r="CX118" s="667"/>
      <c r="CY118" s="667"/>
      <c r="CZ118" s="667"/>
      <c r="DA118" s="667"/>
      <c r="DB118" s="667"/>
      <c r="DC118" s="667"/>
      <c r="DD118" s="667"/>
      <c r="DE118" s="708">
        <f t="shared" si="225"/>
        <v>0</v>
      </c>
      <c r="DF118" s="708">
        <f t="shared" si="226"/>
        <v>0</v>
      </c>
      <c r="DG118" s="708">
        <f t="shared" si="227"/>
        <v>0</v>
      </c>
      <c r="DH118" s="708">
        <f t="shared" si="228"/>
        <v>0</v>
      </c>
      <c r="DI118" s="708"/>
      <c r="DJ118" s="706"/>
      <c r="DK118" s="706"/>
      <c r="DL118" s="706"/>
      <c r="DM118" s="706"/>
      <c r="DN118" s="706"/>
      <c r="DO118" s="706"/>
      <c r="DP118" s="706"/>
      <c r="DQ118" s="706"/>
      <c r="DR118" s="706"/>
      <c r="DS118" s="706"/>
      <c r="DT118" s="706"/>
      <c r="DU118" s="706"/>
      <c r="DV118" s="706"/>
      <c r="DW118" s="706"/>
      <c r="DX118" s="706"/>
      <c r="DY118" s="706"/>
      <c r="DZ118" s="706"/>
      <c r="EA118" s="706"/>
      <c r="EB118" s="706"/>
      <c r="EC118" s="706"/>
      <c r="ED118" s="706"/>
      <c r="EE118" s="706"/>
      <c r="EF118" s="706"/>
      <c r="EG118" s="706"/>
      <c r="EH118" s="706"/>
      <c r="EI118" s="706"/>
      <c r="EJ118" s="706"/>
      <c r="EK118" s="706"/>
      <c r="EL118" s="706"/>
      <c r="EM118" s="706"/>
      <c r="EN118" s="706"/>
      <c r="EO118" s="706"/>
      <c r="EP118" s="706"/>
      <c r="EQ118" s="706"/>
      <c r="ER118" s="706"/>
      <c r="ES118" s="706"/>
      <c r="ET118" s="667"/>
      <c r="EU118" s="667"/>
      <c r="EV118" s="667"/>
      <c r="EW118" s="708">
        <f t="shared" si="229"/>
        <v>0</v>
      </c>
      <c r="EX118" s="819">
        <f t="shared" si="229"/>
        <v>0</v>
      </c>
      <c r="EY118" s="819">
        <f t="shared" si="230"/>
        <v>0</v>
      </c>
      <c r="EZ118" s="819">
        <f t="shared" si="230"/>
        <v>0</v>
      </c>
      <c r="FA118" s="820"/>
      <c r="FB118" s="667"/>
      <c r="FC118" s="706"/>
      <c r="FD118" s="706"/>
      <c r="FE118" s="706"/>
      <c r="FF118" s="707"/>
      <c r="FG118" s="667"/>
      <c r="FH118" s="667"/>
      <c r="FI118" s="667"/>
      <c r="FJ118" s="667"/>
      <c r="FK118" s="667"/>
      <c r="FL118" s="667"/>
      <c r="FM118" s="667"/>
      <c r="FN118" s="667"/>
      <c r="FO118" s="667"/>
      <c r="FP118" s="667"/>
      <c r="FQ118" s="667"/>
      <c r="FR118" s="667"/>
      <c r="FS118" s="667"/>
      <c r="FT118" s="667"/>
      <c r="FU118" s="667"/>
      <c r="FV118" s="667"/>
      <c r="FW118" s="667"/>
      <c r="FX118" s="667"/>
      <c r="FY118" s="667"/>
      <c r="FZ118" s="667"/>
      <c r="GA118" s="667"/>
      <c r="GB118" s="667"/>
      <c r="GC118" s="667"/>
      <c r="GD118" s="667"/>
      <c r="GE118" s="667"/>
      <c r="GF118" s="667"/>
      <c r="GG118" s="667"/>
      <c r="GH118" s="667"/>
      <c r="GI118" s="667"/>
      <c r="GJ118" s="667"/>
      <c r="GK118" s="667"/>
      <c r="GL118" s="667"/>
      <c r="GM118" s="667"/>
      <c r="GN118" s="667"/>
      <c r="GO118" s="667"/>
      <c r="GP118" s="667"/>
      <c r="GQ118" s="667"/>
      <c r="GR118" s="667"/>
      <c r="GS118" s="667"/>
      <c r="GT118" s="667"/>
      <c r="GU118" s="708">
        <f t="shared" si="231"/>
        <v>0</v>
      </c>
      <c r="GV118" s="708">
        <f t="shared" si="232"/>
        <v>0</v>
      </c>
      <c r="GW118" s="708">
        <f t="shared" si="232"/>
        <v>0</v>
      </c>
      <c r="GX118" s="708">
        <f t="shared" si="232"/>
        <v>0</v>
      </c>
      <c r="GY118" s="709">
        <f t="shared" si="232"/>
        <v>0</v>
      </c>
      <c r="GZ118" s="1009">
        <f t="shared" si="233"/>
        <v>0</v>
      </c>
    </row>
    <row r="119" spans="1:208" s="711" customFormat="1" ht="103.5" customHeight="1" x14ac:dyDescent="0.2">
      <c r="A119" s="703"/>
      <c r="B119" s="703"/>
      <c r="C119" s="715"/>
      <c r="D119" s="853"/>
      <c r="E119" s="827"/>
      <c r="F119" s="827"/>
      <c r="G119" s="684">
        <v>82</v>
      </c>
      <c r="H119" s="676" t="s">
        <v>313</v>
      </c>
      <c r="I119" s="846" t="s">
        <v>314</v>
      </c>
      <c r="J119" s="677" t="s">
        <v>266</v>
      </c>
      <c r="K119" s="677">
        <v>1</v>
      </c>
      <c r="L119" s="679" t="s">
        <v>73</v>
      </c>
      <c r="M119" s="621">
        <v>14</v>
      </c>
      <c r="N119" s="621">
        <v>40</v>
      </c>
      <c r="O119" s="678">
        <v>17</v>
      </c>
      <c r="P119" s="850">
        <v>16</v>
      </c>
      <c r="Q119" s="678">
        <v>27</v>
      </c>
      <c r="R119" s="807">
        <v>25</v>
      </c>
      <c r="S119" s="851">
        <v>16</v>
      </c>
      <c r="T119" s="678">
        <v>37</v>
      </c>
      <c r="U119" s="678">
        <v>32</v>
      </c>
      <c r="V119" s="850">
        <v>18</v>
      </c>
      <c r="W119" s="678">
        <v>40</v>
      </c>
      <c r="X119" s="679"/>
      <c r="Y119" s="635">
        <v>18</v>
      </c>
      <c r="Z119" s="852"/>
      <c r="AA119" s="682">
        <v>4</v>
      </c>
      <c r="AB119" s="848" t="s">
        <v>114</v>
      </c>
      <c r="AC119" s="830"/>
      <c r="AD119" s="831"/>
      <c r="AE119" s="818"/>
      <c r="AF119" s="818"/>
      <c r="AG119" s="830"/>
      <c r="AH119" s="831"/>
      <c r="AI119" s="831"/>
      <c r="AJ119" s="831"/>
      <c r="AK119" s="830"/>
      <c r="AL119" s="831"/>
      <c r="AM119" s="831"/>
      <c r="AN119" s="831"/>
      <c r="AO119" s="830"/>
      <c r="AP119" s="831"/>
      <c r="AQ119" s="831"/>
      <c r="AR119" s="831"/>
      <c r="AS119" s="830"/>
      <c r="AT119" s="831"/>
      <c r="AU119" s="818"/>
      <c r="AV119" s="818"/>
      <c r="AW119" s="830"/>
      <c r="AX119" s="831"/>
      <c r="AY119" s="831"/>
      <c r="AZ119" s="831"/>
      <c r="BA119" s="830"/>
      <c r="BB119" s="831"/>
      <c r="BC119" s="831"/>
      <c r="BD119" s="831"/>
      <c r="BE119" s="830"/>
      <c r="BF119" s="831"/>
      <c r="BG119" s="818"/>
      <c r="BH119" s="818"/>
      <c r="BI119" s="830"/>
      <c r="BJ119" s="831"/>
      <c r="BK119" s="831"/>
      <c r="BL119" s="831"/>
      <c r="BM119" s="817">
        <f t="shared" si="223"/>
        <v>0</v>
      </c>
      <c r="BN119" s="818">
        <f t="shared" si="224"/>
        <v>0</v>
      </c>
      <c r="BO119" s="818">
        <f t="shared" si="224"/>
        <v>0</v>
      </c>
      <c r="BP119" s="818">
        <f t="shared" si="224"/>
        <v>0</v>
      </c>
      <c r="BQ119" s="667"/>
      <c r="BR119" s="667"/>
      <c r="BS119" s="667"/>
      <c r="BT119" s="667"/>
      <c r="BU119" s="667"/>
      <c r="BV119" s="667"/>
      <c r="BW119" s="667"/>
      <c r="BX119" s="667"/>
      <c r="BY119" s="667"/>
      <c r="BZ119" s="667"/>
      <c r="CA119" s="667"/>
      <c r="CB119" s="667"/>
      <c r="CC119" s="667"/>
      <c r="CD119" s="667"/>
      <c r="CE119" s="667"/>
      <c r="CF119" s="667"/>
      <c r="CG119" s="667"/>
      <c r="CH119" s="667"/>
      <c r="CI119" s="667"/>
      <c r="CJ119" s="667"/>
      <c r="CK119" s="667"/>
      <c r="CL119" s="667"/>
      <c r="CM119" s="667"/>
      <c r="CN119" s="667"/>
      <c r="CO119" s="667"/>
      <c r="CP119" s="667"/>
      <c r="CQ119" s="667"/>
      <c r="CR119" s="667"/>
      <c r="CS119" s="667"/>
      <c r="CT119" s="667"/>
      <c r="CU119" s="667"/>
      <c r="CV119" s="667"/>
      <c r="CW119" s="667"/>
      <c r="CX119" s="667"/>
      <c r="CY119" s="667"/>
      <c r="CZ119" s="667"/>
      <c r="DA119" s="667"/>
      <c r="DB119" s="667"/>
      <c r="DC119" s="667"/>
      <c r="DD119" s="667"/>
      <c r="DE119" s="708">
        <f t="shared" si="225"/>
        <v>0</v>
      </c>
      <c r="DF119" s="708">
        <f t="shared" si="226"/>
        <v>0</v>
      </c>
      <c r="DG119" s="708">
        <f t="shared" si="227"/>
        <v>0</v>
      </c>
      <c r="DH119" s="708">
        <f t="shared" si="228"/>
        <v>0</v>
      </c>
      <c r="DI119" s="708"/>
      <c r="DJ119" s="706"/>
      <c r="DK119" s="706"/>
      <c r="DL119" s="706"/>
      <c r="DM119" s="706"/>
      <c r="DN119" s="706"/>
      <c r="DO119" s="706"/>
      <c r="DP119" s="706"/>
      <c r="DQ119" s="706"/>
      <c r="DR119" s="706"/>
      <c r="DS119" s="706"/>
      <c r="DT119" s="706"/>
      <c r="DU119" s="706"/>
      <c r="DV119" s="706"/>
      <c r="DW119" s="706"/>
      <c r="DX119" s="706"/>
      <c r="DY119" s="706"/>
      <c r="DZ119" s="706"/>
      <c r="EA119" s="706"/>
      <c r="EB119" s="706"/>
      <c r="EC119" s="706"/>
      <c r="ED119" s="706"/>
      <c r="EE119" s="706"/>
      <c r="EF119" s="706"/>
      <c r="EG119" s="706"/>
      <c r="EH119" s="706"/>
      <c r="EI119" s="706"/>
      <c r="EJ119" s="706"/>
      <c r="EK119" s="706"/>
      <c r="EL119" s="706"/>
      <c r="EM119" s="706"/>
      <c r="EN119" s="706"/>
      <c r="EO119" s="706"/>
      <c r="EP119" s="706"/>
      <c r="EQ119" s="706"/>
      <c r="ER119" s="706"/>
      <c r="ES119" s="706"/>
      <c r="ET119" s="667"/>
      <c r="EU119" s="667"/>
      <c r="EV119" s="667"/>
      <c r="EW119" s="708">
        <f t="shared" si="229"/>
        <v>0</v>
      </c>
      <c r="EX119" s="819">
        <f t="shared" si="229"/>
        <v>0</v>
      </c>
      <c r="EY119" s="819">
        <f t="shared" si="230"/>
        <v>0</v>
      </c>
      <c r="EZ119" s="819">
        <f t="shared" si="230"/>
        <v>0</v>
      </c>
      <c r="FA119" s="820"/>
      <c r="FB119" s="667"/>
      <c r="FC119" s="706"/>
      <c r="FD119" s="706"/>
      <c r="FE119" s="706"/>
      <c r="FF119" s="707"/>
      <c r="FG119" s="667"/>
      <c r="FH119" s="667"/>
      <c r="FI119" s="667"/>
      <c r="FJ119" s="667"/>
      <c r="FK119" s="667"/>
      <c r="FL119" s="667"/>
      <c r="FM119" s="667"/>
      <c r="FN119" s="667"/>
      <c r="FO119" s="667"/>
      <c r="FP119" s="667"/>
      <c r="FQ119" s="667"/>
      <c r="FR119" s="667"/>
      <c r="FS119" s="667"/>
      <c r="FT119" s="667"/>
      <c r="FU119" s="667"/>
      <c r="FV119" s="667"/>
      <c r="FW119" s="667"/>
      <c r="FX119" s="667"/>
      <c r="FY119" s="667"/>
      <c r="FZ119" s="667"/>
      <c r="GA119" s="667"/>
      <c r="GB119" s="667"/>
      <c r="GC119" s="667"/>
      <c r="GD119" s="667"/>
      <c r="GE119" s="667"/>
      <c r="GF119" s="667"/>
      <c r="GG119" s="667"/>
      <c r="GH119" s="667"/>
      <c r="GI119" s="667"/>
      <c r="GJ119" s="667"/>
      <c r="GK119" s="667"/>
      <c r="GL119" s="667"/>
      <c r="GM119" s="667"/>
      <c r="GN119" s="667"/>
      <c r="GO119" s="667"/>
      <c r="GP119" s="667"/>
      <c r="GQ119" s="667"/>
      <c r="GR119" s="667"/>
      <c r="GS119" s="667"/>
      <c r="GT119" s="667"/>
      <c r="GU119" s="708">
        <f t="shared" si="231"/>
        <v>0</v>
      </c>
      <c r="GV119" s="708">
        <f t="shared" si="232"/>
        <v>0</v>
      </c>
      <c r="GW119" s="708">
        <f t="shared" si="232"/>
        <v>0</v>
      </c>
      <c r="GX119" s="708">
        <f t="shared" si="232"/>
        <v>0</v>
      </c>
      <c r="GY119" s="709">
        <f t="shared" si="232"/>
        <v>0</v>
      </c>
      <c r="GZ119" s="1009">
        <f t="shared" si="233"/>
        <v>0</v>
      </c>
    </row>
    <row r="120" spans="1:208" ht="24.75" customHeight="1" x14ac:dyDescent="0.2">
      <c r="A120" s="326"/>
      <c r="B120" s="326"/>
      <c r="C120" s="246">
        <v>20</v>
      </c>
      <c r="D120" s="247" t="s">
        <v>315</v>
      </c>
      <c r="E120" s="249"/>
      <c r="F120" s="295"/>
      <c r="G120" s="249"/>
      <c r="H120" s="249"/>
      <c r="I120" s="249"/>
      <c r="J120" s="249"/>
      <c r="K120" s="249"/>
      <c r="L120" s="249"/>
      <c r="M120" s="249"/>
      <c r="N120" s="249"/>
      <c r="O120" s="249"/>
      <c r="P120" s="249"/>
      <c r="Q120" s="249"/>
      <c r="R120" s="249"/>
      <c r="S120" s="249"/>
      <c r="T120" s="249"/>
      <c r="U120" s="249"/>
      <c r="V120" s="249"/>
      <c r="W120" s="249"/>
      <c r="X120" s="249"/>
      <c r="Y120" s="296"/>
      <c r="Z120" s="249"/>
      <c r="AA120" s="249"/>
      <c r="AB120" s="249"/>
      <c r="AC120" s="186">
        <f t="shared" ref="AC120:BL120" si="234">SUM(AC121:AC130)</f>
        <v>0</v>
      </c>
      <c r="AD120" s="186">
        <f t="shared" si="234"/>
        <v>0</v>
      </c>
      <c r="AE120" s="186">
        <f t="shared" si="234"/>
        <v>0</v>
      </c>
      <c r="AF120" s="186">
        <f t="shared" si="234"/>
        <v>0</v>
      </c>
      <c r="AG120" s="186">
        <f t="shared" si="234"/>
        <v>0</v>
      </c>
      <c r="AH120" s="186">
        <f t="shared" si="234"/>
        <v>600000000</v>
      </c>
      <c r="AI120" s="186">
        <f t="shared" si="234"/>
        <v>354448989</v>
      </c>
      <c r="AJ120" s="186">
        <f t="shared" si="234"/>
        <v>339448989</v>
      </c>
      <c r="AK120" s="186">
        <f t="shared" si="234"/>
        <v>50000000</v>
      </c>
      <c r="AL120" s="186">
        <f t="shared" si="234"/>
        <v>50000000</v>
      </c>
      <c r="AM120" s="186">
        <f t="shared" si="234"/>
        <v>37000000</v>
      </c>
      <c r="AN120" s="186">
        <f t="shared" si="234"/>
        <v>37000000</v>
      </c>
      <c r="AO120" s="186">
        <f t="shared" si="234"/>
        <v>0</v>
      </c>
      <c r="AP120" s="186">
        <f t="shared" si="234"/>
        <v>0</v>
      </c>
      <c r="AQ120" s="186">
        <f t="shared" si="234"/>
        <v>0</v>
      </c>
      <c r="AR120" s="186">
        <f t="shared" si="234"/>
        <v>0</v>
      </c>
      <c r="AS120" s="186">
        <f t="shared" si="234"/>
        <v>0</v>
      </c>
      <c r="AT120" s="186">
        <f t="shared" si="234"/>
        <v>0</v>
      </c>
      <c r="AU120" s="186">
        <f t="shared" si="234"/>
        <v>0</v>
      </c>
      <c r="AV120" s="186">
        <f t="shared" si="234"/>
        <v>0</v>
      </c>
      <c r="AW120" s="186">
        <f t="shared" si="234"/>
        <v>0</v>
      </c>
      <c r="AX120" s="186">
        <f t="shared" si="234"/>
        <v>0</v>
      </c>
      <c r="AY120" s="186">
        <f t="shared" si="234"/>
        <v>0</v>
      </c>
      <c r="AZ120" s="186">
        <f t="shared" si="234"/>
        <v>0</v>
      </c>
      <c r="BA120" s="186">
        <f t="shared" si="234"/>
        <v>0</v>
      </c>
      <c r="BB120" s="186">
        <f t="shared" si="234"/>
        <v>0</v>
      </c>
      <c r="BC120" s="186">
        <f t="shared" si="234"/>
        <v>0</v>
      </c>
      <c r="BD120" s="186">
        <f t="shared" si="234"/>
        <v>0</v>
      </c>
      <c r="BE120" s="186">
        <f t="shared" si="234"/>
        <v>0</v>
      </c>
      <c r="BF120" s="186">
        <f t="shared" si="234"/>
        <v>0</v>
      </c>
      <c r="BG120" s="186">
        <f t="shared" si="234"/>
        <v>0</v>
      </c>
      <c r="BH120" s="186">
        <f t="shared" si="234"/>
        <v>0</v>
      </c>
      <c r="BI120" s="186">
        <f t="shared" si="234"/>
        <v>4200000000</v>
      </c>
      <c r="BJ120" s="186">
        <f t="shared" si="234"/>
        <v>0</v>
      </c>
      <c r="BK120" s="186">
        <f t="shared" si="234"/>
        <v>0</v>
      </c>
      <c r="BL120" s="186">
        <f t="shared" si="234"/>
        <v>0</v>
      </c>
      <c r="BM120" s="186">
        <f t="shared" ref="BM120:DX120" si="235">SUM(BM121:BM130)</f>
        <v>4250000000</v>
      </c>
      <c r="BN120" s="186">
        <f t="shared" si="235"/>
        <v>650000000</v>
      </c>
      <c r="BO120" s="186">
        <f t="shared" si="235"/>
        <v>391448989</v>
      </c>
      <c r="BP120" s="186">
        <f t="shared" si="235"/>
        <v>376448989</v>
      </c>
      <c r="BQ120" s="186">
        <f t="shared" si="235"/>
        <v>0</v>
      </c>
      <c r="BR120" s="186">
        <f t="shared" si="235"/>
        <v>0</v>
      </c>
      <c r="BS120" s="186">
        <f t="shared" si="235"/>
        <v>0</v>
      </c>
      <c r="BT120" s="186">
        <f t="shared" si="235"/>
        <v>0</v>
      </c>
      <c r="BU120" s="186">
        <f t="shared" si="235"/>
        <v>0</v>
      </c>
      <c r="BV120" s="186">
        <f t="shared" si="235"/>
        <v>290000000</v>
      </c>
      <c r="BW120" s="186">
        <f t="shared" si="235"/>
        <v>239781040</v>
      </c>
      <c r="BX120" s="186">
        <f t="shared" si="235"/>
        <v>239781040</v>
      </c>
      <c r="BY120" s="186">
        <f t="shared" si="235"/>
        <v>0</v>
      </c>
      <c r="BZ120" s="186">
        <f t="shared" si="235"/>
        <v>50000000</v>
      </c>
      <c r="CA120" s="186">
        <f t="shared" si="235"/>
        <v>36000000</v>
      </c>
      <c r="CB120" s="186">
        <f t="shared" si="235"/>
        <v>35000000</v>
      </c>
      <c r="CC120" s="186">
        <f t="shared" si="235"/>
        <v>35000000</v>
      </c>
      <c r="CD120" s="186">
        <f t="shared" si="235"/>
        <v>0</v>
      </c>
      <c r="CE120" s="186">
        <f t="shared" si="235"/>
        <v>0</v>
      </c>
      <c r="CF120" s="186">
        <f t="shared" si="235"/>
        <v>0</v>
      </c>
      <c r="CG120" s="186">
        <f t="shared" si="235"/>
        <v>0</v>
      </c>
      <c r="CH120" s="186">
        <f t="shared" si="235"/>
        <v>0</v>
      </c>
      <c r="CI120" s="186">
        <f t="shared" si="235"/>
        <v>0</v>
      </c>
      <c r="CJ120" s="186">
        <f t="shared" si="235"/>
        <v>0</v>
      </c>
      <c r="CK120" s="186">
        <f t="shared" si="235"/>
        <v>0</v>
      </c>
      <c r="CL120" s="186">
        <f t="shared" si="235"/>
        <v>0</v>
      </c>
      <c r="CM120" s="186">
        <f t="shared" si="235"/>
        <v>0</v>
      </c>
      <c r="CN120" s="186">
        <f t="shared" si="235"/>
        <v>0</v>
      </c>
      <c r="CO120" s="186">
        <f t="shared" si="235"/>
        <v>0</v>
      </c>
      <c r="CP120" s="186">
        <f t="shared" si="235"/>
        <v>0</v>
      </c>
      <c r="CQ120" s="186">
        <f t="shared" si="235"/>
        <v>0</v>
      </c>
      <c r="CR120" s="186">
        <f t="shared" si="235"/>
        <v>286276023</v>
      </c>
      <c r="CS120" s="186">
        <f t="shared" si="235"/>
        <v>231068152</v>
      </c>
      <c r="CT120" s="186">
        <f t="shared" si="235"/>
        <v>231068152</v>
      </c>
      <c r="CU120" s="186">
        <f t="shared" si="235"/>
        <v>0</v>
      </c>
      <c r="CV120" s="186">
        <f t="shared" si="235"/>
        <v>0</v>
      </c>
      <c r="CW120" s="186">
        <f t="shared" si="235"/>
        <v>0</v>
      </c>
      <c r="CX120" s="186">
        <f t="shared" si="235"/>
        <v>0</v>
      </c>
      <c r="CY120" s="186">
        <f t="shared" si="235"/>
        <v>0</v>
      </c>
      <c r="CZ120" s="186">
        <f t="shared" si="235"/>
        <v>0</v>
      </c>
      <c r="DA120" s="186">
        <f t="shared" si="235"/>
        <v>5295276423</v>
      </c>
      <c r="DB120" s="186">
        <f t="shared" si="235"/>
        <v>0</v>
      </c>
      <c r="DC120" s="186">
        <f t="shared" si="235"/>
        <v>0</v>
      </c>
      <c r="DD120" s="186">
        <f t="shared" si="235"/>
        <v>0</v>
      </c>
      <c r="DE120" s="186">
        <f t="shared" si="235"/>
        <v>5345276423</v>
      </c>
      <c r="DF120" s="186">
        <f t="shared" si="235"/>
        <v>612276023</v>
      </c>
      <c r="DG120" s="186">
        <f t="shared" si="235"/>
        <v>505849192</v>
      </c>
      <c r="DH120" s="186">
        <f t="shared" si="235"/>
        <v>505849192</v>
      </c>
      <c r="DI120" s="186">
        <f t="shared" si="235"/>
        <v>0</v>
      </c>
      <c r="DJ120" s="186">
        <f t="shared" si="235"/>
        <v>0</v>
      </c>
      <c r="DK120" s="186">
        <f t="shared" si="235"/>
        <v>0</v>
      </c>
      <c r="DL120" s="186">
        <f t="shared" si="235"/>
        <v>0</v>
      </c>
      <c r="DM120" s="186">
        <f t="shared" si="235"/>
        <v>0</v>
      </c>
      <c r="DN120" s="186">
        <f t="shared" si="235"/>
        <v>0</v>
      </c>
      <c r="DO120" s="186">
        <f t="shared" si="235"/>
        <v>271200000</v>
      </c>
      <c r="DP120" s="186">
        <f t="shared" si="235"/>
        <v>220291080</v>
      </c>
      <c r="DQ120" s="186">
        <f t="shared" si="235"/>
        <v>220291080</v>
      </c>
      <c r="DR120" s="186">
        <f t="shared" si="235"/>
        <v>0</v>
      </c>
      <c r="DS120" s="186">
        <f t="shared" si="235"/>
        <v>20000000</v>
      </c>
      <c r="DT120" s="186">
        <f t="shared" si="235"/>
        <v>60000000</v>
      </c>
      <c r="DU120" s="186">
        <f t="shared" si="235"/>
        <v>36420932</v>
      </c>
      <c r="DV120" s="186">
        <f t="shared" si="235"/>
        <v>36420932</v>
      </c>
      <c r="DW120" s="186">
        <f t="shared" si="235"/>
        <v>0</v>
      </c>
      <c r="DX120" s="186">
        <f t="shared" si="235"/>
        <v>0</v>
      </c>
      <c r="DY120" s="186">
        <f t="shared" ref="DY120:EW120" si="236">SUM(DY121:DY130)</f>
        <v>0</v>
      </c>
      <c r="DZ120" s="186">
        <f t="shared" si="236"/>
        <v>0</v>
      </c>
      <c r="EA120" s="186">
        <f t="shared" si="236"/>
        <v>0</v>
      </c>
      <c r="EB120" s="186">
        <f t="shared" si="236"/>
        <v>0</v>
      </c>
      <c r="EC120" s="186">
        <f t="shared" si="236"/>
        <v>0</v>
      </c>
      <c r="ED120" s="186">
        <f t="shared" si="236"/>
        <v>0</v>
      </c>
      <c r="EE120" s="186">
        <f t="shared" si="236"/>
        <v>0</v>
      </c>
      <c r="EF120" s="186">
        <f t="shared" si="236"/>
        <v>0</v>
      </c>
      <c r="EG120" s="186">
        <f t="shared" si="236"/>
        <v>0</v>
      </c>
      <c r="EH120" s="186">
        <f t="shared" si="236"/>
        <v>0</v>
      </c>
      <c r="EI120" s="186">
        <f t="shared" si="236"/>
        <v>0</v>
      </c>
      <c r="EJ120" s="186">
        <f t="shared" si="236"/>
        <v>0</v>
      </c>
      <c r="EK120" s="186">
        <f t="shared" si="236"/>
        <v>2296502</v>
      </c>
      <c r="EL120" s="186">
        <f t="shared" si="236"/>
        <v>2296502</v>
      </c>
      <c r="EM120" s="186">
        <f t="shared" si="236"/>
        <v>2296502</v>
      </c>
      <c r="EN120" s="186">
        <f t="shared" si="236"/>
        <v>0</v>
      </c>
      <c r="EO120" s="186">
        <f t="shared" si="236"/>
        <v>0</v>
      </c>
      <c r="EP120" s="186">
        <f t="shared" si="236"/>
        <v>0</v>
      </c>
      <c r="EQ120" s="186">
        <f t="shared" si="236"/>
        <v>0</v>
      </c>
      <c r="ER120" s="186">
        <f t="shared" si="236"/>
        <v>0</v>
      </c>
      <c r="ES120" s="186">
        <f t="shared" si="236"/>
        <v>6000000000</v>
      </c>
      <c r="ET120" s="186">
        <f t="shared" si="236"/>
        <v>0</v>
      </c>
      <c r="EU120" s="186">
        <f t="shared" si="236"/>
        <v>0</v>
      </c>
      <c r="EV120" s="186">
        <f t="shared" si="236"/>
        <v>0</v>
      </c>
      <c r="EW120" s="186">
        <f t="shared" si="236"/>
        <v>6020000000</v>
      </c>
      <c r="EX120" s="186">
        <f t="shared" ref="EX120:GZ120" si="237">SUM(EX121:EX130)</f>
        <v>333496502</v>
      </c>
      <c r="EY120" s="186">
        <f t="shared" si="237"/>
        <v>259008514</v>
      </c>
      <c r="EZ120" s="186">
        <f t="shared" si="237"/>
        <v>259008514</v>
      </c>
      <c r="FA120" s="186">
        <f t="shared" si="237"/>
        <v>0</v>
      </c>
      <c r="FB120" s="601">
        <f t="shared" si="237"/>
        <v>0</v>
      </c>
      <c r="FC120" s="186">
        <f t="shared" si="237"/>
        <v>0</v>
      </c>
      <c r="FD120" s="186">
        <f t="shared" si="237"/>
        <v>0</v>
      </c>
      <c r="FE120" s="186">
        <f t="shared" si="237"/>
        <v>0</v>
      </c>
      <c r="FF120" s="186">
        <f t="shared" si="237"/>
        <v>0</v>
      </c>
      <c r="FG120" s="186">
        <f t="shared" si="237"/>
        <v>0</v>
      </c>
      <c r="FH120" s="186">
        <f t="shared" si="237"/>
        <v>103775000</v>
      </c>
      <c r="FI120" s="186">
        <f t="shared" si="237"/>
        <v>79394000</v>
      </c>
      <c r="FJ120" s="186">
        <f t="shared" si="237"/>
        <v>22684000</v>
      </c>
      <c r="FK120" s="186">
        <f t="shared" si="237"/>
        <v>0</v>
      </c>
      <c r="FL120" s="186">
        <f t="shared" si="237"/>
        <v>20000000</v>
      </c>
      <c r="FM120" s="186">
        <f t="shared" si="237"/>
        <v>143786764</v>
      </c>
      <c r="FN120" s="186">
        <f t="shared" si="237"/>
        <v>65736500</v>
      </c>
      <c r="FO120" s="186">
        <f t="shared" si="237"/>
        <v>65736500</v>
      </c>
      <c r="FP120" s="186">
        <f t="shared" si="237"/>
        <v>0</v>
      </c>
      <c r="FQ120" s="186">
        <f t="shared" si="237"/>
        <v>0</v>
      </c>
      <c r="FR120" s="186">
        <f t="shared" si="237"/>
        <v>0</v>
      </c>
      <c r="FS120" s="186">
        <f t="shared" si="237"/>
        <v>0</v>
      </c>
      <c r="FT120" s="186">
        <f t="shared" si="237"/>
        <v>0</v>
      </c>
      <c r="FU120" s="186">
        <f t="shared" si="237"/>
        <v>0</v>
      </c>
      <c r="FV120" s="186">
        <f t="shared" si="237"/>
        <v>0</v>
      </c>
      <c r="FW120" s="186">
        <f t="shared" si="237"/>
        <v>0</v>
      </c>
      <c r="FX120" s="186">
        <f t="shared" si="237"/>
        <v>0</v>
      </c>
      <c r="FY120" s="186">
        <f t="shared" si="237"/>
        <v>0</v>
      </c>
      <c r="FZ120" s="186">
        <f t="shared" si="237"/>
        <v>0</v>
      </c>
      <c r="GA120" s="186">
        <f t="shared" si="237"/>
        <v>0</v>
      </c>
      <c r="GB120" s="186">
        <f t="shared" si="237"/>
        <v>0</v>
      </c>
      <c r="GC120" s="186">
        <f t="shared" si="237"/>
        <v>0</v>
      </c>
      <c r="GD120" s="186">
        <f t="shared" si="237"/>
        <v>0</v>
      </c>
      <c r="GE120" s="186">
        <f t="shared" si="237"/>
        <v>0</v>
      </c>
      <c r="GF120" s="186">
        <f t="shared" si="237"/>
        <v>0</v>
      </c>
      <c r="GG120" s="186">
        <f t="shared" si="237"/>
        <v>189134822.86000001</v>
      </c>
      <c r="GH120" s="186">
        <f t="shared" si="237"/>
        <v>0</v>
      </c>
      <c r="GI120" s="186">
        <f t="shared" si="237"/>
        <v>0</v>
      </c>
      <c r="GJ120" s="186">
        <f t="shared" si="237"/>
        <v>0</v>
      </c>
      <c r="GK120" s="186">
        <f t="shared" si="237"/>
        <v>0</v>
      </c>
      <c r="GL120" s="186">
        <f t="shared" si="237"/>
        <v>0</v>
      </c>
      <c r="GM120" s="186">
        <f t="shared" si="237"/>
        <v>0</v>
      </c>
      <c r="GN120" s="186">
        <f t="shared" si="237"/>
        <v>0</v>
      </c>
      <c r="GO120" s="186">
        <f t="shared" si="237"/>
        <v>0</v>
      </c>
      <c r="GP120" s="186">
        <f t="shared" si="237"/>
        <v>4000000000</v>
      </c>
      <c r="GQ120" s="186">
        <f t="shared" si="237"/>
        <v>0</v>
      </c>
      <c r="GR120" s="186">
        <f t="shared" si="237"/>
        <v>0</v>
      </c>
      <c r="GS120" s="186">
        <f t="shared" si="237"/>
        <v>0</v>
      </c>
      <c r="GT120" s="186">
        <f t="shared" si="237"/>
        <v>0</v>
      </c>
      <c r="GU120" s="186">
        <f t="shared" si="237"/>
        <v>4020000000</v>
      </c>
      <c r="GV120" s="186">
        <f t="shared" si="237"/>
        <v>436696586.86000001</v>
      </c>
      <c r="GW120" s="186">
        <f t="shared" si="237"/>
        <v>145130500</v>
      </c>
      <c r="GX120" s="186">
        <f t="shared" si="237"/>
        <v>88420500</v>
      </c>
      <c r="GY120" s="186">
        <f t="shared" si="237"/>
        <v>0</v>
      </c>
      <c r="GZ120" s="186">
        <f t="shared" si="237"/>
        <v>19635276423</v>
      </c>
    </row>
    <row r="121" spans="1:208" s="711" customFormat="1" ht="101.25" customHeight="1" x14ac:dyDescent="0.2">
      <c r="A121" s="703"/>
      <c r="B121" s="703"/>
      <c r="C121" s="995"/>
      <c r="D121" s="849" t="s">
        <v>294</v>
      </c>
      <c r="E121" s="897"/>
      <c r="F121" s="897"/>
      <c r="G121" s="682">
        <v>83</v>
      </c>
      <c r="H121" s="676" t="s">
        <v>316</v>
      </c>
      <c r="I121" s="859" t="s">
        <v>317</v>
      </c>
      <c r="J121" s="677" t="s">
        <v>266</v>
      </c>
      <c r="K121" s="680">
        <v>1</v>
      </c>
      <c r="L121" s="679" t="s">
        <v>73</v>
      </c>
      <c r="M121" s="680">
        <v>0</v>
      </c>
      <c r="N121" s="678">
        <v>54</v>
      </c>
      <c r="O121" s="678">
        <v>4</v>
      </c>
      <c r="P121" s="850">
        <v>4</v>
      </c>
      <c r="Q121" s="678">
        <v>27</v>
      </c>
      <c r="R121" s="814"/>
      <c r="S121" s="851">
        <v>52</v>
      </c>
      <c r="T121" s="678">
        <v>47</v>
      </c>
      <c r="U121" s="678"/>
      <c r="V121" s="850">
        <v>54</v>
      </c>
      <c r="W121" s="683">
        <v>54</v>
      </c>
      <c r="X121" s="679"/>
      <c r="Y121" s="635">
        <v>54</v>
      </c>
      <c r="Z121" s="860"/>
      <c r="AA121" s="682">
        <v>4</v>
      </c>
      <c r="AB121" s="848" t="s">
        <v>114</v>
      </c>
      <c r="AC121" s="830"/>
      <c r="AD121" s="831"/>
      <c r="AE121" s="818"/>
      <c r="AF121" s="818"/>
      <c r="AG121" s="830">
        <v>0</v>
      </c>
      <c r="AH121" s="831">
        <v>15000000</v>
      </c>
      <c r="AI121" s="831">
        <v>0</v>
      </c>
      <c r="AJ121" s="831">
        <v>0</v>
      </c>
      <c r="AK121" s="830"/>
      <c r="AL121" s="831"/>
      <c r="AM121" s="831"/>
      <c r="AN121" s="831"/>
      <c r="AO121" s="830"/>
      <c r="AP121" s="831"/>
      <c r="AQ121" s="831"/>
      <c r="AR121" s="831"/>
      <c r="AS121" s="830"/>
      <c r="AT121" s="831"/>
      <c r="AU121" s="818"/>
      <c r="AV121" s="818"/>
      <c r="AW121" s="830"/>
      <c r="AX121" s="831"/>
      <c r="AY121" s="831"/>
      <c r="AZ121" s="831"/>
      <c r="BA121" s="830"/>
      <c r="BB121" s="831"/>
      <c r="BC121" s="831"/>
      <c r="BD121" s="831"/>
      <c r="BE121" s="830"/>
      <c r="BF121" s="831"/>
      <c r="BG121" s="818"/>
      <c r="BH121" s="818"/>
      <c r="BI121" s="830"/>
      <c r="BJ121" s="831"/>
      <c r="BK121" s="831"/>
      <c r="BL121" s="831"/>
      <c r="BM121" s="817">
        <f t="shared" ref="BM121:BM130" si="238">+AC121+AG121+AK121+AO121+AS121+AW121+BA121+BE121+BI121</f>
        <v>0</v>
      </c>
      <c r="BN121" s="818">
        <f t="shared" ref="BN121:BN130" si="239">AD121+AH121+AL121+AP121+AT121+AX121+BB121+BF121+BJ121</f>
        <v>15000000</v>
      </c>
      <c r="BO121" s="818">
        <f t="shared" ref="BO121:BO130" si="240">AE121+AI121+AM121+AQ121+AU121+AY121+BC121+BG121+BK121</f>
        <v>0</v>
      </c>
      <c r="BP121" s="818">
        <f t="shared" ref="BP121:BP130" si="241">AF121+AJ121+AN121+AR121+AV121+AZ121+BD121+BH121+BL121</f>
        <v>0</v>
      </c>
      <c r="BQ121" s="667"/>
      <c r="BR121" s="667"/>
      <c r="BS121" s="667"/>
      <c r="BT121" s="667"/>
      <c r="BU121" s="667"/>
      <c r="BV121" s="667"/>
      <c r="BW121" s="667"/>
      <c r="BX121" s="667"/>
      <c r="BY121" s="667"/>
      <c r="BZ121" s="667"/>
      <c r="CA121" s="667"/>
      <c r="CB121" s="667"/>
      <c r="CC121" s="667"/>
      <c r="CD121" s="667"/>
      <c r="CE121" s="667"/>
      <c r="CF121" s="667"/>
      <c r="CG121" s="667"/>
      <c r="CH121" s="667"/>
      <c r="CI121" s="667"/>
      <c r="CJ121" s="667"/>
      <c r="CK121" s="667"/>
      <c r="CL121" s="667"/>
      <c r="CM121" s="667"/>
      <c r="CN121" s="667"/>
      <c r="CO121" s="667"/>
      <c r="CP121" s="667"/>
      <c r="CQ121" s="667"/>
      <c r="CR121" s="667"/>
      <c r="CS121" s="667"/>
      <c r="CT121" s="667"/>
      <c r="CU121" s="667"/>
      <c r="CV121" s="667"/>
      <c r="CW121" s="667"/>
      <c r="CX121" s="667"/>
      <c r="CY121" s="667"/>
      <c r="CZ121" s="667"/>
      <c r="DA121" s="667"/>
      <c r="DB121" s="667"/>
      <c r="DC121" s="667"/>
      <c r="DD121" s="667"/>
      <c r="DE121" s="708">
        <f t="shared" ref="DE121:DE130" si="242">BQ121+BU121+BZ121+CE121+CI121+CM121+CQ121+CV121+DA121</f>
        <v>0</v>
      </c>
      <c r="DF121" s="708">
        <f t="shared" ref="DF121:DH123" si="243">BR121+BV121+CA121+CF121+CJ121+CN121+CR121+CW121+DB121</f>
        <v>0</v>
      </c>
      <c r="DG121" s="708">
        <f t="shared" si="243"/>
        <v>0</v>
      </c>
      <c r="DH121" s="708">
        <f t="shared" si="243"/>
        <v>0</v>
      </c>
      <c r="DI121" s="708"/>
      <c r="DJ121" s="706"/>
      <c r="DK121" s="706"/>
      <c r="DL121" s="706"/>
      <c r="DM121" s="706"/>
      <c r="DN121" s="706"/>
      <c r="DO121" s="706">
        <v>112100000</v>
      </c>
      <c r="DP121" s="706">
        <v>107638100</v>
      </c>
      <c r="DQ121" s="706">
        <v>107638100</v>
      </c>
      <c r="DR121" s="706"/>
      <c r="DS121" s="706"/>
      <c r="DT121" s="706"/>
      <c r="DU121" s="706"/>
      <c r="DV121" s="706"/>
      <c r="DW121" s="706"/>
      <c r="DX121" s="706"/>
      <c r="DY121" s="706"/>
      <c r="DZ121" s="706"/>
      <c r="EA121" s="706"/>
      <c r="EB121" s="706"/>
      <c r="EC121" s="706"/>
      <c r="ED121" s="706"/>
      <c r="EE121" s="706"/>
      <c r="EF121" s="706"/>
      <c r="EG121" s="706"/>
      <c r="EH121" s="706"/>
      <c r="EI121" s="706"/>
      <c r="EJ121" s="706"/>
      <c r="EK121" s="706"/>
      <c r="EL121" s="706"/>
      <c r="EM121" s="706"/>
      <c r="EN121" s="706"/>
      <c r="EO121" s="706"/>
      <c r="EP121" s="706"/>
      <c r="EQ121" s="706"/>
      <c r="ER121" s="706"/>
      <c r="ES121" s="706"/>
      <c r="ET121" s="667"/>
      <c r="EU121" s="667"/>
      <c r="EV121" s="667"/>
      <c r="EW121" s="708">
        <f t="shared" ref="EW121:EX130" si="244">DJ121+DN121+DS121+DX121+EB121+EF121+EJ121+EN121+ES121</f>
        <v>0</v>
      </c>
      <c r="EX121" s="819">
        <f t="shared" si="244"/>
        <v>112100000</v>
      </c>
      <c r="EY121" s="819">
        <f t="shared" ref="EY121:EY130" si="245">DL121+DP121+DU121+DZ121+ED121+EH121+EL121+EP121+EU121</f>
        <v>107638100</v>
      </c>
      <c r="EZ121" s="819">
        <f t="shared" ref="EZ121:EZ130" si="246">DM121+DQ121+DV121+EA121+EE121+EI121+EM121+EQ121+EV121</f>
        <v>107638100</v>
      </c>
      <c r="FA121" s="820"/>
      <c r="FB121" s="667"/>
      <c r="FC121" s="706"/>
      <c r="FD121" s="706"/>
      <c r="FE121" s="706"/>
      <c r="FF121" s="707"/>
      <c r="FG121" s="667"/>
      <c r="FH121" s="667">
        <v>103775000</v>
      </c>
      <c r="FI121" s="667">
        <v>79394000</v>
      </c>
      <c r="FJ121" s="667">
        <v>22684000</v>
      </c>
      <c r="FK121" s="667"/>
      <c r="FL121" s="667"/>
      <c r="FM121" s="667">
        <v>19800000</v>
      </c>
      <c r="FN121" s="667">
        <v>11342000</v>
      </c>
      <c r="FO121" s="667">
        <v>11342000</v>
      </c>
      <c r="FP121" s="667"/>
      <c r="FQ121" s="667"/>
      <c r="FR121" s="667"/>
      <c r="FS121" s="667"/>
      <c r="FT121" s="667"/>
      <c r="FU121" s="667"/>
      <c r="FV121" s="667"/>
      <c r="FW121" s="667"/>
      <c r="FX121" s="667"/>
      <c r="FY121" s="667"/>
      <c r="FZ121" s="667"/>
      <c r="GA121" s="667"/>
      <c r="GB121" s="667"/>
      <c r="GC121" s="667"/>
      <c r="GD121" s="667"/>
      <c r="GE121" s="667"/>
      <c r="GF121" s="667"/>
      <c r="GG121" s="667"/>
      <c r="GH121" s="667"/>
      <c r="GI121" s="667"/>
      <c r="GJ121" s="667"/>
      <c r="GK121" s="667"/>
      <c r="GL121" s="667"/>
      <c r="GM121" s="667"/>
      <c r="GN121" s="667"/>
      <c r="GO121" s="667"/>
      <c r="GP121" s="667"/>
      <c r="GQ121" s="667"/>
      <c r="GR121" s="667"/>
      <c r="GS121" s="667"/>
      <c r="GT121" s="667"/>
      <c r="GU121" s="708">
        <f t="shared" ref="GU121:GU130" si="247">FB121+FG121+FL121+FQ121+FV121+GA121+GF121+GK121+GP121</f>
        <v>0</v>
      </c>
      <c r="GV121" s="708">
        <f t="shared" ref="GV121:GV130" si="248">GQ121+GL121+GG121+GB121+FW121+FR121+FM121+FH121+FC121</f>
        <v>123575000</v>
      </c>
      <c r="GW121" s="708">
        <f t="shared" ref="GW121:GW130" si="249">GR121+GM121+GH121+GC121+FX121+FS121+FN121+FI121+FD121</f>
        <v>90736000</v>
      </c>
      <c r="GX121" s="708">
        <f t="shared" ref="GX121:GX130" si="250">GS121+GN121+GI121+GD121+FY121+FT121+FO121+FJ121+FE121</f>
        <v>34026000</v>
      </c>
      <c r="GY121" s="709">
        <f t="shared" ref="GY121:GY130" si="251">GT121+GO121+GJ121+GE121+FZ121+FU121+FP121+FK121+FF121</f>
        <v>0</v>
      </c>
      <c r="GZ121" s="1009">
        <f t="shared" ref="GZ121:GZ130" si="252">BM121+DE121+EW121+GU121</f>
        <v>0</v>
      </c>
    </row>
    <row r="122" spans="1:208" s="711" customFormat="1" ht="92.25" customHeight="1" x14ac:dyDescent="0.2">
      <c r="A122" s="703"/>
      <c r="B122" s="703"/>
      <c r="C122" s="822"/>
      <c r="D122" s="861"/>
      <c r="E122" s="823"/>
      <c r="F122" s="823"/>
      <c r="G122" s="682">
        <v>84</v>
      </c>
      <c r="H122" s="676" t="s">
        <v>318</v>
      </c>
      <c r="I122" s="859" t="s">
        <v>319</v>
      </c>
      <c r="J122" s="677" t="s">
        <v>266</v>
      </c>
      <c r="K122" s="680">
        <v>1</v>
      </c>
      <c r="L122" s="679" t="s">
        <v>73</v>
      </c>
      <c r="M122" s="680">
        <v>0</v>
      </c>
      <c r="N122" s="678">
        <v>30</v>
      </c>
      <c r="O122" s="678">
        <v>3.75</v>
      </c>
      <c r="P122" s="850">
        <v>0</v>
      </c>
      <c r="Q122" s="678">
        <v>15</v>
      </c>
      <c r="R122" s="814"/>
      <c r="S122" s="851">
        <v>17</v>
      </c>
      <c r="T122" s="678">
        <v>26</v>
      </c>
      <c r="U122" s="678"/>
      <c r="V122" s="850">
        <v>44</v>
      </c>
      <c r="W122" s="683">
        <v>30</v>
      </c>
      <c r="X122" s="679"/>
      <c r="Y122" s="635">
        <v>44</v>
      </c>
      <c r="Z122" s="860"/>
      <c r="AA122" s="682">
        <v>4</v>
      </c>
      <c r="AB122" s="848" t="s">
        <v>114</v>
      </c>
      <c r="AC122" s="830"/>
      <c r="AD122" s="831"/>
      <c r="AE122" s="818"/>
      <c r="AF122" s="818"/>
      <c r="AG122" s="830"/>
      <c r="AH122" s="831"/>
      <c r="AI122" s="831"/>
      <c r="AJ122" s="831"/>
      <c r="AK122" s="830"/>
      <c r="AL122" s="831"/>
      <c r="AM122" s="831"/>
      <c r="AN122" s="831"/>
      <c r="AO122" s="830"/>
      <c r="AP122" s="831"/>
      <c r="AQ122" s="831"/>
      <c r="AR122" s="831"/>
      <c r="AS122" s="830"/>
      <c r="AT122" s="831"/>
      <c r="AU122" s="818"/>
      <c r="AV122" s="818"/>
      <c r="AW122" s="830"/>
      <c r="AX122" s="831"/>
      <c r="AY122" s="831"/>
      <c r="AZ122" s="831"/>
      <c r="BA122" s="830"/>
      <c r="BB122" s="831"/>
      <c r="BC122" s="831"/>
      <c r="BD122" s="831"/>
      <c r="BE122" s="830"/>
      <c r="BF122" s="831"/>
      <c r="BG122" s="818"/>
      <c r="BH122" s="818"/>
      <c r="BI122" s="830"/>
      <c r="BJ122" s="831"/>
      <c r="BK122" s="831"/>
      <c r="BL122" s="831"/>
      <c r="BM122" s="817">
        <f t="shared" si="238"/>
        <v>0</v>
      </c>
      <c r="BN122" s="818">
        <f t="shared" si="239"/>
        <v>0</v>
      </c>
      <c r="BO122" s="818">
        <f t="shared" si="240"/>
        <v>0</v>
      </c>
      <c r="BP122" s="818">
        <f t="shared" si="241"/>
        <v>0</v>
      </c>
      <c r="BQ122" s="667"/>
      <c r="BR122" s="667"/>
      <c r="BS122" s="667"/>
      <c r="BT122" s="667"/>
      <c r="BU122" s="667"/>
      <c r="BV122" s="667"/>
      <c r="BW122" s="667"/>
      <c r="BX122" s="667"/>
      <c r="BY122" s="667"/>
      <c r="BZ122" s="667"/>
      <c r="CA122" s="667"/>
      <c r="CB122" s="667"/>
      <c r="CC122" s="667"/>
      <c r="CD122" s="667"/>
      <c r="CE122" s="667"/>
      <c r="CF122" s="667"/>
      <c r="CG122" s="667"/>
      <c r="CH122" s="667"/>
      <c r="CI122" s="667"/>
      <c r="CJ122" s="667"/>
      <c r="CK122" s="667"/>
      <c r="CL122" s="667"/>
      <c r="CM122" s="667"/>
      <c r="CN122" s="667"/>
      <c r="CO122" s="667"/>
      <c r="CP122" s="667"/>
      <c r="CQ122" s="667"/>
      <c r="CR122" s="667"/>
      <c r="CS122" s="667"/>
      <c r="CT122" s="667"/>
      <c r="CU122" s="667"/>
      <c r="CV122" s="667"/>
      <c r="CW122" s="667"/>
      <c r="CX122" s="667"/>
      <c r="CY122" s="667"/>
      <c r="CZ122" s="667"/>
      <c r="DA122" s="667"/>
      <c r="DB122" s="667"/>
      <c r="DC122" s="667"/>
      <c r="DD122" s="667"/>
      <c r="DE122" s="708">
        <f t="shared" si="242"/>
        <v>0</v>
      </c>
      <c r="DF122" s="708">
        <f t="shared" si="243"/>
        <v>0</v>
      </c>
      <c r="DG122" s="708">
        <f t="shared" si="243"/>
        <v>0</v>
      </c>
      <c r="DH122" s="708">
        <f t="shared" si="243"/>
        <v>0</v>
      </c>
      <c r="DI122" s="708"/>
      <c r="DJ122" s="706"/>
      <c r="DK122" s="706"/>
      <c r="DL122" s="706"/>
      <c r="DM122" s="706"/>
      <c r="DN122" s="706"/>
      <c r="DO122" s="706"/>
      <c r="DP122" s="706"/>
      <c r="DQ122" s="706"/>
      <c r="DR122" s="706"/>
      <c r="DS122" s="706"/>
      <c r="DT122" s="706"/>
      <c r="DU122" s="706"/>
      <c r="DV122" s="706"/>
      <c r="DW122" s="706"/>
      <c r="DX122" s="706"/>
      <c r="DY122" s="706"/>
      <c r="DZ122" s="706"/>
      <c r="EA122" s="706"/>
      <c r="EB122" s="706"/>
      <c r="EC122" s="706"/>
      <c r="ED122" s="706"/>
      <c r="EE122" s="706"/>
      <c r="EF122" s="706"/>
      <c r="EG122" s="706"/>
      <c r="EH122" s="706"/>
      <c r="EI122" s="706"/>
      <c r="EJ122" s="706"/>
      <c r="EK122" s="706"/>
      <c r="EL122" s="706"/>
      <c r="EM122" s="706"/>
      <c r="EN122" s="706"/>
      <c r="EO122" s="706"/>
      <c r="EP122" s="706"/>
      <c r="EQ122" s="706"/>
      <c r="ER122" s="706"/>
      <c r="ES122" s="706"/>
      <c r="ET122" s="667"/>
      <c r="EU122" s="667"/>
      <c r="EV122" s="667"/>
      <c r="EW122" s="708">
        <f t="shared" si="244"/>
        <v>0</v>
      </c>
      <c r="EX122" s="819">
        <f t="shared" si="244"/>
        <v>0</v>
      </c>
      <c r="EY122" s="819">
        <f t="shared" si="245"/>
        <v>0</v>
      </c>
      <c r="EZ122" s="819">
        <f t="shared" si="246"/>
        <v>0</v>
      </c>
      <c r="FA122" s="820"/>
      <c r="FB122" s="667"/>
      <c r="FC122" s="706"/>
      <c r="FD122" s="706"/>
      <c r="FE122" s="706"/>
      <c r="FF122" s="707"/>
      <c r="FG122" s="667"/>
      <c r="FH122" s="667"/>
      <c r="FI122" s="667"/>
      <c r="FJ122" s="667"/>
      <c r="FK122" s="667"/>
      <c r="FL122" s="667"/>
      <c r="FM122" s="667"/>
      <c r="FN122" s="667"/>
      <c r="FO122" s="667"/>
      <c r="FP122" s="667"/>
      <c r="FQ122" s="667"/>
      <c r="FR122" s="667"/>
      <c r="FS122" s="667"/>
      <c r="FT122" s="667"/>
      <c r="FU122" s="667"/>
      <c r="FV122" s="667"/>
      <c r="FW122" s="667"/>
      <c r="FX122" s="667"/>
      <c r="FY122" s="667"/>
      <c r="FZ122" s="667"/>
      <c r="GA122" s="667"/>
      <c r="GB122" s="667"/>
      <c r="GC122" s="667"/>
      <c r="GD122" s="667"/>
      <c r="GE122" s="667"/>
      <c r="GF122" s="667"/>
      <c r="GG122" s="667"/>
      <c r="GH122" s="667"/>
      <c r="GI122" s="667"/>
      <c r="GJ122" s="667"/>
      <c r="GK122" s="667"/>
      <c r="GL122" s="667"/>
      <c r="GM122" s="667"/>
      <c r="GN122" s="667"/>
      <c r="GO122" s="667"/>
      <c r="GP122" s="667"/>
      <c r="GQ122" s="667"/>
      <c r="GR122" s="667"/>
      <c r="GS122" s="667"/>
      <c r="GT122" s="667"/>
      <c r="GU122" s="708">
        <f t="shared" si="247"/>
        <v>0</v>
      </c>
      <c r="GV122" s="708">
        <f t="shared" si="248"/>
        <v>0</v>
      </c>
      <c r="GW122" s="708">
        <f t="shared" si="249"/>
        <v>0</v>
      </c>
      <c r="GX122" s="708">
        <f t="shared" si="250"/>
        <v>0</v>
      </c>
      <c r="GY122" s="709">
        <f t="shared" si="251"/>
        <v>0</v>
      </c>
      <c r="GZ122" s="1009">
        <f t="shared" si="252"/>
        <v>0</v>
      </c>
    </row>
    <row r="123" spans="1:208" s="711" customFormat="1" ht="78" customHeight="1" x14ac:dyDescent="0.2">
      <c r="A123" s="703"/>
      <c r="B123" s="703"/>
      <c r="C123" s="715">
        <v>16</v>
      </c>
      <c r="D123" s="853"/>
      <c r="E123" s="827">
        <v>45</v>
      </c>
      <c r="F123" s="827">
        <v>90</v>
      </c>
      <c r="G123" s="682">
        <v>85</v>
      </c>
      <c r="H123" s="676" t="s">
        <v>320</v>
      </c>
      <c r="I123" s="859" t="s">
        <v>321</v>
      </c>
      <c r="J123" s="677" t="s">
        <v>266</v>
      </c>
      <c r="K123" s="680">
        <v>1</v>
      </c>
      <c r="L123" s="679" t="s">
        <v>73</v>
      </c>
      <c r="M123" s="680">
        <v>0</v>
      </c>
      <c r="N123" s="678">
        <v>30</v>
      </c>
      <c r="O123" s="678">
        <v>4</v>
      </c>
      <c r="P123" s="850">
        <v>4</v>
      </c>
      <c r="Q123" s="678">
        <v>15</v>
      </c>
      <c r="R123" s="814"/>
      <c r="S123" s="851">
        <v>26</v>
      </c>
      <c r="T123" s="678">
        <v>26</v>
      </c>
      <c r="U123" s="678"/>
      <c r="V123" s="850">
        <v>54</v>
      </c>
      <c r="W123" s="683">
        <v>30</v>
      </c>
      <c r="X123" s="679"/>
      <c r="Y123" s="635">
        <v>54</v>
      </c>
      <c r="Z123" s="860"/>
      <c r="AA123" s="682">
        <v>4</v>
      </c>
      <c r="AB123" s="848" t="s">
        <v>114</v>
      </c>
      <c r="AC123" s="830"/>
      <c r="AD123" s="831"/>
      <c r="AE123" s="818"/>
      <c r="AF123" s="818"/>
      <c r="AG123" s="830"/>
      <c r="AH123" s="831">
        <v>15000000</v>
      </c>
      <c r="AI123" s="831">
        <v>15000000</v>
      </c>
      <c r="AJ123" s="831">
        <v>15000000</v>
      </c>
      <c r="AK123" s="830"/>
      <c r="AL123" s="831"/>
      <c r="AM123" s="831"/>
      <c r="AN123" s="831"/>
      <c r="AO123" s="830"/>
      <c r="AP123" s="831"/>
      <c r="AQ123" s="831"/>
      <c r="AR123" s="831"/>
      <c r="AS123" s="830"/>
      <c r="AT123" s="831"/>
      <c r="AU123" s="818"/>
      <c r="AV123" s="818"/>
      <c r="AW123" s="830"/>
      <c r="AX123" s="831"/>
      <c r="AY123" s="831"/>
      <c r="AZ123" s="831"/>
      <c r="BA123" s="830"/>
      <c r="BB123" s="831"/>
      <c r="BC123" s="831"/>
      <c r="BD123" s="831"/>
      <c r="BE123" s="830"/>
      <c r="BF123" s="831"/>
      <c r="BG123" s="818"/>
      <c r="BH123" s="818"/>
      <c r="BI123" s="830"/>
      <c r="BJ123" s="831"/>
      <c r="BK123" s="831"/>
      <c r="BL123" s="831"/>
      <c r="BM123" s="817">
        <f t="shared" si="238"/>
        <v>0</v>
      </c>
      <c r="BN123" s="818">
        <f t="shared" si="239"/>
        <v>15000000</v>
      </c>
      <c r="BO123" s="818">
        <f t="shared" si="240"/>
        <v>15000000</v>
      </c>
      <c r="BP123" s="818">
        <f t="shared" si="241"/>
        <v>15000000</v>
      </c>
      <c r="BQ123" s="667"/>
      <c r="BR123" s="667"/>
      <c r="BS123" s="667"/>
      <c r="BT123" s="667"/>
      <c r="BU123" s="667"/>
      <c r="BV123" s="667">
        <v>20000000</v>
      </c>
      <c r="BW123" s="667"/>
      <c r="BX123" s="667"/>
      <c r="BY123" s="667"/>
      <c r="BZ123" s="667"/>
      <c r="CA123" s="667"/>
      <c r="CB123" s="667"/>
      <c r="CC123" s="667"/>
      <c r="CD123" s="667"/>
      <c r="CE123" s="667"/>
      <c r="CF123" s="667"/>
      <c r="CG123" s="667"/>
      <c r="CH123" s="667"/>
      <c r="CI123" s="667"/>
      <c r="CJ123" s="667"/>
      <c r="CK123" s="667"/>
      <c r="CL123" s="667"/>
      <c r="CM123" s="667"/>
      <c r="CN123" s="667"/>
      <c r="CO123" s="667"/>
      <c r="CP123" s="667"/>
      <c r="CQ123" s="667"/>
      <c r="CR123" s="667"/>
      <c r="CS123" s="667"/>
      <c r="CT123" s="667"/>
      <c r="CU123" s="667"/>
      <c r="CV123" s="667"/>
      <c r="CW123" s="667"/>
      <c r="CX123" s="667"/>
      <c r="CY123" s="667"/>
      <c r="CZ123" s="667"/>
      <c r="DA123" s="667"/>
      <c r="DB123" s="667"/>
      <c r="DC123" s="667"/>
      <c r="DD123" s="667"/>
      <c r="DE123" s="708">
        <f t="shared" si="242"/>
        <v>0</v>
      </c>
      <c r="DF123" s="708">
        <f t="shared" si="243"/>
        <v>20000000</v>
      </c>
      <c r="DG123" s="708">
        <f t="shared" si="243"/>
        <v>0</v>
      </c>
      <c r="DH123" s="708">
        <f t="shared" si="243"/>
        <v>0</v>
      </c>
      <c r="DI123" s="708"/>
      <c r="DJ123" s="706"/>
      <c r="DK123" s="706"/>
      <c r="DL123" s="706"/>
      <c r="DM123" s="706"/>
      <c r="DN123" s="706"/>
      <c r="DO123" s="706"/>
      <c r="DP123" s="706"/>
      <c r="DQ123" s="706"/>
      <c r="DR123" s="706"/>
      <c r="DS123" s="706"/>
      <c r="DT123" s="706"/>
      <c r="DU123" s="706"/>
      <c r="DV123" s="706"/>
      <c r="DW123" s="706"/>
      <c r="DX123" s="706"/>
      <c r="DY123" s="706"/>
      <c r="DZ123" s="706"/>
      <c r="EA123" s="706"/>
      <c r="EB123" s="706"/>
      <c r="EC123" s="706"/>
      <c r="ED123" s="706"/>
      <c r="EE123" s="706"/>
      <c r="EF123" s="706"/>
      <c r="EG123" s="706"/>
      <c r="EH123" s="706"/>
      <c r="EI123" s="706"/>
      <c r="EJ123" s="706"/>
      <c r="EK123" s="706"/>
      <c r="EL123" s="706"/>
      <c r="EM123" s="706"/>
      <c r="EN123" s="706"/>
      <c r="EO123" s="706"/>
      <c r="EP123" s="706"/>
      <c r="EQ123" s="706"/>
      <c r="ER123" s="706"/>
      <c r="ES123" s="706"/>
      <c r="ET123" s="667"/>
      <c r="EU123" s="667"/>
      <c r="EV123" s="667"/>
      <c r="EW123" s="708">
        <f t="shared" si="244"/>
        <v>0</v>
      </c>
      <c r="EX123" s="819">
        <f t="shared" si="244"/>
        <v>0</v>
      </c>
      <c r="EY123" s="819">
        <f t="shared" si="245"/>
        <v>0</v>
      </c>
      <c r="EZ123" s="819">
        <f t="shared" si="246"/>
        <v>0</v>
      </c>
      <c r="FA123" s="820"/>
      <c r="FB123" s="667"/>
      <c r="FC123" s="706"/>
      <c r="FD123" s="706"/>
      <c r="FE123" s="706"/>
      <c r="FF123" s="707"/>
      <c r="FG123" s="667"/>
      <c r="FH123" s="667"/>
      <c r="FI123" s="667"/>
      <c r="FJ123" s="667"/>
      <c r="FK123" s="667"/>
      <c r="FL123" s="667"/>
      <c r="FM123" s="667"/>
      <c r="FN123" s="667"/>
      <c r="FO123" s="667"/>
      <c r="FP123" s="667"/>
      <c r="FQ123" s="667"/>
      <c r="FR123" s="667"/>
      <c r="FS123" s="667"/>
      <c r="FT123" s="667"/>
      <c r="FU123" s="667"/>
      <c r="FV123" s="667"/>
      <c r="FW123" s="667"/>
      <c r="FX123" s="667"/>
      <c r="FY123" s="667"/>
      <c r="FZ123" s="667"/>
      <c r="GA123" s="667"/>
      <c r="GB123" s="667"/>
      <c r="GC123" s="667"/>
      <c r="GD123" s="667"/>
      <c r="GE123" s="667"/>
      <c r="GF123" s="667"/>
      <c r="GG123" s="667"/>
      <c r="GH123" s="667"/>
      <c r="GI123" s="667"/>
      <c r="GJ123" s="667"/>
      <c r="GK123" s="667"/>
      <c r="GL123" s="667"/>
      <c r="GM123" s="667"/>
      <c r="GN123" s="667"/>
      <c r="GO123" s="667"/>
      <c r="GP123" s="667"/>
      <c r="GQ123" s="667"/>
      <c r="GR123" s="667"/>
      <c r="GS123" s="667"/>
      <c r="GT123" s="667"/>
      <c r="GU123" s="708">
        <f t="shared" si="247"/>
        <v>0</v>
      </c>
      <c r="GV123" s="708">
        <f t="shared" si="248"/>
        <v>0</v>
      </c>
      <c r="GW123" s="708">
        <f t="shared" si="249"/>
        <v>0</v>
      </c>
      <c r="GX123" s="708">
        <f t="shared" si="250"/>
        <v>0</v>
      </c>
      <c r="GY123" s="709">
        <f t="shared" si="251"/>
        <v>0</v>
      </c>
      <c r="GZ123" s="710">
        <f t="shared" si="252"/>
        <v>0</v>
      </c>
    </row>
    <row r="124" spans="1:208" s="711" customFormat="1" ht="83.25" customHeight="1" x14ac:dyDescent="0.2">
      <c r="A124" s="703"/>
      <c r="B124" s="703"/>
      <c r="C124" s="822"/>
      <c r="D124" s="862"/>
      <c r="E124" s="823"/>
      <c r="F124" s="823"/>
      <c r="G124" s="682">
        <v>86</v>
      </c>
      <c r="H124" s="676" t="s">
        <v>322</v>
      </c>
      <c r="I124" s="859" t="s">
        <v>323</v>
      </c>
      <c r="J124" s="677" t="s">
        <v>266</v>
      </c>
      <c r="K124" s="680">
        <v>1</v>
      </c>
      <c r="L124" s="679" t="s">
        <v>73</v>
      </c>
      <c r="M124" s="680">
        <v>0</v>
      </c>
      <c r="N124" s="678">
        <v>8</v>
      </c>
      <c r="O124" s="678">
        <v>1</v>
      </c>
      <c r="P124" s="850">
        <v>1</v>
      </c>
      <c r="Q124" s="678">
        <v>4</v>
      </c>
      <c r="R124" s="863">
        <v>3</v>
      </c>
      <c r="S124" s="851">
        <v>3</v>
      </c>
      <c r="T124" s="678">
        <v>7</v>
      </c>
      <c r="U124" s="678">
        <v>3</v>
      </c>
      <c r="V124" s="850">
        <v>3</v>
      </c>
      <c r="W124" s="683">
        <v>8</v>
      </c>
      <c r="X124" s="679">
        <v>1</v>
      </c>
      <c r="Y124" s="635">
        <v>0</v>
      </c>
      <c r="Z124" s="860"/>
      <c r="AA124" s="682">
        <v>4</v>
      </c>
      <c r="AB124" s="848" t="s">
        <v>114</v>
      </c>
      <c r="AC124" s="830"/>
      <c r="AD124" s="831"/>
      <c r="AE124" s="818"/>
      <c r="AF124" s="818"/>
      <c r="AG124" s="830"/>
      <c r="AH124" s="831"/>
      <c r="AI124" s="831"/>
      <c r="AJ124" s="831"/>
      <c r="AK124" s="830"/>
      <c r="AL124" s="831"/>
      <c r="AM124" s="831"/>
      <c r="AN124" s="831"/>
      <c r="AO124" s="830"/>
      <c r="AP124" s="831"/>
      <c r="AQ124" s="831"/>
      <c r="AR124" s="831"/>
      <c r="AS124" s="830"/>
      <c r="AT124" s="831"/>
      <c r="AU124" s="818"/>
      <c r="AV124" s="818"/>
      <c r="AW124" s="830"/>
      <c r="AX124" s="831"/>
      <c r="AY124" s="831"/>
      <c r="AZ124" s="831"/>
      <c r="BA124" s="830"/>
      <c r="BB124" s="831"/>
      <c r="BC124" s="831"/>
      <c r="BD124" s="831"/>
      <c r="BE124" s="830"/>
      <c r="BF124" s="831"/>
      <c r="BG124" s="818"/>
      <c r="BH124" s="818"/>
      <c r="BI124" s="830"/>
      <c r="BJ124" s="831"/>
      <c r="BK124" s="831"/>
      <c r="BL124" s="831"/>
      <c r="BM124" s="817">
        <f t="shared" si="238"/>
        <v>0</v>
      </c>
      <c r="BN124" s="818">
        <f t="shared" si="239"/>
        <v>0</v>
      </c>
      <c r="BO124" s="818">
        <f t="shared" si="240"/>
        <v>0</v>
      </c>
      <c r="BP124" s="818">
        <f t="shared" si="241"/>
        <v>0</v>
      </c>
      <c r="BQ124" s="667"/>
      <c r="BR124" s="667"/>
      <c r="BS124" s="667"/>
      <c r="BT124" s="667"/>
      <c r="BU124" s="667"/>
      <c r="BV124" s="667">
        <v>20000000</v>
      </c>
      <c r="BW124" s="667"/>
      <c r="BX124" s="667"/>
      <c r="BY124" s="667"/>
      <c r="BZ124" s="667"/>
      <c r="CA124" s="667"/>
      <c r="CB124" s="667"/>
      <c r="CC124" s="667"/>
      <c r="CD124" s="667"/>
      <c r="CE124" s="667"/>
      <c r="CF124" s="667"/>
      <c r="CG124" s="667"/>
      <c r="CH124" s="667"/>
      <c r="CI124" s="667"/>
      <c r="CJ124" s="667"/>
      <c r="CK124" s="667"/>
      <c r="CL124" s="667"/>
      <c r="CM124" s="667"/>
      <c r="CN124" s="667"/>
      <c r="CO124" s="667"/>
      <c r="CP124" s="667"/>
      <c r="CQ124" s="667"/>
      <c r="CR124" s="667"/>
      <c r="CS124" s="667"/>
      <c r="CT124" s="667"/>
      <c r="CU124" s="667"/>
      <c r="CV124" s="667"/>
      <c r="CW124" s="667"/>
      <c r="CX124" s="667"/>
      <c r="CY124" s="667"/>
      <c r="CZ124" s="667"/>
      <c r="DA124" s="667"/>
      <c r="DB124" s="667"/>
      <c r="DC124" s="667"/>
      <c r="DD124" s="667"/>
      <c r="DE124" s="708">
        <f t="shared" si="242"/>
        <v>0</v>
      </c>
      <c r="DF124" s="708">
        <f t="shared" ref="DF124:DF130" si="253">BR124+BV124+CA124+CF124+CJ124+CN124+CR124+CW124+DB124</f>
        <v>20000000</v>
      </c>
      <c r="DG124" s="708">
        <f t="shared" ref="DG124:DG130" si="254">BS124+BW124+CB124+CG124+CK124+CO124+CS124+CX124+DC124</f>
        <v>0</v>
      </c>
      <c r="DH124" s="708">
        <f t="shared" ref="DH124:DH130" si="255">BT124+BX124+CC124+CH124+CL124+CP124+CT124+CY124+DD124</f>
        <v>0</v>
      </c>
      <c r="DI124" s="708"/>
      <c r="DJ124" s="706"/>
      <c r="DK124" s="706"/>
      <c r="DL124" s="706"/>
      <c r="DM124" s="706"/>
      <c r="DN124" s="706"/>
      <c r="DO124" s="706"/>
      <c r="DP124" s="706"/>
      <c r="DQ124" s="706"/>
      <c r="DR124" s="706"/>
      <c r="DS124" s="706"/>
      <c r="DT124" s="706"/>
      <c r="DU124" s="706"/>
      <c r="DV124" s="706"/>
      <c r="DW124" s="706"/>
      <c r="DX124" s="706"/>
      <c r="DY124" s="706"/>
      <c r="DZ124" s="706"/>
      <c r="EA124" s="706"/>
      <c r="EB124" s="706"/>
      <c r="EC124" s="706"/>
      <c r="ED124" s="706"/>
      <c r="EE124" s="706"/>
      <c r="EF124" s="706"/>
      <c r="EG124" s="706"/>
      <c r="EH124" s="706"/>
      <c r="EI124" s="706"/>
      <c r="EJ124" s="706"/>
      <c r="EK124" s="706"/>
      <c r="EL124" s="706"/>
      <c r="EM124" s="706"/>
      <c r="EN124" s="706"/>
      <c r="EO124" s="706"/>
      <c r="EP124" s="706"/>
      <c r="EQ124" s="706"/>
      <c r="ER124" s="706"/>
      <c r="ES124" s="706"/>
      <c r="ET124" s="667"/>
      <c r="EU124" s="667"/>
      <c r="EV124" s="667"/>
      <c r="EW124" s="708">
        <f t="shared" si="244"/>
        <v>0</v>
      </c>
      <c r="EX124" s="819">
        <f t="shared" si="244"/>
        <v>0</v>
      </c>
      <c r="EY124" s="819">
        <f t="shared" si="245"/>
        <v>0</v>
      </c>
      <c r="EZ124" s="819">
        <f t="shared" si="246"/>
        <v>0</v>
      </c>
      <c r="FA124" s="820"/>
      <c r="FB124" s="667"/>
      <c r="FC124" s="706"/>
      <c r="FD124" s="706"/>
      <c r="FE124" s="706"/>
      <c r="FF124" s="707"/>
      <c r="FG124" s="667"/>
      <c r="FH124" s="667"/>
      <c r="FI124" s="667"/>
      <c r="FJ124" s="667"/>
      <c r="FK124" s="667"/>
      <c r="FL124" s="667"/>
      <c r="FM124" s="667"/>
      <c r="FN124" s="667"/>
      <c r="FO124" s="667"/>
      <c r="FP124" s="667"/>
      <c r="FQ124" s="667"/>
      <c r="FR124" s="667"/>
      <c r="FS124" s="667"/>
      <c r="FT124" s="667"/>
      <c r="FU124" s="667"/>
      <c r="FV124" s="667"/>
      <c r="FW124" s="667"/>
      <c r="FX124" s="667"/>
      <c r="FY124" s="667"/>
      <c r="FZ124" s="667"/>
      <c r="GA124" s="667"/>
      <c r="GB124" s="667"/>
      <c r="GC124" s="667"/>
      <c r="GD124" s="667"/>
      <c r="GE124" s="667"/>
      <c r="GF124" s="667"/>
      <c r="GG124" s="667"/>
      <c r="GH124" s="667"/>
      <c r="GI124" s="667"/>
      <c r="GJ124" s="667"/>
      <c r="GK124" s="667"/>
      <c r="GL124" s="667"/>
      <c r="GM124" s="667"/>
      <c r="GN124" s="667"/>
      <c r="GO124" s="667"/>
      <c r="GP124" s="667"/>
      <c r="GQ124" s="667"/>
      <c r="GR124" s="667"/>
      <c r="GS124" s="667"/>
      <c r="GT124" s="667"/>
      <c r="GU124" s="708">
        <f t="shared" si="247"/>
        <v>0</v>
      </c>
      <c r="GV124" s="708">
        <f t="shared" si="248"/>
        <v>0</v>
      </c>
      <c r="GW124" s="708">
        <f t="shared" si="249"/>
        <v>0</v>
      </c>
      <c r="GX124" s="708">
        <f t="shared" si="250"/>
        <v>0</v>
      </c>
      <c r="GY124" s="709">
        <f t="shared" si="251"/>
        <v>0</v>
      </c>
      <c r="GZ124" s="710">
        <f t="shared" si="252"/>
        <v>0</v>
      </c>
    </row>
    <row r="125" spans="1:208" ht="90.75" customHeight="1" x14ac:dyDescent="0.2">
      <c r="A125" s="326"/>
      <c r="B125" s="326">
        <v>50</v>
      </c>
      <c r="C125" s="277">
        <v>17</v>
      </c>
      <c r="D125" s="723" t="s">
        <v>299</v>
      </c>
      <c r="E125" s="405" t="s">
        <v>300</v>
      </c>
      <c r="F125" s="406">
        <v>0.5</v>
      </c>
      <c r="G125" s="265">
        <v>87</v>
      </c>
      <c r="H125" s="261" t="s">
        <v>324</v>
      </c>
      <c r="I125" s="408" t="s">
        <v>325</v>
      </c>
      <c r="J125" s="386" t="s">
        <v>266</v>
      </c>
      <c r="K125" s="398">
        <v>1</v>
      </c>
      <c r="L125" s="391" t="s">
        <v>58</v>
      </c>
      <c r="M125" s="398">
        <v>0</v>
      </c>
      <c r="N125" s="392">
        <v>30</v>
      </c>
      <c r="O125" s="392">
        <v>30</v>
      </c>
      <c r="P125" s="393">
        <v>30</v>
      </c>
      <c r="Q125" s="392">
        <v>30</v>
      </c>
      <c r="R125" s="268"/>
      <c r="S125" s="394">
        <v>30</v>
      </c>
      <c r="T125" s="392">
        <v>30</v>
      </c>
      <c r="U125" s="392"/>
      <c r="V125" s="393">
        <v>31</v>
      </c>
      <c r="W125" s="409">
        <v>30</v>
      </c>
      <c r="X125" s="391"/>
      <c r="Y125" s="632">
        <v>14</v>
      </c>
      <c r="Z125" s="390">
        <f>BM125/$BM$120</f>
        <v>2.352941176470588E-3</v>
      </c>
      <c r="AA125" s="265">
        <v>4</v>
      </c>
      <c r="AB125" s="327" t="s">
        <v>114</v>
      </c>
      <c r="AC125" s="56"/>
      <c r="AD125" s="55"/>
      <c r="AE125" s="54"/>
      <c r="AF125" s="54"/>
      <c r="AG125" s="56"/>
      <c r="AH125" s="55">
        <v>110000000</v>
      </c>
      <c r="AI125" s="55"/>
      <c r="AJ125" s="55"/>
      <c r="AK125" s="56">
        <v>10000000</v>
      </c>
      <c r="AL125" s="55">
        <v>10000000</v>
      </c>
      <c r="AM125" s="55"/>
      <c r="AN125" s="55"/>
      <c r="AO125" s="56"/>
      <c r="AP125" s="55"/>
      <c r="AQ125" s="55"/>
      <c r="AR125" s="55"/>
      <c r="AS125" s="56"/>
      <c r="AT125" s="55"/>
      <c r="AU125" s="54"/>
      <c r="AV125" s="54"/>
      <c r="AW125" s="56"/>
      <c r="AX125" s="55"/>
      <c r="AY125" s="55"/>
      <c r="AZ125" s="55"/>
      <c r="BA125" s="56"/>
      <c r="BB125" s="55"/>
      <c r="BC125" s="55"/>
      <c r="BD125" s="55"/>
      <c r="BE125" s="56"/>
      <c r="BF125" s="55"/>
      <c r="BG125" s="54"/>
      <c r="BH125" s="54"/>
      <c r="BI125" s="56"/>
      <c r="BJ125" s="55"/>
      <c r="BK125" s="55"/>
      <c r="BL125" s="55"/>
      <c r="BM125" s="53">
        <f t="shared" si="238"/>
        <v>10000000</v>
      </c>
      <c r="BN125" s="54">
        <f t="shared" si="239"/>
        <v>120000000</v>
      </c>
      <c r="BO125" s="54">
        <f t="shared" si="240"/>
        <v>0</v>
      </c>
      <c r="BP125" s="54">
        <f t="shared" si="241"/>
        <v>0</v>
      </c>
      <c r="BQ125" s="83"/>
      <c r="BR125" s="83"/>
      <c r="BS125" s="83"/>
      <c r="BT125" s="83"/>
      <c r="BU125" s="83"/>
      <c r="BV125" s="83"/>
      <c r="BW125" s="83"/>
      <c r="BX125" s="83"/>
      <c r="BY125" s="83"/>
      <c r="BZ125" s="83">
        <v>10000000</v>
      </c>
      <c r="CA125" s="83"/>
      <c r="CB125" s="83"/>
      <c r="CC125" s="83"/>
      <c r="CD125" s="83"/>
      <c r="CE125" s="83"/>
      <c r="CF125" s="83"/>
      <c r="CG125" s="83"/>
      <c r="CH125" s="83"/>
      <c r="CI125" s="83"/>
      <c r="CJ125" s="83"/>
      <c r="CK125" s="83"/>
      <c r="CL125" s="83"/>
      <c r="CM125" s="83"/>
      <c r="CN125" s="83"/>
      <c r="CO125" s="83"/>
      <c r="CP125" s="83"/>
      <c r="CQ125" s="83"/>
      <c r="CR125" s="83">
        <v>286276023</v>
      </c>
      <c r="CS125" s="83">
        <v>231068152</v>
      </c>
      <c r="CT125" s="83">
        <v>231068152</v>
      </c>
      <c r="CU125" s="83"/>
      <c r="CV125" s="83"/>
      <c r="CW125" s="83"/>
      <c r="CX125" s="83"/>
      <c r="CY125" s="83"/>
      <c r="CZ125" s="83"/>
      <c r="DA125" s="83"/>
      <c r="DB125" s="83"/>
      <c r="DC125" s="83"/>
      <c r="DD125" s="83"/>
      <c r="DE125" s="81">
        <f t="shared" si="242"/>
        <v>10000000</v>
      </c>
      <c r="DF125" s="95">
        <f t="shared" si="253"/>
        <v>286276023</v>
      </c>
      <c r="DG125" s="95">
        <f t="shared" si="254"/>
        <v>231068152</v>
      </c>
      <c r="DH125" s="95">
        <f t="shared" si="255"/>
        <v>231068152</v>
      </c>
      <c r="DI125" s="95"/>
      <c r="DJ125" s="84"/>
      <c r="DK125" s="65"/>
      <c r="DL125" s="84"/>
      <c r="DM125" s="84"/>
      <c r="DN125" s="84"/>
      <c r="DO125" s="84">
        <v>30000000</v>
      </c>
      <c r="DP125" s="84">
        <v>29000000</v>
      </c>
      <c r="DQ125" s="84">
        <v>29000000</v>
      </c>
      <c r="DR125" s="84"/>
      <c r="DS125" s="84">
        <v>20000000</v>
      </c>
      <c r="DT125" s="84">
        <v>20000000</v>
      </c>
      <c r="DU125" s="84">
        <v>20000000</v>
      </c>
      <c r="DV125" s="84">
        <v>20000000</v>
      </c>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3"/>
      <c r="EU125" s="83"/>
      <c r="EV125" s="83"/>
      <c r="EW125" s="81">
        <f t="shared" si="244"/>
        <v>20000000</v>
      </c>
      <c r="EX125" s="86">
        <f t="shared" si="244"/>
        <v>50000000</v>
      </c>
      <c r="EY125" s="86">
        <f t="shared" si="245"/>
        <v>49000000</v>
      </c>
      <c r="EZ125" s="86">
        <f t="shared" si="246"/>
        <v>49000000</v>
      </c>
      <c r="FA125" s="176"/>
      <c r="FB125" s="83"/>
      <c r="FC125" s="84"/>
      <c r="FD125" s="84"/>
      <c r="FE125" s="84"/>
      <c r="FF125" s="140"/>
      <c r="FG125" s="83"/>
      <c r="FH125" s="83"/>
      <c r="FI125" s="83"/>
      <c r="FJ125" s="83"/>
      <c r="FK125" s="83"/>
      <c r="FL125" s="83">
        <v>10000000</v>
      </c>
      <c r="FM125" s="83">
        <v>19875000</v>
      </c>
      <c r="FN125" s="83">
        <v>19875000</v>
      </c>
      <c r="FO125" s="83">
        <v>19875000</v>
      </c>
      <c r="FP125" s="83"/>
      <c r="FQ125" s="83"/>
      <c r="FR125" s="83"/>
      <c r="FS125" s="83"/>
      <c r="FT125" s="83"/>
      <c r="FU125" s="83"/>
      <c r="FV125" s="83"/>
      <c r="FW125" s="83"/>
      <c r="FX125" s="83"/>
      <c r="FY125" s="83"/>
      <c r="FZ125" s="83"/>
      <c r="GA125" s="83"/>
      <c r="GB125" s="83"/>
      <c r="GC125" s="83"/>
      <c r="GD125" s="83"/>
      <c r="GE125" s="83"/>
      <c r="GF125" s="83"/>
      <c r="GG125" s="83">
        <v>80000000</v>
      </c>
      <c r="GH125" s="83"/>
      <c r="GI125" s="83"/>
      <c r="GJ125" s="83"/>
      <c r="GK125" s="83"/>
      <c r="GL125" s="83"/>
      <c r="GM125" s="83"/>
      <c r="GN125" s="83"/>
      <c r="GO125" s="83"/>
      <c r="GP125" s="83"/>
      <c r="GQ125" s="83"/>
      <c r="GR125" s="83"/>
      <c r="GS125" s="83"/>
      <c r="GT125" s="83"/>
      <c r="GU125" s="81">
        <f t="shared" si="247"/>
        <v>10000000</v>
      </c>
      <c r="GV125" s="81">
        <f t="shared" si="248"/>
        <v>99875000</v>
      </c>
      <c r="GW125" s="81">
        <f t="shared" si="249"/>
        <v>19875000</v>
      </c>
      <c r="GX125" s="81">
        <f t="shared" si="250"/>
        <v>19875000</v>
      </c>
      <c r="GY125" s="673">
        <f t="shared" si="251"/>
        <v>0</v>
      </c>
      <c r="GZ125" s="67">
        <f t="shared" si="252"/>
        <v>50000000</v>
      </c>
    </row>
    <row r="126" spans="1:208" ht="70.5" customHeight="1" x14ac:dyDescent="0.2">
      <c r="A126" s="326"/>
      <c r="B126" s="326"/>
      <c r="C126" s="288">
        <v>18</v>
      </c>
      <c r="D126" s="258" t="s">
        <v>303</v>
      </c>
      <c r="E126" s="264">
        <v>6</v>
      </c>
      <c r="F126" s="264">
        <v>12</v>
      </c>
      <c r="G126" s="264">
        <v>88</v>
      </c>
      <c r="H126" s="261" t="s">
        <v>326</v>
      </c>
      <c r="I126" s="258" t="s">
        <v>327</v>
      </c>
      <c r="J126" s="386" t="s">
        <v>266</v>
      </c>
      <c r="K126" s="398">
        <v>1</v>
      </c>
      <c r="L126" s="397" t="s">
        <v>73</v>
      </c>
      <c r="M126" s="398">
        <v>21</v>
      </c>
      <c r="N126" s="404">
        <v>36</v>
      </c>
      <c r="O126" s="392">
        <v>23</v>
      </c>
      <c r="P126" s="393">
        <v>20</v>
      </c>
      <c r="Q126" s="392">
        <v>29</v>
      </c>
      <c r="R126" s="268"/>
      <c r="S126" s="394">
        <v>32</v>
      </c>
      <c r="T126" s="392">
        <v>34</v>
      </c>
      <c r="U126" s="392"/>
      <c r="V126" s="393">
        <v>54</v>
      </c>
      <c r="W126" s="409">
        <v>36</v>
      </c>
      <c r="X126" s="391"/>
      <c r="Y126" s="632">
        <v>54</v>
      </c>
      <c r="Z126" s="410"/>
      <c r="AA126" s="265">
        <v>4</v>
      </c>
      <c r="AB126" s="327" t="s">
        <v>114</v>
      </c>
      <c r="AC126" s="56"/>
      <c r="AD126" s="55"/>
      <c r="AE126" s="54"/>
      <c r="AF126" s="54"/>
      <c r="AG126" s="56"/>
      <c r="AH126" s="55"/>
      <c r="AI126" s="55"/>
      <c r="AJ126" s="55"/>
      <c r="AK126" s="56"/>
      <c r="AL126" s="55"/>
      <c r="AM126" s="55"/>
      <c r="AN126" s="55"/>
      <c r="AO126" s="56"/>
      <c r="AP126" s="55"/>
      <c r="AQ126" s="55"/>
      <c r="AR126" s="55"/>
      <c r="AS126" s="56"/>
      <c r="AT126" s="55"/>
      <c r="AU126" s="54"/>
      <c r="AV126" s="54"/>
      <c r="AW126" s="56"/>
      <c r="AX126" s="55"/>
      <c r="AY126" s="55"/>
      <c r="AZ126" s="55"/>
      <c r="BA126" s="56"/>
      <c r="BB126" s="55"/>
      <c r="BC126" s="55"/>
      <c r="BD126" s="55"/>
      <c r="BE126" s="56"/>
      <c r="BF126" s="55"/>
      <c r="BG126" s="54"/>
      <c r="BH126" s="54"/>
      <c r="BI126" s="56"/>
      <c r="BJ126" s="55"/>
      <c r="BK126" s="55"/>
      <c r="BL126" s="55"/>
      <c r="BM126" s="53">
        <f t="shared" si="238"/>
        <v>0</v>
      </c>
      <c r="BN126" s="54">
        <f t="shared" si="239"/>
        <v>0</v>
      </c>
      <c r="BO126" s="54">
        <f t="shared" si="240"/>
        <v>0</v>
      </c>
      <c r="BP126" s="54">
        <f t="shared" si="241"/>
        <v>0</v>
      </c>
      <c r="BQ126" s="83"/>
      <c r="BR126" s="83"/>
      <c r="BS126" s="83"/>
      <c r="BT126" s="83"/>
      <c r="BU126" s="83"/>
      <c r="BV126" s="83">
        <v>50000000</v>
      </c>
      <c r="BW126" s="83">
        <v>49951440</v>
      </c>
      <c r="BX126" s="83">
        <v>49951440</v>
      </c>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1">
        <f t="shared" si="242"/>
        <v>0</v>
      </c>
      <c r="DF126" s="95">
        <f t="shared" si="253"/>
        <v>50000000</v>
      </c>
      <c r="DG126" s="95">
        <f t="shared" si="254"/>
        <v>49951440</v>
      </c>
      <c r="DH126" s="95">
        <f t="shared" si="255"/>
        <v>49951440</v>
      </c>
      <c r="DI126" s="95"/>
      <c r="DJ126" s="84"/>
      <c r="DK126" s="65"/>
      <c r="DL126" s="84"/>
      <c r="DM126" s="84"/>
      <c r="DN126" s="84"/>
      <c r="DO126" s="84">
        <v>69050000</v>
      </c>
      <c r="DP126" s="84">
        <v>49487500</v>
      </c>
      <c r="DQ126" s="84">
        <v>49487500</v>
      </c>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3"/>
      <c r="EU126" s="83"/>
      <c r="EV126" s="83"/>
      <c r="EW126" s="81">
        <f t="shared" si="244"/>
        <v>0</v>
      </c>
      <c r="EX126" s="86">
        <f t="shared" si="244"/>
        <v>69050000</v>
      </c>
      <c r="EY126" s="86">
        <f t="shared" si="245"/>
        <v>49487500</v>
      </c>
      <c r="EZ126" s="86">
        <f t="shared" si="246"/>
        <v>49487500</v>
      </c>
      <c r="FA126" s="176"/>
      <c r="FB126" s="83"/>
      <c r="FC126" s="84"/>
      <c r="FD126" s="84"/>
      <c r="FE126" s="84"/>
      <c r="FF126" s="140"/>
      <c r="FG126" s="83"/>
      <c r="FH126" s="83"/>
      <c r="FI126" s="83"/>
      <c r="FJ126" s="83"/>
      <c r="FK126" s="83"/>
      <c r="FL126" s="83"/>
      <c r="FM126" s="83">
        <v>64351000</v>
      </c>
      <c r="FN126" s="83">
        <v>25519500</v>
      </c>
      <c r="FO126" s="83">
        <v>25519500</v>
      </c>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1">
        <f t="shared" si="247"/>
        <v>0</v>
      </c>
      <c r="GV126" s="81">
        <f t="shared" si="248"/>
        <v>64351000</v>
      </c>
      <c r="GW126" s="81">
        <f t="shared" si="249"/>
        <v>25519500</v>
      </c>
      <c r="GX126" s="81">
        <f t="shared" si="250"/>
        <v>25519500</v>
      </c>
      <c r="GY126" s="673">
        <f t="shared" si="251"/>
        <v>0</v>
      </c>
      <c r="GZ126" s="67">
        <f t="shared" si="252"/>
        <v>0</v>
      </c>
    </row>
    <row r="127" spans="1:208" ht="63" customHeight="1" x14ac:dyDescent="0.2">
      <c r="A127" s="326"/>
      <c r="B127" s="326"/>
      <c r="C127" s="279">
        <v>19</v>
      </c>
      <c r="D127" s="722" t="s">
        <v>306</v>
      </c>
      <c r="E127" s="407" t="s">
        <v>307</v>
      </c>
      <c r="F127" s="1010" t="s">
        <v>308</v>
      </c>
      <c r="G127" s="682">
        <v>89</v>
      </c>
      <c r="H127" s="676" t="s">
        <v>328</v>
      </c>
      <c r="I127" s="408" t="s">
        <v>329</v>
      </c>
      <c r="J127" s="677" t="s">
        <v>266</v>
      </c>
      <c r="K127" s="680">
        <v>1</v>
      </c>
      <c r="L127" s="397" t="s">
        <v>73</v>
      </c>
      <c r="M127" s="398" t="s">
        <v>53</v>
      </c>
      <c r="N127" s="404">
        <v>20000</v>
      </c>
      <c r="O127" s="392">
        <v>9000</v>
      </c>
      <c r="P127" s="393">
        <v>9047</v>
      </c>
      <c r="Q127" s="404">
        <v>13000</v>
      </c>
      <c r="R127" s="268"/>
      <c r="S127" s="394">
        <v>14902</v>
      </c>
      <c r="T127" s="392">
        <v>17500</v>
      </c>
      <c r="U127" s="392"/>
      <c r="V127" s="393">
        <v>17647</v>
      </c>
      <c r="W127" s="683">
        <v>20000</v>
      </c>
      <c r="X127" s="679"/>
      <c r="Y127" s="632">
        <v>18301</v>
      </c>
      <c r="Z127" s="410"/>
      <c r="AA127" s="265">
        <v>4</v>
      </c>
      <c r="AB127" s="327" t="s">
        <v>114</v>
      </c>
      <c r="AC127" s="56"/>
      <c r="AD127" s="55"/>
      <c r="AE127" s="54"/>
      <c r="AF127" s="54"/>
      <c r="AG127" s="56"/>
      <c r="AH127" s="55"/>
      <c r="AI127" s="55"/>
      <c r="AJ127" s="55"/>
      <c r="AK127" s="56"/>
      <c r="AL127" s="55"/>
      <c r="AM127" s="55"/>
      <c r="AN127" s="55"/>
      <c r="AO127" s="56"/>
      <c r="AP127" s="55"/>
      <c r="AQ127" s="55"/>
      <c r="AR127" s="55"/>
      <c r="AS127" s="56"/>
      <c r="AT127" s="55"/>
      <c r="AU127" s="54"/>
      <c r="AV127" s="54"/>
      <c r="AW127" s="56"/>
      <c r="AX127" s="55"/>
      <c r="AY127" s="55"/>
      <c r="AZ127" s="55"/>
      <c r="BA127" s="56"/>
      <c r="BB127" s="55"/>
      <c r="BC127" s="55"/>
      <c r="BD127" s="55"/>
      <c r="BE127" s="56"/>
      <c r="BF127" s="55"/>
      <c r="BG127" s="54"/>
      <c r="BH127" s="54"/>
      <c r="BI127" s="56"/>
      <c r="BJ127" s="55"/>
      <c r="BK127" s="55"/>
      <c r="BL127" s="55"/>
      <c r="BM127" s="53">
        <f t="shared" si="238"/>
        <v>0</v>
      </c>
      <c r="BN127" s="54">
        <f t="shared" si="239"/>
        <v>0</v>
      </c>
      <c r="BO127" s="54">
        <f t="shared" si="240"/>
        <v>0</v>
      </c>
      <c r="BP127" s="54">
        <f t="shared" si="241"/>
        <v>0</v>
      </c>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1">
        <f t="shared" si="242"/>
        <v>0</v>
      </c>
      <c r="DF127" s="95">
        <f t="shared" si="253"/>
        <v>0</v>
      </c>
      <c r="DG127" s="95">
        <f t="shared" si="254"/>
        <v>0</v>
      </c>
      <c r="DH127" s="95">
        <f t="shared" si="255"/>
        <v>0</v>
      </c>
      <c r="DI127" s="95"/>
      <c r="DJ127" s="84"/>
      <c r="DK127" s="65"/>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3"/>
      <c r="EU127" s="83"/>
      <c r="EV127" s="83"/>
      <c r="EW127" s="81">
        <f t="shared" si="244"/>
        <v>0</v>
      </c>
      <c r="EX127" s="86">
        <f t="shared" si="244"/>
        <v>0</v>
      </c>
      <c r="EY127" s="86">
        <f t="shared" si="245"/>
        <v>0</v>
      </c>
      <c r="EZ127" s="86">
        <f t="shared" si="246"/>
        <v>0</v>
      </c>
      <c r="FA127" s="176"/>
      <c r="FB127" s="83"/>
      <c r="FC127" s="84"/>
      <c r="FD127" s="84"/>
      <c r="FE127" s="84"/>
      <c r="FF127" s="140"/>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1">
        <f t="shared" si="247"/>
        <v>0</v>
      </c>
      <c r="GV127" s="81">
        <f t="shared" si="248"/>
        <v>0</v>
      </c>
      <c r="GW127" s="81">
        <f t="shared" si="249"/>
        <v>0</v>
      </c>
      <c r="GX127" s="81">
        <f t="shared" si="250"/>
        <v>0</v>
      </c>
      <c r="GY127" s="673">
        <f t="shared" si="251"/>
        <v>0</v>
      </c>
      <c r="GZ127" s="67">
        <f t="shared" si="252"/>
        <v>0</v>
      </c>
    </row>
    <row r="128" spans="1:208" ht="408.75" customHeight="1" x14ac:dyDescent="0.2">
      <c r="A128" s="326"/>
      <c r="B128" s="326"/>
      <c r="C128" s="279"/>
      <c r="D128" s="301"/>
      <c r="E128" s="411"/>
      <c r="F128" s="1011"/>
      <c r="G128" s="682">
        <v>90</v>
      </c>
      <c r="H128" s="676" t="s">
        <v>330</v>
      </c>
      <c r="I128" s="408" t="s">
        <v>331</v>
      </c>
      <c r="J128" s="677" t="s">
        <v>266</v>
      </c>
      <c r="K128" s="680">
        <v>1</v>
      </c>
      <c r="L128" s="397" t="s">
        <v>73</v>
      </c>
      <c r="M128" s="398">
        <v>100</v>
      </c>
      <c r="N128" s="404">
        <v>130</v>
      </c>
      <c r="O128" s="392">
        <v>104</v>
      </c>
      <c r="P128" s="393">
        <v>131</v>
      </c>
      <c r="Q128" s="392">
        <v>115</v>
      </c>
      <c r="R128" s="268"/>
      <c r="S128" s="396">
        <v>117</v>
      </c>
      <c r="T128" s="392">
        <v>126</v>
      </c>
      <c r="U128" s="392"/>
      <c r="V128" s="393">
        <v>129</v>
      </c>
      <c r="W128" s="683">
        <v>130</v>
      </c>
      <c r="X128" s="679"/>
      <c r="Y128" s="632">
        <v>110</v>
      </c>
      <c r="Z128" s="390">
        <f>BM128/$BM$120</f>
        <v>0.76235294117647057</v>
      </c>
      <c r="AA128" s="265">
        <v>4</v>
      </c>
      <c r="AB128" s="327" t="s">
        <v>114</v>
      </c>
      <c r="AC128" s="56"/>
      <c r="AD128" s="55"/>
      <c r="AE128" s="54"/>
      <c r="AF128" s="54"/>
      <c r="AG128" s="56"/>
      <c r="AH128" s="55">
        <v>190000000</v>
      </c>
      <c r="AI128" s="55">
        <v>72789100</v>
      </c>
      <c r="AJ128" s="55">
        <v>72789100</v>
      </c>
      <c r="AK128" s="56">
        <v>40000000</v>
      </c>
      <c r="AL128" s="55">
        <v>40000000</v>
      </c>
      <c r="AM128" s="55">
        <v>37000000</v>
      </c>
      <c r="AN128" s="55">
        <v>37000000</v>
      </c>
      <c r="AO128" s="56"/>
      <c r="AP128" s="55"/>
      <c r="AQ128" s="55"/>
      <c r="AR128" s="55"/>
      <c r="AS128" s="56"/>
      <c r="AT128" s="55"/>
      <c r="AU128" s="54"/>
      <c r="AV128" s="54"/>
      <c r="AW128" s="56"/>
      <c r="AX128" s="55"/>
      <c r="AY128" s="55"/>
      <c r="AZ128" s="55"/>
      <c r="BA128" s="56"/>
      <c r="BB128" s="55"/>
      <c r="BC128" s="55"/>
      <c r="BD128" s="55"/>
      <c r="BE128" s="56"/>
      <c r="BF128" s="55"/>
      <c r="BG128" s="54"/>
      <c r="BH128" s="54"/>
      <c r="BI128" s="56">
        <v>3200000000</v>
      </c>
      <c r="BJ128" s="55"/>
      <c r="BK128" s="55"/>
      <c r="BL128" s="55"/>
      <c r="BM128" s="53">
        <f t="shared" si="238"/>
        <v>3240000000</v>
      </c>
      <c r="BN128" s="54">
        <f t="shared" si="239"/>
        <v>230000000</v>
      </c>
      <c r="BO128" s="54">
        <f t="shared" si="240"/>
        <v>109789100</v>
      </c>
      <c r="BP128" s="54">
        <f t="shared" si="241"/>
        <v>109789100</v>
      </c>
      <c r="BQ128" s="83"/>
      <c r="BR128" s="83"/>
      <c r="BS128" s="83"/>
      <c r="BT128" s="83"/>
      <c r="BU128" s="83"/>
      <c r="BV128" s="83">
        <v>10000000</v>
      </c>
      <c r="BW128" s="83">
        <v>10000000</v>
      </c>
      <c r="BX128" s="83">
        <v>10000000</v>
      </c>
      <c r="BY128" s="83"/>
      <c r="BZ128" s="83">
        <v>40000000</v>
      </c>
      <c r="CA128" s="83">
        <v>36000000</v>
      </c>
      <c r="CB128" s="83">
        <v>35000000</v>
      </c>
      <c r="CC128" s="83">
        <v>35000000</v>
      </c>
      <c r="CD128" s="83"/>
      <c r="CE128" s="83"/>
      <c r="CF128" s="83"/>
      <c r="CG128" s="83"/>
      <c r="CH128" s="83"/>
      <c r="CI128" s="83"/>
      <c r="CJ128" s="83"/>
      <c r="CK128" s="83"/>
      <c r="CL128" s="83"/>
      <c r="CM128" s="83"/>
      <c r="CN128" s="83"/>
      <c r="CO128" s="83"/>
      <c r="CP128" s="83"/>
      <c r="CQ128" s="83"/>
      <c r="CR128" s="83"/>
      <c r="CS128" s="83"/>
      <c r="CT128" s="83"/>
      <c r="CU128" s="83"/>
      <c r="CV128" s="84"/>
      <c r="CW128" s="83"/>
      <c r="CX128" s="83"/>
      <c r="CY128" s="83"/>
      <c r="CZ128" s="83"/>
      <c r="DA128" s="83">
        <v>4295276423</v>
      </c>
      <c r="DB128" s="83"/>
      <c r="DC128" s="83"/>
      <c r="DD128" s="83"/>
      <c r="DE128" s="81">
        <f t="shared" si="242"/>
        <v>4335276423</v>
      </c>
      <c r="DF128" s="95">
        <f t="shared" si="253"/>
        <v>46000000</v>
      </c>
      <c r="DG128" s="95">
        <f t="shared" si="254"/>
        <v>45000000</v>
      </c>
      <c r="DH128" s="95">
        <f t="shared" si="255"/>
        <v>45000000</v>
      </c>
      <c r="DI128" s="95"/>
      <c r="DJ128" s="84"/>
      <c r="DK128" s="65"/>
      <c r="DL128" s="84"/>
      <c r="DM128" s="84"/>
      <c r="DN128" s="84"/>
      <c r="DO128" s="84">
        <v>20000000</v>
      </c>
      <c r="DP128" s="84">
        <v>4117000</v>
      </c>
      <c r="DQ128" s="84">
        <v>4117000</v>
      </c>
      <c r="DR128" s="84"/>
      <c r="DS128" s="84"/>
      <c r="DT128" s="84">
        <v>20000000</v>
      </c>
      <c r="DU128" s="84">
        <v>16420932</v>
      </c>
      <c r="DV128" s="84">
        <v>16420932</v>
      </c>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f>6000000000-1000000000</f>
        <v>5000000000</v>
      </c>
      <c r="ET128" s="83"/>
      <c r="EU128" s="83"/>
      <c r="EV128" s="83"/>
      <c r="EW128" s="81">
        <f t="shared" si="244"/>
        <v>5000000000</v>
      </c>
      <c r="EX128" s="86">
        <f t="shared" si="244"/>
        <v>40000000</v>
      </c>
      <c r="EY128" s="86">
        <f t="shared" si="245"/>
        <v>20537932</v>
      </c>
      <c r="EZ128" s="86">
        <f t="shared" si="246"/>
        <v>20537932</v>
      </c>
      <c r="FA128" s="176"/>
      <c r="FB128" s="83"/>
      <c r="FC128" s="84"/>
      <c r="FD128" s="84"/>
      <c r="FE128" s="84"/>
      <c r="FF128" s="140"/>
      <c r="FG128" s="83"/>
      <c r="FH128" s="83"/>
      <c r="FI128" s="83"/>
      <c r="FJ128" s="83"/>
      <c r="FK128" s="83"/>
      <c r="FL128" s="83">
        <v>10000000</v>
      </c>
      <c r="FM128" s="83">
        <v>29875000</v>
      </c>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v>3000000000</v>
      </c>
      <c r="GQ128" s="83"/>
      <c r="GR128" s="83"/>
      <c r="GS128" s="83"/>
      <c r="GT128" s="83"/>
      <c r="GU128" s="81">
        <f t="shared" si="247"/>
        <v>3010000000</v>
      </c>
      <c r="GV128" s="81">
        <f t="shared" si="248"/>
        <v>29875000</v>
      </c>
      <c r="GW128" s="81">
        <f t="shared" si="249"/>
        <v>0</v>
      </c>
      <c r="GX128" s="81">
        <f t="shared" si="250"/>
        <v>0</v>
      </c>
      <c r="GY128" s="673">
        <f t="shared" si="251"/>
        <v>0</v>
      </c>
      <c r="GZ128" s="67">
        <f t="shared" si="252"/>
        <v>15585276423</v>
      </c>
    </row>
    <row r="129" spans="1:208" ht="84" customHeight="1" x14ac:dyDescent="0.2">
      <c r="A129" s="326"/>
      <c r="B129" s="326"/>
      <c r="C129" s="279"/>
      <c r="D129" s="301"/>
      <c r="E129" s="335"/>
      <c r="F129" s="335"/>
      <c r="G129" s="265">
        <v>91</v>
      </c>
      <c r="H129" s="261" t="s">
        <v>332</v>
      </c>
      <c r="I129" s="408" t="s">
        <v>333</v>
      </c>
      <c r="J129" s="386" t="s">
        <v>266</v>
      </c>
      <c r="K129" s="398">
        <v>1</v>
      </c>
      <c r="L129" s="391" t="s">
        <v>58</v>
      </c>
      <c r="M129" s="398">
        <v>0</v>
      </c>
      <c r="N129" s="392">
        <v>54</v>
      </c>
      <c r="O129" s="392">
        <v>54</v>
      </c>
      <c r="P129" s="393">
        <v>54</v>
      </c>
      <c r="Q129" s="392">
        <v>54</v>
      </c>
      <c r="R129" s="268"/>
      <c r="S129" s="396">
        <v>54</v>
      </c>
      <c r="T129" s="392">
        <v>54</v>
      </c>
      <c r="U129" s="392"/>
      <c r="V129" s="393">
        <v>54</v>
      </c>
      <c r="W129" s="409">
        <v>54</v>
      </c>
      <c r="X129" s="391"/>
      <c r="Y129" s="632">
        <v>44</v>
      </c>
      <c r="Z129" s="390">
        <f>BM129/$BM$120</f>
        <v>0.23529411764705882</v>
      </c>
      <c r="AA129" s="265">
        <v>4</v>
      </c>
      <c r="AB129" s="327" t="s">
        <v>114</v>
      </c>
      <c r="AC129" s="56"/>
      <c r="AD129" s="55"/>
      <c r="AE129" s="54"/>
      <c r="AF129" s="54"/>
      <c r="AG129" s="56"/>
      <c r="AH129" s="55">
        <v>270000000</v>
      </c>
      <c r="AI129" s="55">
        <v>266659889</v>
      </c>
      <c r="AJ129" s="55">
        <v>251659889</v>
      </c>
      <c r="AK129" s="56"/>
      <c r="AL129" s="55"/>
      <c r="AM129" s="55"/>
      <c r="AN129" s="55"/>
      <c r="AO129" s="56"/>
      <c r="AP129" s="55"/>
      <c r="AQ129" s="55"/>
      <c r="AR129" s="55"/>
      <c r="AS129" s="56"/>
      <c r="AT129" s="55"/>
      <c r="AU129" s="54"/>
      <c r="AV129" s="54"/>
      <c r="AW129" s="56"/>
      <c r="AX129" s="55"/>
      <c r="AY129" s="55"/>
      <c r="AZ129" s="55"/>
      <c r="BA129" s="56"/>
      <c r="BB129" s="55"/>
      <c r="BC129" s="55"/>
      <c r="BD129" s="55"/>
      <c r="BE129" s="56"/>
      <c r="BF129" s="55"/>
      <c r="BG129" s="54"/>
      <c r="BH129" s="54"/>
      <c r="BI129" s="56">
        <v>1000000000</v>
      </c>
      <c r="BJ129" s="55"/>
      <c r="BK129" s="55"/>
      <c r="BL129" s="55"/>
      <c r="BM129" s="53">
        <f t="shared" si="238"/>
        <v>1000000000</v>
      </c>
      <c r="BN129" s="54">
        <f t="shared" si="239"/>
        <v>270000000</v>
      </c>
      <c r="BO129" s="54">
        <f t="shared" si="240"/>
        <v>266659889</v>
      </c>
      <c r="BP129" s="54">
        <f t="shared" si="241"/>
        <v>251659889</v>
      </c>
      <c r="BQ129" s="83"/>
      <c r="BR129" s="83"/>
      <c r="BS129" s="83"/>
      <c r="BT129" s="83"/>
      <c r="BU129" s="83"/>
      <c r="BV129" s="82">
        <v>190000000</v>
      </c>
      <c r="BW129" s="83">
        <v>179829600</v>
      </c>
      <c r="BX129" s="83">
        <v>179829600</v>
      </c>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4"/>
      <c r="CW129" s="83"/>
      <c r="CX129" s="83"/>
      <c r="CY129" s="83"/>
      <c r="CZ129" s="83"/>
      <c r="DA129" s="83">
        <v>1000000000</v>
      </c>
      <c r="DB129" s="83"/>
      <c r="DC129" s="83"/>
      <c r="DD129" s="83"/>
      <c r="DE129" s="81">
        <f t="shared" si="242"/>
        <v>1000000000</v>
      </c>
      <c r="DF129" s="95">
        <f t="shared" si="253"/>
        <v>190000000</v>
      </c>
      <c r="DG129" s="95">
        <f t="shared" si="254"/>
        <v>179829600</v>
      </c>
      <c r="DH129" s="95">
        <f t="shared" si="255"/>
        <v>179829600</v>
      </c>
      <c r="DI129" s="95"/>
      <c r="DJ129" s="84"/>
      <c r="DK129" s="65"/>
      <c r="DL129" s="84"/>
      <c r="DM129" s="84"/>
      <c r="DN129" s="84"/>
      <c r="DO129" s="84">
        <v>10000000</v>
      </c>
      <c r="DP129" s="84"/>
      <c r="DQ129" s="84"/>
      <c r="DR129" s="84"/>
      <c r="DS129" s="84"/>
      <c r="DT129" s="84">
        <v>20000000</v>
      </c>
      <c r="DU129" s="84"/>
      <c r="DV129" s="84"/>
      <c r="DW129" s="84"/>
      <c r="DX129" s="84"/>
      <c r="DY129" s="84"/>
      <c r="DZ129" s="84"/>
      <c r="EA129" s="84"/>
      <c r="EB129" s="84"/>
      <c r="EC129" s="84"/>
      <c r="ED129" s="84"/>
      <c r="EE129" s="84"/>
      <c r="EF129" s="84"/>
      <c r="EG129" s="84"/>
      <c r="EH129" s="84"/>
      <c r="EI129" s="84"/>
      <c r="EJ129" s="84"/>
      <c r="EK129" s="84">
        <v>2296502</v>
      </c>
      <c r="EL129" s="84">
        <v>2296502</v>
      </c>
      <c r="EM129" s="84">
        <v>2296502</v>
      </c>
      <c r="EN129" s="84"/>
      <c r="EO129" s="84"/>
      <c r="EP129" s="84"/>
      <c r="EQ129" s="84"/>
      <c r="ER129" s="84"/>
      <c r="ES129" s="84">
        <v>1000000000</v>
      </c>
      <c r="ET129" s="83"/>
      <c r="EU129" s="83"/>
      <c r="EV129" s="83"/>
      <c r="EW129" s="81">
        <f t="shared" si="244"/>
        <v>1000000000</v>
      </c>
      <c r="EX129" s="86">
        <f t="shared" si="244"/>
        <v>32296502</v>
      </c>
      <c r="EY129" s="86">
        <f t="shared" si="245"/>
        <v>2296502</v>
      </c>
      <c r="EZ129" s="86">
        <f t="shared" si="246"/>
        <v>2296502</v>
      </c>
      <c r="FA129" s="176"/>
      <c r="FB129" s="83"/>
      <c r="FC129" s="84"/>
      <c r="FD129" s="84"/>
      <c r="FE129" s="84"/>
      <c r="FF129" s="140"/>
      <c r="FG129" s="83"/>
      <c r="FH129" s="83"/>
      <c r="FI129" s="83"/>
      <c r="FJ129" s="83"/>
      <c r="FK129" s="83"/>
      <c r="FL129" s="83"/>
      <c r="FM129" s="83">
        <v>9885764</v>
      </c>
      <c r="FN129" s="83">
        <v>9000000</v>
      </c>
      <c r="FO129" s="83">
        <v>9000000</v>
      </c>
      <c r="FP129" s="83"/>
      <c r="FQ129" s="83"/>
      <c r="FR129" s="83"/>
      <c r="FS129" s="83"/>
      <c r="FT129" s="83"/>
      <c r="FU129" s="83"/>
      <c r="FV129" s="83"/>
      <c r="FW129" s="83"/>
      <c r="FX129" s="83"/>
      <c r="FY129" s="83"/>
      <c r="FZ129" s="83"/>
      <c r="GA129" s="83"/>
      <c r="GB129" s="83"/>
      <c r="GC129" s="83"/>
      <c r="GD129" s="83"/>
      <c r="GE129" s="83"/>
      <c r="GF129" s="83"/>
      <c r="GG129" s="83">
        <v>109134822.86</v>
      </c>
      <c r="GH129" s="83"/>
      <c r="GI129" s="83"/>
      <c r="GJ129" s="83"/>
      <c r="GK129" s="83"/>
      <c r="GL129" s="83"/>
      <c r="GM129" s="83"/>
      <c r="GN129" s="83"/>
      <c r="GO129" s="83"/>
      <c r="GP129" s="83">
        <v>1000000000</v>
      </c>
      <c r="GQ129" s="83"/>
      <c r="GR129" s="83"/>
      <c r="GS129" s="83"/>
      <c r="GT129" s="83"/>
      <c r="GU129" s="81">
        <f t="shared" si="247"/>
        <v>1000000000</v>
      </c>
      <c r="GV129" s="81">
        <f t="shared" si="248"/>
        <v>119020586.86</v>
      </c>
      <c r="GW129" s="81">
        <f t="shared" si="249"/>
        <v>9000000</v>
      </c>
      <c r="GX129" s="81">
        <f t="shared" si="250"/>
        <v>9000000</v>
      </c>
      <c r="GY129" s="673">
        <f t="shared" si="251"/>
        <v>0</v>
      </c>
      <c r="GZ129" s="67">
        <f t="shared" si="252"/>
        <v>4000000000</v>
      </c>
    </row>
    <row r="130" spans="1:208" ht="93" customHeight="1" x14ac:dyDescent="0.2">
      <c r="A130" s="326"/>
      <c r="B130" s="326"/>
      <c r="C130" s="277"/>
      <c r="D130" s="303"/>
      <c r="E130" s="718"/>
      <c r="F130" s="718"/>
      <c r="G130" s="265">
        <v>92</v>
      </c>
      <c r="H130" s="261" t="s">
        <v>334</v>
      </c>
      <c r="I130" s="408" t="s">
        <v>335</v>
      </c>
      <c r="J130" s="386" t="s">
        <v>266</v>
      </c>
      <c r="K130" s="398">
        <v>1</v>
      </c>
      <c r="L130" s="391" t="s">
        <v>73</v>
      </c>
      <c r="M130" s="398">
        <v>0</v>
      </c>
      <c r="N130" s="392">
        <v>6</v>
      </c>
      <c r="O130" s="392">
        <v>1</v>
      </c>
      <c r="P130" s="393">
        <v>1</v>
      </c>
      <c r="Q130" s="392">
        <v>2</v>
      </c>
      <c r="R130" s="268"/>
      <c r="S130" s="396">
        <v>7</v>
      </c>
      <c r="T130" s="392">
        <v>2</v>
      </c>
      <c r="U130" s="392"/>
      <c r="V130" s="393">
        <v>6</v>
      </c>
      <c r="W130" s="409">
        <v>1</v>
      </c>
      <c r="X130" s="391"/>
      <c r="Y130" s="675">
        <v>0.5</v>
      </c>
      <c r="Z130" s="410"/>
      <c r="AA130" s="265">
        <v>4</v>
      </c>
      <c r="AB130" s="327" t="s">
        <v>114</v>
      </c>
      <c r="AC130" s="56"/>
      <c r="AD130" s="55"/>
      <c r="AE130" s="54"/>
      <c r="AF130" s="54"/>
      <c r="AG130" s="56"/>
      <c r="AH130" s="55"/>
      <c r="AI130" s="55"/>
      <c r="AJ130" s="55"/>
      <c r="AK130" s="56"/>
      <c r="AL130" s="55"/>
      <c r="AM130" s="55"/>
      <c r="AN130" s="55"/>
      <c r="AO130" s="56"/>
      <c r="AP130" s="55"/>
      <c r="AQ130" s="55"/>
      <c r="AR130" s="55"/>
      <c r="AS130" s="56"/>
      <c r="AT130" s="55"/>
      <c r="AU130" s="54"/>
      <c r="AV130" s="54"/>
      <c r="AW130" s="56"/>
      <c r="AX130" s="55"/>
      <c r="AY130" s="55"/>
      <c r="AZ130" s="55"/>
      <c r="BA130" s="56"/>
      <c r="BB130" s="55"/>
      <c r="BC130" s="55"/>
      <c r="BD130" s="55"/>
      <c r="BE130" s="56"/>
      <c r="BF130" s="55"/>
      <c r="BG130" s="54"/>
      <c r="BH130" s="54"/>
      <c r="BI130" s="56"/>
      <c r="BJ130" s="55"/>
      <c r="BK130" s="55"/>
      <c r="BL130" s="55"/>
      <c r="BM130" s="53">
        <f t="shared" si="238"/>
        <v>0</v>
      </c>
      <c r="BN130" s="54">
        <f t="shared" si="239"/>
        <v>0</v>
      </c>
      <c r="BO130" s="54">
        <f t="shared" si="240"/>
        <v>0</v>
      </c>
      <c r="BP130" s="54">
        <f t="shared" si="241"/>
        <v>0</v>
      </c>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1">
        <f t="shared" si="242"/>
        <v>0</v>
      </c>
      <c r="DF130" s="95">
        <f t="shared" si="253"/>
        <v>0</v>
      </c>
      <c r="DG130" s="95">
        <f t="shared" si="254"/>
        <v>0</v>
      </c>
      <c r="DH130" s="95">
        <f t="shared" si="255"/>
        <v>0</v>
      </c>
      <c r="DI130" s="95"/>
      <c r="DJ130" s="84"/>
      <c r="DK130" s="65"/>
      <c r="DL130" s="84"/>
      <c r="DM130" s="84"/>
      <c r="DN130" s="84"/>
      <c r="DO130" s="84">
        <v>30050000</v>
      </c>
      <c r="DP130" s="84">
        <v>30048480</v>
      </c>
      <c r="DQ130" s="84">
        <v>30048480</v>
      </c>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3"/>
      <c r="EU130" s="83"/>
      <c r="EV130" s="83"/>
      <c r="EW130" s="81">
        <f t="shared" si="244"/>
        <v>0</v>
      </c>
      <c r="EX130" s="86">
        <f t="shared" si="244"/>
        <v>30050000</v>
      </c>
      <c r="EY130" s="86">
        <f t="shared" si="245"/>
        <v>30048480</v>
      </c>
      <c r="EZ130" s="86">
        <f t="shared" si="246"/>
        <v>30048480</v>
      </c>
      <c r="FA130" s="176"/>
      <c r="FB130" s="83"/>
      <c r="FC130" s="84"/>
      <c r="FD130" s="84"/>
      <c r="FE130" s="84"/>
      <c r="FF130" s="140"/>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1">
        <f t="shared" si="247"/>
        <v>0</v>
      </c>
      <c r="GV130" s="81">
        <f t="shared" si="248"/>
        <v>0</v>
      </c>
      <c r="GW130" s="81">
        <f t="shared" si="249"/>
        <v>0</v>
      </c>
      <c r="GX130" s="81">
        <f t="shared" si="250"/>
        <v>0</v>
      </c>
      <c r="GY130" s="673">
        <f t="shared" si="251"/>
        <v>0</v>
      </c>
      <c r="GZ130" s="67">
        <f t="shared" si="252"/>
        <v>0</v>
      </c>
    </row>
    <row r="131" spans="1:208" ht="24.75" customHeight="1" x14ac:dyDescent="0.2">
      <c r="A131" s="326"/>
      <c r="B131" s="326"/>
      <c r="C131" s="246">
        <v>21</v>
      </c>
      <c r="D131" s="247" t="s">
        <v>336</v>
      </c>
      <c r="E131" s="246"/>
      <c r="F131" s="412"/>
      <c r="G131" s="246"/>
      <c r="H131" s="246"/>
      <c r="I131" s="246"/>
      <c r="J131" s="246"/>
      <c r="K131" s="246"/>
      <c r="L131" s="246"/>
      <c r="M131" s="246"/>
      <c r="N131" s="246"/>
      <c r="O131" s="246"/>
      <c r="P131" s="246"/>
      <c r="Q131" s="246"/>
      <c r="R131" s="246"/>
      <c r="S131" s="246"/>
      <c r="T131" s="246"/>
      <c r="U131" s="246"/>
      <c r="V131" s="246"/>
      <c r="W131" s="246"/>
      <c r="X131" s="246"/>
      <c r="Y131" s="625"/>
      <c r="Z131" s="246"/>
      <c r="AA131" s="246"/>
      <c r="AB131" s="246"/>
      <c r="AC131" s="186">
        <f t="shared" ref="AC131:BL131" si="256">SUM(AC132:AC135)</f>
        <v>0</v>
      </c>
      <c r="AD131" s="186">
        <f t="shared" si="256"/>
        <v>0</v>
      </c>
      <c r="AE131" s="186">
        <f t="shared" si="256"/>
        <v>0</v>
      </c>
      <c r="AF131" s="186">
        <f t="shared" si="256"/>
        <v>0</v>
      </c>
      <c r="AG131" s="186">
        <f t="shared" si="256"/>
        <v>0</v>
      </c>
      <c r="AH131" s="186">
        <f t="shared" si="256"/>
        <v>0</v>
      </c>
      <c r="AI131" s="186">
        <f t="shared" si="256"/>
        <v>0</v>
      </c>
      <c r="AJ131" s="186">
        <f t="shared" si="256"/>
        <v>0</v>
      </c>
      <c r="AK131" s="186">
        <f t="shared" si="256"/>
        <v>25000000</v>
      </c>
      <c r="AL131" s="186">
        <f t="shared" si="256"/>
        <v>25000000</v>
      </c>
      <c r="AM131" s="186">
        <f t="shared" si="256"/>
        <v>0</v>
      </c>
      <c r="AN131" s="186">
        <f t="shared" si="256"/>
        <v>0</v>
      </c>
      <c r="AO131" s="186">
        <f t="shared" si="256"/>
        <v>0</v>
      </c>
      <c r="AP131" s="186">
        <f t="shared" si="256"/>
        <v>0</v>
      </c>
      <c r="AQ131" s="186">
        <f t="shared" si="256"/>
        <v>0</v>
      </c>
      <c r="AR131" s="186">
        <f t="shared" si="256"/>
        <v>0</v>
      </c>
      <c r="AS131" s="186">
        <f t="shared" si="256"/>
        <v>0</v>
      </c>
      <c r="AT131" s="186">
        <f t="shared" si="256"/>
        <v>0</v>
      </c>
      <c r="AU131" s="186">
        <f t="shared" si="256"/>
        <v>0</v>
      </c>
      <c r="AV131" s="186">
        <f t="shared" si="256"/>
        <v>0</v>
      </c>
      <c r="AW131" s="186">
        <f t="shared" si="256"/>
        <v>0</v>
      </c>
      <c r="AX131" s="186">
        <f t="shared" si="256"/>
        <v>0</v>
      </c>
      <c r="AY131" s="186">
        <f t="shared" si="256"/>
        <v>0</v>
      </c>
      <c r="AZ131" s="186">
        <f t="shared" si="256"/>
        <v>0</v>
      </c>
      <c r="BA131" s="186">
        <f t="shared" si="256"/>
        <v>250000000</v>
      </c>
      <c r="BB131" s="186">
        <f t="shared" si="256"/>
        <v>250000000</v>
      </c>
      <c r="BC131" s="186">
        <f t="shared" si="256"/>
        <v>7500000</v>
      </c>
      <c r="BD131" s="186">
        <f t="shared" si="256"/>
        <v>7500000</v>
      </c>
      <c r="BE131" s="186">
        <f t="shared" si="256"/>
        <v>0</v>
      </c>
      <c r="BF131" s="186">
        <f t="shared" si="256"/>
        <v>0</v>
      </c>
      <c r="BG131" s="186">
        <f t="shared" si="256"/>
        <v>0</v>
      </c>
      <c r="BH131" s="186">
        <f t="shared" si="256"/>
        <v>0</v>
      </c>
      <c r="BI131" s="186">
        <f t="shared" si="256"/>
        <v>0</v>
      </c>
      <c r="BJ131" s="186">
        <f t="shared" si="256"/>
        <v>0</v>
      </c>
      <c r="BK131" s="186">
        <f t="shared" si="256"/>
        <v>0</v>
      </c>
      <c r="BL131" s="186">
        <f t="shared" si="256"/>
        <v>0</v>
      </c>
      <c r="BM131" s="186">
        <f t="shared" ref="BM131:DX131" si="257">SUM(BM132:BM135)</f>
        <v>275000000</v>
      </c>
      <c r="BN131" s="186">
        <f t="shared" si="257"/>
        <v>275000000</v>
      </c>
      <c r="BO131" s="186">
        <f t="shared" si="257"/>
        <v>7500000</v>
      </c>
      <c r="BP131" s="186">
        <f t="shared" si="257"/>
        <v>7500000</v>
      </c>
      <c r="BQ131" s="186">
        <f t="shared" si="257"/>
        <v>0</v>
      </c>
      <c r="BR131" s="186">
        <f t="shared" si="257"/>
        <v>0</v>
      </c>
      <c r="BS131" s="186">
        <f t="shared" si="257"/>
        <v>0</v>
      </c>
      <c r="BT131" s="186">
        <f t="shared" si="257"/>
        <v>0</v>
      </c>
      <c r="BU131" s="186">
        <f t="shared" si="257"/>
        <v>0</v>
      </c>
      <c r="BV131" s="186">
        <f t="shared" si="257"/>
        <v>0</v>
      </c>
      <c r="BW131" s="186">
        <f t="shared" si="257"/>
        <v>0</v>
      </c>
      <c r="BX131" s="186">
        <f t="shared" si="257"/>
        <v>0</v>
      </c>
      <c r="BY131" s="186">
        <f t="shared" si="257"/>
        <v>0</v>
      </c>
      <c r="BZ131" s="186">
        <f t="shared" si="257"/>
        <v>30000000</v>
      </c>
      <c r="CA131" s="186">
        <f t="shared" si="257"/>
        <v>273800000</v>
      </c>
      <c r="CB131" s="186">
        <f t="shared" si="257"/>
        <v>20800000</v>
      </c>
      <c r="CC131" s="186">
        <f t="shared" si="257"/>
        <v>20800000</v>
      </c>
      <c r="CD131" s="186">
        <f t="shared" si="257"/>
        <v>0</v>
      </c>
      <c r="CE131" s="186">
        <f t="shared" si="257"/>
        <v>0</v>
      </c>
      <c r="CF131" s="186">
        <f t="shared" si="257"/>
        <v>0</v>
      </c>
      <c r="CG131" s="186">
        <f t="shared" si="257"/>
        <v>0</v>
      </c>
      <c r="CH131" s="186">
        <f t="shared" si="257"/>
        <v>0</v>
      </c>
      <c r="CI131" s="186">
        <f t="shared" si="257"/>
        <v>0</v>
      </c>
      <c r="CJ131" s="186">
        <f t="shared" si="257"/>
        <v>0</v>
      </c>
      <c r="CK131" s="186">
        <f t="shared" si="257"/>
        <v>0</v>
      </c>
      <c r="CL131" s="186">
        <f t="shared" si="257"/>
        <v>0</v>
      </c>
      <c r="CM131" s="186">
        <f t="shared" si="257"/>
        <v>0</v>
      </c>
      <c r="CN131" s="186">
        <f t="shared" si="257"/>
        <v>0</v>
      </c>
      <c r="CO131" s="186">
        <f t="shared" si="257"/>
        <v>0</v>
      </c>
      <c r="CP131" s="186">
        <f t="shared" si="257"/>
        <v>0</v>
      </c>
      <c r="CQ131" s="186">
        <f t="shared" si="257"/>
        <v>257500000</v>
      </c>
      <c r="CR131" s="186">
        <f t="shared" si="257"/>
        <v>0</v>
      </c>
      <c r="CS131" s="186">
        <f t="shared" si="257"/>
        <v>0</v>
      </c>
      <c r="CT131" s="186">
        <f t="shared" si="257"/>
        <v>0</v>
      </c>
      <c r="CU131" s="186">
        <f t="shared" si="257"/>
        <v>0</v>
      </c>
      <c r="CV131" s="186">
        <f t="shared" si="257"/>
        <v>0</v>
      </c>
      <c r="CW131" s="186">
        <f t="shared" si="257"/>
        <v>0</v>
      </c>
      <c r="CX131" s="186">
        <f t="shared" si="257"/>
        <v>0</v>
      </c>
      <c r="CY131" s="186">
        <f t="shared" si="257"/>
        <v>0</v>
      </c>
      <c r="CZ131" s="186">
        <f t="shared" si="257"/>
        <v>0</v>
      </c>
      <c r="DA131" s="186">
        <f t="shared" si="257"/>
        <v>0</v>
      </c>
      <c r="DB131" s="186">
        <f t="shared" si="257"/>
        <v>0</v>
      </c>
      <c r="DC131" s="186">
        <f t="shared" si="257"/>
        <v>0</v>
      </c>
      <c r="DD131" s="186">
        <f t="shared" si="257"/>
        <v>0</v>
      </c>
      <c r="DE131" s="186">
        <f t="shared" si="257"/>
        <v>287500000</v>
      </c>
      <c r="DF131" s="186">
        <f t="shared" si="257"/>
        <v>273800000</v>
      </c>
      <c r="DG131" s="186">
        <f t="shared" si="257"/>
        <v>20800000</v>
      </c>
      <c r="DH131" s="186">
        <f t="shared" si="257"/>
        <v>20800000</v>
      </c>
      <c r="DI131" s="186">
        <f t="shared" si="257"/>
        <v>0</v>
      </c>
      <c r="DJ131" s="186">
        <f t="shared" si="257"/>
        <v>0</v>
      </c>
      <c r="DK131" s="186">
        <f t="shared" si="257"/>
        <v>0</v>
      </c>
      <c r="DL131" s="186">
        <f t="shared" si="257"/>
        <v>0</v>
      </c>
      <c r="DM131" s="186">
        <f t="shared" si="257"/>
        <v>0</v>
      </c>
      <c r="DN131" s="186">
        <f t="shared" si="257"/>
        <v>0</v>
      </c>
      <c r="DO131" s="186">
        <f t="shared" si="257"/>
        <v>114100000</v>
      </c>
      <c r="DP131" s="186">
        <f t="shared" si="257"/>
        <v>113000000</v>
      </c>
      <c r="DQ131" s="186">
        <f t="shared" si="257"/>
        <v>113000000</v>
      </c>
      <c r="DR131" s="186">
        <f t="shared" si="257"/>
        <v>0</v>
      </c>
      <c r="DS131" s="186">
        <f t="shared" si="257"/>
        <v>15000000</v>
      </c>
      <c r="DT131" s="186">
        <f t="shared" si="257"/>
        <v>22000000</v>
      </c>
      <c r="DU131" s="186">
        <f t="shared" si="257"/>
        <v>20321700</v>
      </c>
      <c r="DV131" s="186">
        <f t="shared" si="257"/>
        <v>20321700</v>
      </c>
      <c r="DW131" s="186">
        <f t="shared" si="257"/>
        <v>0</v>
      </c>
      <c r="DX131" s="186">
        <f t="shared" si="257"/>
        <v>0</v>
      </c>
      <c r="DY131" s="186">
        <f t="shared" ref="DY131:EW131" si="258">SUM(DY132:DY135)</f>
        <v>0</v>
      </c>
      <c r="DZ131" s="186">
        <f t="shared" si="258"/>
        <v>0</v>
      </c>
      <c r="EA131" s="186">
        <f t="shared" si="258"/>
        <v>0</v>
      </c>
      <c r="EB131" s="186">
        <f t="shared" si="258"/>
        <v>0</v>
      </c>
      <c r="EC131" s="186">
        <f t="shared" si="258"/>
        <v>0</v>
      </c>
      <c r="ED131" s="186">
        <f t="shared" si="258"/>
        <v>0</v>
      </c>
      <c r="EE131" s="186">
        <f t="shared" si="258"/>
        <v>0</v>
      </c>
      <c r="EF131" s="186">
        <f t="shared" si="258"/>
        <v>0</v>
      </c>
      <c r="EG131" s="186">
        <f t="shared" si="258"/>
        <v>0</v>
      </c>
      <c r="EH131" s="186">
        <f t="shared" si="258"/>
        <v>0</v>
      </c>
      <c r="EI131" s="186">
        <f t="shared" si="258"/>
        <v>0</v>
      </c>
      <c r="EJ131" s="186">
        <f t="shared" si="258"/>
        <v>265225000</v>
      </c>
      <c r="EK131" s="186">
        <f t="shared" si="258"/>
        <v>251150604.86000001</v>
      </c>
      <c r="EL131" s="186">
        <f t="shared" si="258"/>
        <v>219162000</v>
      </c>
      <c r="EM131" s="186">
        <f t="shared" si="258"/>
        <v>219162000</v>
      </c>
      <c r="EN131" s="186">
        <f t="shared" si="258"/>
        <v>0</v>
      </c>
      <c r="EO131" s="186">
        <f t="shared" si="258"/>
        <v>0</v>
      </c>
      <c r="EP131" s="186">
        <f t="shared" si="258"/>
        <v>0</v>
      </c>
      <c r="EQ131" s="186">
        <f t="shared" si="258"/>
        <v>0</v>
      </c>
      <c r="ER131" s="186">
        <f t="shared" si="258"/>
        <v>0</v>
      </c>
      <c r="ES131" s="186">
        <f t="shared" si="258"/>
        <v>0</v>
      </c>
      <c r="ET131" s="186">
        <f t="shared" si="258"/>
        <v>0</v>
      </c>
      <c r="EU131" s="186">
        <f t="shared" si="258"/>
        <v>0</v>
      </c>
      <c r="EV131" s="186">
        <f t="shared" si="258"/>
        <v>0</v>
      </c>
      <c r="EW131" s="186">
        <f t="shared" si="258"/>
        <v>280225000</v>
      </c>
      <c r="EX131" s="186">
        <f t="shared" ref="EX131:GZ131" si="259">SUM(EX132:EX135)</f>
        <v>387250604.86000001</v>
      </c>
      <c r="EY131" s="186">
        <f t="shared" si="259"/>
        <v>352483700</v>
      </c>
      <c r="EZ131" s="186">
        <f t="shared" si="259"/>
        <v>352483700</v>
      </c>
      <c r="FA131" s="186">
        <f t="shared" si="259"/>
        <v>0</v>
      </c>
      <c r="FB131" s="601">
        <f t="shared" si="259"/>
        <v>0</v>
      </c>
      <c r="FC131" s="186">
        <f t="shared" si="259"/>
        <v>0</v>
      </c>
      <c r="FD131" s="186">
        <f t="shared" si="259"/>
        <v>0</v>
      </c>
      <c r="FE131" s="186">
        <f t="shared" si="259"/>
        <v>0</v>
      </c>
      <c r="FF131" s="186">
        <f t="shared" si="259"/>
        <v>0</v>
      </c>
      <c r="FG131" s="186">
        <f t="shared" si="259"/>
        <v>0</v>
      </c>
      <c r="FH131" s="186">
        <f t="shared" si="259"/>
        <v>16494000</v>
      </c>
      <c r="FI131" s="186">
        <f t="shared" si="259"/>
        <v>14177500</v>
      </c>
      <c r="FJ131" s="186">
        <f t="shared" si="259"/>
        <v>0</v>
      </c>
      <c r="FK131" s="186">
        <f t="shared" si="259"/>
        <v>0</v>
      </c>
      <c r="FL131" s="186">
        <f t="shared" si="259"/>
        <v>10000000</v>
      </c>
      <c r="FM131" s="186">
        <f t="shared" si="259"/>
        <v>32635992</v>
      </c>
      <c r="FN131" s="186">
        <f t="shared" si="259"/>
        <v>11342000</v>
      </c>
      <c r="FO131" s="186">
        <f t="shared" si="259"/>
        <v>8506500</v>
      </c>
      <c r="FP131" s="186">
        <f t="shared" si="259"/>
        <v>0</v>
      </c>
      <c r="FQ131" s="186">
        <f t="shared" si="259"/>
        <v>0</v>
      </c>
      <c r="FR131" s="186">
        <f t="shared" si="259"/>
        <v>0</v>
      </c>
      <c r="FS131" s="186">
        <f t="shared" si="259"/>
        <v>0</v>
      </c>
      <c r="FT131" s="186">
        <f t="shared" si="259"/>
        <v>0</v>
      </c>
      <c r="FU131" s="186">
        <f t="shared" si="259"/>
        <v>0</v>
      </c>
      <c r="FV131" s="186">
        <f t="shared" si="259"/>
        <v>0</v>
      </c>
      <c r="FW131" s="186">
        <f t="shared" si="259"/>
        <v>0</v>
      </c>
      <c r="FX131" s="186">
        <f t="shared" si="259"/>
        <v>0</v>
      </c>
      <c r="FY131" s="186">
        <f t="shared" si="259"/>
        <v>0</v>
      </c>
      <c r="FZ131" s="186">
        <f t="shared" si="259"/>
        <v>0</v>
      </c>
      <c r="GA131" s="186">
        <f t="shared" si="259"/>
        <v>0</v>
      </c>
      <c r="GB131" s="186">
        <f t="shared" si="259"/>
        <v>0</v>
      </c>
      <c r="GC131" s="186">
        <f t="shared" si="259"/>
        <v>0</v>
      </c>
      <c r="GD131" s="186">
        <f t="shared" si="259"/>
        <v>0</v>
      </c>
      <c r="GE131" s="186">
        <f t="shared" si="259"/>
        <v>0</v>
      </c>
      <c r="GF131" s="186">
        <f t="shared" si="259"/>
        <v>273181750</v>
      </c>
      <c r="GG131" s="186">
        <f t="shared" si="259"/>
        <v>60000000</v>
      </c>
      <c r="GH131" s="186">
        <f t="shared" si="259"/>
        <v>0</v>
      </c>
      <c r="GI131" s="186">
        <f t="shared" si="259"/>
        <v>0</v>
      </c>
      <c r="GJ131" s="186">
        <f t="shared" si="259"/>
        <v>0</v>
      </c>
      <c r="GK131" s="186">
        <f t="shared" si="259"/>
        <v>0</v>
      </c>
      <c r="GL131" s="186">
        <f t="shared" si="259"/>
        <v>0</v>
      </c>
      <c r="GM131" s="186">
        <f t="shared" si="259"/>
        <v>0</v>
      </c>
      <c r="GN131" s="186">
        <f t="shared" si="259"/>
        <v>0</v>
      </c>
      <c r="GO131" s="186">
        <f t="shared" si="259"/>
        <v>0</v>
      </c>
      <c r="GP131" s="186">
        <f t="shared" si="259"/>
        <v>0</v>
      </c>
      <c r="GQ131" s="186">
        <f t="shared" si="259"/>
        <v>0</v>
      </c>
      <c r="GR131" s="186">
        <f t="shared" si="259"/>
        <v>0</v>
      </c>
      <c r="GS131" s="186">
        <f t="shared" si="259"/>
        <v>0</v>
      </c>
      <c r="GT131" s="186">
        <f t="shared" si="259"/>
        <v>0</v>
      </c>
      <c r="GU131" s="186">
        <f t="shared" si="259"/>
        <v>283181750</v>
      </c>
      <c r="GV131" s="186">
        <f t="shared" si="259"/>
        <v>109129992</v>
      </c>
      <c r="GW131" s="186">
        <f t="shared" si="259"/>
        <v>25519500</v>
      </c>
      <c r="GX131" s="186">
        <f t="shared" si="259"/>
        <v>8506500</v>
      </c>
      <c r="GY131" s="186">
        <f t="shared" si="259"/>
        <v>0</v>
      </c>
      <c r="GZ131" s="186">
        <f t="shared" si="259"/>
        <v>1125906750</v>
      </c>
    </row>
    <row r="132" spans="1:208" s="711" customFormat="1" ht="87" customHeight="1" x14ac:dyDescent="0.2">
      <c r="A132" s="703"/>
      <c r="B132" s="703"/>
      <c r="C132" s="621">
        <v>16</v>
      </c>
      <c r="D132" s="676" t="s">
        <v>337</v>
      </c>
      <c r="E132" s="682">
        <v>45</v>
      </c>
      <c r="F132" s="682">
        <v>90</v>
      </c>
      <c r="G132" s="684">
        <v>93</v>
      </c>
      <c r="H132" s="676" t="s">
        <v>338</v>
      </c>
      <c r="I132" s="859" t="s">
        <v>339</v>
      </c>
      <c r="J132" s="677" t="s">
        <v>266</v>
      </c>
      <c r="K132" s="680">
        <v>1</v>
      </c>
      <c r="L132" s="679" t="s">
        <v>73</v>
      </c>
      <c r="M132" s="680" t="s">
        <v>53</v>
      </c>
      <c r="N132" s="678">
        <v>36</v>
      </c>
      <c r="O132" s="678">
        <v>4</v>
      </c>
      <c r="P132" s="850">
        <v>4</v>
      </c>
      <c r="Q132" s="678">
        <v>18</v>
      </c>
      <c r="R132" s="814"/>
      <c r="S132" s="851">
        <v>4</v>
      </c>
      <c r="T132" s="678">
        <v>32</v>
      </c>
      <c r="U132" s="678"/>
      <c r="V132" s="850">
        <v>20</v>
      </c>
      <c r="W132" s="683">
        <v>36</v>
      </c>
      <c r="X132" s="679"/>
      <c r="Y132" s="635">
        <v>36</v>
      </c>
      <c r="Z132" s="860"/>
      <c r="AA132" s="682">
        <v>4</v>
      </c>
      <c r="AB132" s="682" t="s">
        <v>114</v>
      </c>
      <c r="AC132" s="830"/>
      <c r="AD132" s="831"/>
      <c r="AE132" s="818"/>
      <c r="AF132" s="818"/>
      <c r="AG132" s="830"/>
      <c r="AH132" s="831"/>
      <c r="AI132" s="831"/>
      <c r="AJ132" s="831"/>
      <c r="AK132" s="830"/>
      <c r="AL132" s="831"/>
      <c r="AM132" s="831"/>
      <c r="AN132" s="831"/>
      <c r="AO132" s="830"/>
      <c r="AP132" s="831"/>
      <c r="AQ132" s="831"/>
      <c r="AR132" s="831"/>
      <c r="AS132" s="830"/>
      <c r="AT132" s="831"/>
      <c r="AU132" s="818"/>
      <c r="AV132" s="818"/>
      <c r="AW132" s="830"/>
      <c r="AX132" s="831"/>
      <c r="AY132" s="831"/>
      <c r="AZ132" s="831"/>
      <c r="BA132" s="830"/>
      <c r="BB132" s="831"/>
      <c r="BC132" s="831"/>
      <c r="BD132" s="831"/>
      <c r="BE132" s="830"/>
      <c r="BF132" s="831"/>
      <c r="BG132" s="818"/>
      <c r="BH132" s="818"/>
      <c r="BI132" s="830"/>
      <c r="BJ132" s="831"/>
      <c r="BK132" s="831"/>
      <c r="BL132" s="831"/>
      <c r="BM132" s="817">
        <f>+AC132+AG132+AK132+AO132+AS132+AW132+BA132+BE132+BI132</f>
        <v>0</v>
      </c>
      <c r="BN132" s="818">
        <f t="shared" ref="BN132:BP135" si="260">AD132+AH132+AL132+AP132+AT132+AX132+BB132+BF132+BJ132</f>
        <v>0</v>
      </c>
      <c r="BO132" s="818">
        <f t="shared" si="260"/>
        <v>0</v>
      </c>
      <c r="BP132" s="818">
        <f t="shared" si="260"/>
        <v>0</v>
      </c>
      <c r="BQ132" s="667"/>
      <c r="BR132" s="667"/>
      <c r="BS132" s="667"/>
      <c r="BT132" s="667"/>
      <c r="BU132" s="667"/>
      <c r="BV132" s="667"/>
      <c r="BW132" s="667"/>
      <c r="BX132" s="667"/>
      <c r="BY132" s="667"/>
      <c r="BZ132" s="667"/>
      <c r="CA132" s="667"/>
      <c r="CB132" s="667"/>
      <c r="CC132" s="667"/>
      <c r="CD132" s="667"/>
      <c r="CE132" s="667"/>
      <c r="CF132" s="667"/>
      <c r="CG132" s="667"/>
      <c r="CH132" s="667"/>
      <c r="CI132" s="667"/>
      <c r="CJ132" s="667"/>
      <c r="CK132" s="667"/>
      <c r="CL132" s="667"/>
      <c r="CM132" s="667"/>
      <c r="CN132" s="667"/>
      <c r="CO132" s="667"/>
      <c r="CP132" s="667"/>
      <c r="CQ132" s="667"/>
      <c r="CR132" s="667"/>
      <c r="CS132" s="667"/>
      <c r="CT132" s="667"/>
      <c r="CU132" s="667"/>
      <c r="CV132" s="667"/>
      <c r="CW132" s="667"/>
      <c r="CX132" s="667"/>
      <c r="CY132" s="667"/>
      <c r="CZ132" s="667"/>
      <c r="DA132" s="667"/>
      <c r="DB132" s="667"/>
      <c r="DC132" s="667"/>
      <c r="DD132" s="667"/>
      <c r="DE132" s="708">
        <f t="shared" ref="DE132:DH135" si="261">BQ132+BU132+BZ132+CE132+CI132+CM132+CQ132+CV132+DA132</f>
        <v>0</v>
      </c>
      <c r="DF132" s="708">
        <f t="shared" si="261"/>
        <v>0</v>
      </c>
      <c r="DG132" s="708">
        <f t="shared" si="261"/>
        <v>0</v>
      </c>
      <c r="DH132" s="708">
        <f t="shared" si="261"/>
        <v>0</v>
      </c>
      <c r="DI132" s="708"/>
      <c r="DJ132" s="706"/>
      <c r="DK132" s="706"/>
      <c r="DL132" s="706"/>
      <c r="DM132" s="706"/>
      <c r="DN132" s="706"/>
      <c r="DO132" s="706">
        <v>21100000</v>
      </c>
      <c r="DP132" s="706">
        <v>20000000</v>
      </c>
      <c r="DQ132" s="706">
        <v>20000000</v>
      </c>
      <c r="DR132" s="706"/>
      <c r="DS132" s="706"/>
      <c r="DT132" s="706"/>
      <c r="DU132" s="706"/>
      <c r="DV132" s="706"/>
      <c r="DW132" s="706"/>
      <c r="DX132" s="706"/>
      <c r="DY132" s="706"/>
      <c r="DZ132" s="706"/>
      <c r="EA132" s="706"/>
      <c r="EB132" s="706"/>
      <c r="EC132" s="706"/>
      <c r="ED132" s="706"/>
      <c r="EE132" s="706"/>
      <c r="EF132" s="706"/>
      <c r="EG132" s="706"/>
      <c r="EH132" s="706"/>
      <c r="EI132" s="706"/>
      <c r="EJ132" s="706"/>
      <c r="EK132" s="706"/>
      <c r="EL132" s="706"/>
      <c r="EM132" s="706"/>
      <c r="EN132" s="706"/>
      <c r="EO132" s="706"/>
      <c r="EP132" s="706"/>
      <c r="EQ132" s="706"/>
      <c r="ER132" s="706"/>
      <c r="ES132" s="706"/>
      <c r="ET132" s="667"/>
      <c r="EU132" s="667"/>
      <c r="EV132" s="667"/>
      <c r="EW132" s="708">
        <f t="shared" ref="EW132:EX135" si="262">DJ132+DN132+DS132+DX132+EB132+EF132+EJ132+EN132+ES132</f>
        <v>0</v>
      </c>
      <c r="EX132" s="819">
        <f t="shared" si="262"/>
        <v>21100000</v>
      </c>
      <c r="EY132" s="819">
        <f t="shared" ref="EY132:EZ135" si="263">DL132+DP132+DU132+DZ132+ED132+EH132+EL132+EP132+EU132</f>
        <v>20000000</v>
      </c>
      <c r="EZ132" s="819">
        <f t="shared" si="263"/>
        <v>20000000</v>
      </c>
      <c r="FA132" s="820"/>
      <c r="FB132" s="667"/>
      <c r="FC132" s="706"/>
      <c r="FD132" s="706"/>
      <c r="FE132" s="706"/>
      <c r="FF132" s="707"/>
      <c r="FG132" s="667"/>
      <c r="FH132" s="667">
        <v>16494000</v>
      </c>
      <c r="FI132" s="667">
        <v>14177500</v>
      </c>
      <c r="FJ132" s="667"/>
      <c r="FK132" s="667"/>
      <c r="FL132" s="667"/>
      <c r="FM132" s="667">
        <v>11861000</v>
      </c>
      <c r="FN132" s="667">
        <v>11342000</v>
      </c>
      <c r="FO132" s="667">
        <v>8506500</v>
      </c>
      <c r="FP132" s="667"/>
      <c r="FQ132" s="667"/>
      <c r="FR132" s="667"/>
      <c r="FS132" s="667"/>
      <c r="FT132" s="667"/>
      <c r="FU132" s="667"/>
      <c r="FV132" s="667"/>
      <c r="FW132" s="667"/>
      <c r="FX132" s="667"/>
      <c r="FY132" s="667"/>
      <c r="FZ132" s="667"/>
      <c r="GA132" s="667"/>
      <c r="GB132" s="667"/>
      <c r="GC132" s="667"/>
      <c r="GD132" s="667"/>
      <c r="GE132" s="667"/>
      <c r="GF132" s="667"/>
      <c r="GG132" s="667"/>
      <c r="GH132" s="667"/>
      <c r="GI132" s="667"/>
      <c r="GJ132" s="667"/>
      <c r="GK132" s="667"/>
      <c r="GL132" s="667"/>
      <c r="GM132" s="667"/>
      <c r="GN132" s="667"/>
      <c r="GO132" s="667"/>
      <c r="GP132" s="667"/>
      <c r="GQ132" s="667"/>
      <c r="GR132" s="667"/>
      <c r="GS132" s="667"/>
      <c r="GT132" s="667"/>
      <c r="GU132" s="708">
        <f>FB132+FG132+FL132+FQ132+FV132+GA132+GF132+GK132+GP132</f>
        <v>0</v>
      </c>
      <c r="GV132" s="708">
        <f t="shared" ref="GV132:GY135" si="264">GQ132+GL132+GG132+GB132+FW132+FR132+FM132+FH132+FC132</f>
        <v>28355000</v>
      </c>
      <c r="GW132" s="708">
        <f t="shared" si="264"/>
        <v>25519500</v>
      </c>
      <c r="GX132" s="708">
        <f t="shared" si="264"/>
        <v>8506500</v>
      </c>
      <c r="GY132" s="709">
        <f t="shared" si="264"/>
        <v>0</v>
      </c>
      <c r="GZ132" s="710">
        <f>BM132+DE132+EW132+GU132</f>
        <v>0</v>
      </c>
    </row>
    <row r="133" spans="1:208" s="711" customFormat="1" ht="51.75" customHeight="1" x14ac:dyDescent="0.2">
      <c r="A133" s="703"/>
      <c r="B133" s="703"/>
      <c r="C133" s="621">
        <v>17</v>
      </c>
      <c r="D133" s="676" t="s">
        <v>299</v>
      </c>
      <c r="E133" s="864" t="s">
        <v>300</v>
      </c>
      <c r="F133" s="842">
        <v>0.5</v>
      </c>
      <c r="G133" s="684">
        <v>94</v>
      </c>
      <c r="H133" s="676" t="s">
        <v>340</v>
      </c>
      <c r="I133" s="859" t="s">
        <v>341</v>
      </c>
      <c r="J133" s="677" t="s">
        <v>266</v>
      </c>
      <c r="K133" s="680">
        <v>1</v>
      </c>
      <c r="L133" s="679" t="s">
        <v>73</v>
      </c>
      <c r="M133" s="680">
        <v>70</v>
      </c>
      <c r="N133" s="678">
        <v>140</v>
      </c>
      <c r="O133" s="678">
        <v>79</v>
      </c>
      <c r="P133" s="850">
        <v>20</v>
      </c>
      <c r="Q133" s="678">
        <v>105</v>
      </c>
      <c r="R133" s="863">
        <v>30</v>
      </c>
      <c r="S133" s="851">
        <v>0</v>
      </c>
      <c r="T133" s="678">
        <v>131</v>
      </c>
      <c r="U133" s="678">
        <f>40+15</f>
        <v>55</v>
      </c>
      <c r="V133" s="850">
        <v>172</v>
      </c>
      <c r="W133" s="683">
        <v>140</v>
      </c>
      <c r="X133" s="679">
        <f>50+15</f>
        <v>65</v>
      </c>
      <c r="Y133" s="635">
        <v>0</v>
      </c>
      <c r="Z133" s="852">
        <f>BM133/$BM$131</f>
        <v>0.88181818181818183</v>
      </c>
      <c r="AA133" s="682">
        <v>4</v>
      </c>
      <c r="AB133" s="682" t="s">
        <v>114</v>
      </c>
      <c r="AC133" s="830"/>
      <c r="AD133" s="831"/>
      <c r="AE133" s="818"/>
      <c r="AF133" s="818"/>
      <c r="AG133" s="830"/>
      <c r="AH133" s="831"/>
      <c r="AI133" s="831"/>
      <c r="AJ133" s="831"/>
      <c r="AK133" s="830"/>
      <c r="AL133" s="831">
        <v>25000000</v>
      </c>
      <c r="AM133" s="831"/>
      <c r="AN133" s="831"/>
      <c r="AO133" s="830"/>
      <c r="AP133" s="831"/>
      <c r="AQ133" s="831"/>
      <c r="AR133" s="831"/>
      <c r="AS133" s="830"/>
      <c r="AT133" s="831"/>
      <c r="AU133" s="818"/>
      <c r="AV133" s="818"/>
      <c r="AW133" s="830"/>
      <c r="AX133" s="831"/>
      <c r="AY133" s="831"/>
      <c r="AZ133" s="831"/>
      <c r="BA133" s="830">
        <v>242500000</v>
      </c>
      <c r="BB133" s="831">
        <f>250000000-7500000</f>
        <v>242500000</v>
      </c>
      <c r="BC133" s="831"/>
      <c r="BD133" s="831"/>
      <c r="BE133" s="830"/>
      <c r="BF133" s="831"/>
      <c r="BG133" s="818"/>
      <c r="BH133" s="818"/>
      <c r="BI133" s="830"/>
      <c r="BJ133" s="831"/>
      <c r="BK133" s="831"/>
      <c r="BL133" s="831"/>
      <c r="BM133" s="817">
        <f>+AC133+AG133+AK133+AO133+AS133+AW133+BA133+BE133+BI133</f>
        <v>242500000</v>
      </c>
      <c r="BN133" s="818">
        <f t="shared" si="260"/>
        <v>267500000</v>
      </c>
      <c r="BO133" s="818">
        <f t="shared" si="260"/>
        <v>0</v>
      </c>
      <c r="BP133" s="818">
        <f t="shared" si="260"/>
        <v>0</v>
      </c>
      <c r="BQ133" s="667"/>
      <c r="BR133" s="667"/>
      <c r="BS133" s="667"/>
      <c r="BT133" s="667"/>
      <c r="BU133" s="667"/>
      <c r="BV133" s="667"/>
      <c r="BW133" s="667"/>
      <c r="BX133" s="667"/>
      <c r="BY133" s="667"/>
      <c r="BZ133" s="667"/>
      <c r="CA133" s="865">
        <v>253000000</v>
      </c>
      <c r="CB133" s="667"/>
      <c r="CC133" s="667"/>
      <c r="CD133" s="667"/>
      <c r="CE133" s="667"/>
      <c r="CF133" s="667"/>
      <c r="CG133" s="667"/>
      <c r="CH133" s="667"/>
      <c r="CI133" s="667"/>
      <c r="CJ133" s="667"/>
      <c r="CK133" s="667"/>
      <c r="CL133" s="667"/>
      <c r="CM133" s="667"/>
      <c r="CN133" s="667"/>
      <c r="CO133" s="667"/>
      <c r="CP133" s="667"/>
      <c r="CQ133" s="667">
        <v>253000000</v>
      </c>
      <c r="CR133" s="667"/>
      <c r="CS133" s="667"/>
      <c r="CT133" s="667"/>
      <c r="CU133" s="667"/>
      <c r="CV133" s="667"/>
      <c r="CW133" s="667"/>
      <c r="CX133" s="667"/>
      <c r="CY133" s="667"/>
      <c r="CZ133" s="667"/>
      <c r="DA133" s="667"/>
      <c r="DB133" s="667"/>
      <c r="DC133" s="667"/>
      <c r="DD133" s="667"/>
      <c r="DE133" s="708">
        <f t="shared" si="261"/>
        <v>253000000</v>
      </c>
      <c r="DF133" s="708">
        <f t="shared" si="261"/>
        <v>253000000</v>
      </c>
      <c r="DG133" s="708">
        <f t="shared" si="261"/>
        <v>0</v>
      </c>
      <c r="DH133" s="708">
        <f t="shared" si="261"/>
        <v>0</v>
      </c>
      <c r="DI133" s="708"/>
      <c r="DJ133" s="706"/>
      <c r="DK133" s="706"/>
      <c r="DL133" s="706"/>
      <c r="DM133" s="706"/>
      <c r="DN133" s="706"/>
      <c r="DO133" s="706">
        <v>63000000</v>
      </c>
      <c r="DP133" s="706">
        <v>63000000</v>
      </c>
      <c r="DQ133" s="706">
        <v>63000000</v>
      </c>
      <c r="DR133" s="706"/>
      <c r="DS133" s="706"/>
      <c r="DT133" s="706">
        <v>22000000</v>
      </c>
      <c r="DU133" s="706">
        <v>20321700</v>
      </c>
      <c r="DV133" s="706">
        <v>20321700</v>
      </c>
      <c r="DW133" s="706"/>
      <c r="DX133" s="706"/>
      <c r="DY133" s="706"/>
      <c r="DZ133" s="706"/>
      <c r="EA133" s="706"/>
      <c r="EB133" s="706"/>
      <c r="EC133" s="706"/>
      <c r="ED133" s="706"/>
      <c r="EE133" s="706"/>
      <c r="EF133" s="706"/>
      <c r="EG133" s="706"/>
      <c r="EH133" s="706"/>
      <c r="EI133" s="706"/>
      <c r="EJ133" s="706">
        <v>240000000</v>
      </c>
      <c r="EK133" s="706">
        <v>221150604.86000001</v>
      </c>
      <c r="EL133" s="706">
        <v>219162000</v>
      </c>
      <c r="EM133" s="706">
        <v>219162000</v>
      </c>
      <c r="EN133" s="706"/>
      <c r="EO133" s="706"/>
      <c r="EP133" s="706"/>
      <c r="EQ133" s="706"/>
      <c r="ER133" s="706"/>
      <c r="ES133" s="706"/>
      <c r="ET133" s="667"/>
      <c r="EU133" s="667"/>
      <c r="EV133" s="667"/>
      <c r="EW133" s="708">
        <f t="shared" si="262"/>
        <v>240000000</v>
      </c>
      <c r="EX133" s="819">
        <f t="shared" si="262"/>
        <v>306150604.86000001</v>
      </c>
      <c r="EY133" s="819">
        <f t="shared" si="263"/>
        <v>302483700</v>
      </c>
      <c r="EZ133" s="819">
        <f t="shared" si="263"/>
        <v>302483700</v>
      </c>
      <c r="FA133" s="820"/>
      <c r="FB133" s="667"/>
      <c r="FC133" s="706"/>
      <c r="FD133" s="706"/>
      <c r="FE133" s="706"/>
      <c r="FF133" s="707"/>
      <c r="FG133" s="667"/>
      <c r="FH133" s="667"/>
      <c r="FI133" s="667"/>
      <c r="FJ133" s="667"/>
      <c r="FK133" s="667"/>
      <c r="FL133" s="667"/>
      <c r="FM133" s="667">
        <v>10000000</v>
      </c>
      <c r="FN133" s="667"/>
      <c r="FO133" s="667"/>
      <c r="FP133" s="667"/>
      <c r="FQ133" s="667"/>
      <c r="FR133" s="667"/>
      <c r="FS133" s="667"/>
      <c r="FT133" s="667"/>
      <c r="FU133" s="667"/>
      <c r="FV133" s="667"/>
      <c r="FW133" s="667"/>
      <c r="FX133" s="667"/>
      <c r="FY133" s="667"/>
      <c r="FZ133" s="667"/>
      <c r="GA133" s="667"/>
      <c r="GB133" s="667"/>
      <c r="GC133" s="667"/>
      <c r="GD133" s="667"/>
      <c r="GE133" s="667"/>
      <c r="GF133" s="667">
        <v>249700000</v>
      </c>
      <c r="GG133" s="667">
        <v>60000000</v>
      </c>
      <c r="GH133" s="667"/>
      <c r="GI133" s="667"/>
      <c r="GJ133" s="667"/>
      <c r="GK133" s="667"/>
      <c r="GL133" s="667"/>
      <c r="GM133" s="667"/>
      <c r="GN133" s="667"/>
      <c r="GO133" s="667"/>
      <c r="GP133" s="667"/>
      <c r="GQ133" s="667"/>
      <c r="GR133" s="667"/>
      <c r="GS133" s="667"/>
      <c r="GT133" s="667"/>
      <c r="GU133" s="708">
        <f>FB133+FG133+FL133+FQ133+FV133+GA133+GF133+GK133+GP133</f>
        <v>249700000</v>
      </c>
      <c r="GV133" s="708">
        <f t="shared" si="264"/>
        <v>70000000</v>
      </c>
      <c r="GW133" s="708">
        <f t="shared" si="264"/>
        <v>0</v>
      </c>
      <c r="GX133" s="708">
        <f t="shared" si="264"/>
        <v>0</v>
      </c>
      <c r="GY133" s="709">
        <f t="shared" si="264"/>
        <v>0</v>
      </c>
      <c r="GZ133" s="710">
        <f>BM133+DE133+EW133+GU133</f>
        <v>985200000</v>
      </c>
    </row>
    <row r="134" spans="1:208" s="711" customFormat="1" ht="51.75" customHeight="1" x14ac:dyDescent="0.2">
      <c r="A134" s="703"/>
      <c r="B134" s="703"/>
      <c r="C134" s="621">
        <v>18</v>
      </c>
      <c r="D134" s="676" t="s">
        <v>303</v>
      </c>
      <c r="E134" s="682">
        <v>6</v>
      </c>
      <c r="F134" s="682">
        <v>12</v>
      </c>
      <c r="G134" s="684">
        <v>95</v>
      </c>
      <c r="H134" s="676" t="s">
        <v>342</v>
      </c>
      <c r="I134" s="859" t="s">
        <v>343</v>
      </c>
      <c r="J134" s="677" t="s">
        <v>266</v>
      </c>
      <c r="K134" s="680">
        <v>1</v>
      </c>
      <c r="L134" s="679" t="s">
        <v>58</v>
      </c>
      <c r="M134" s="680">
        <v>0</v>
      </c>
      <c r="N134" s="678">
        <v>500</v>
      </c>
      <c r="O134" s="678">
        <v>500</v>
      </c>
      <c r="P134" s="850">
        <v>450</v>
      </c>
      <c r="Q134" s="678">
        <v>500</v>
      </c>
      <c r="R134" s="863" t="s">
        <v>65</v>
      </c>
      <c r="S134" s="851">
        <v>500</v>
      </c>
      <c r="T134" s="678">
        <v>500</v>
      </c>
      <c r="U134" s="678"/>
      <c r="V134" s="850">
        <v>285</v>
      </c>
      <c r="W134" s="683">
        <v>500</v>
      </c>
      <c r="X134" s="679"/>
      <c r="Y134" s="635">
        <v>544</v>
      </c>
      <c r="Z134" s="852">
        <f>BM134/$BM$131</f>
        <v>6.363636363636363E-2</v>
      </c>
      <c r="AA134" s="682">
        <v>4</v>
      </c>
      <c r="AB134" s="682" t="s">
        <v>114</v>
      </c>
      <c r="AC134" s="830"/>
      <c r="AD134" s="831"/>
      <c r="AE134" s="818"/>
      <c r="AF134" s="818"/>
      <c r="AG134" s="830"/>
      <c r="AH134" s="831"/>
      <c r="AI134" s="831"/>
      <c r="AJ134" s="831"/>
      <c r="AK134" s="830">
        <v>10000000</v>
      </c>
      <c r="AL134" s="831">
        <v>0</v>
      </c>
      <c r="AM134" s="831"/>
      <c r="AN134" s="831"/>
      <c r="AO134" s="830"/>
      <c r="AP134" s="831"/>
      <c r="AQ134" s="831"/>
      <c r="AR134" s="831"/>
      <c r="AS134" s="830"/>
      <c r="AT134" s="831"/>
      <c r="AU134" s="818"/>
      <c r="AV134" s="818"/>
      <c r="AW134" s="830"/>
      <c r="AX134" s="831"/>
      <c r="AY134" s="831"/>
      <c r="AZ134" s="831"/>
      <c r="BA134" s="830">
        <v>7500000</v>
      </c>
      <c r="BB134" s="831">
        <v>7500000</v>
      </c>
      <c r="BC134" s="831">
        <v>7500000</v>
      </c>
      <c r="BD134" s="831">
        <v>7500000</v>
      </c>
      <c r="BE134" s="830"/>
      <c r="BF134" s="831"/>
      <c r="BG134" s="818"/>
      <c r="BH134" s="818"/>
      <c r="BI134" s="830"/>
      <c r="BJ134" s="831"/>
      <c r="BK134" s="831"/>
      <c r="BL134" s="831"/>
      <c r="BM134" s="817">
        <f>+AC134+AG134+AK134+AO134+AS134+AW134+BA134+BE134+BI134</f>
        <v>17500000</v>
      </c>
      <c r="BN134" s="818">
        <f t="shared" si="260"/>
        <v>7500000</v>
      </c>
      <c r="BO134" s="818">
        <f t="shared" si="260"/>
        <v>7500000</v>
      </c>
      <c r="BP134" s="818">
        <f t="shared" si="260"/>
        <v>7500000</v>
      </c>
      <c r="BQ134" s="667"/>
      <c r="BR134" s="667"/>
      <c r="BS134" s="667"/>
      <c r="BT134" s="667"/>
      <c r="BU134" s="667"/>
      <c r="BV134" s="667"/>
      <c r="BW134" s="667"/>
      <c r="BX134" s="667"/>
      <c r="BY134" s="667"/>
      <c r="BZ134" s="667">
        <f>18200000-4500000</f>
        <v>13700000</v>
      </c>
      <c r="CA134" s="667">
        <v>4500000</v>
      </c>
      <c r="CB134" s="667">
        <v>4500000</v>
      </c>
      <c r="CC134" s="667">
        <v>4500000</v>
      </c>
      <c r="CD134" s="667"/>
      <c r="CE134" s="667"/>
      <c r="CF134" s="667"/>
      <c r="CG134" s="667"/>
      <c r="CH134" s="667"/>
      <c r="CI134" s="667"/>
      <c r="CJ134" s="667"/>
      <c r="CK134" s="667"/>
      <c r="CL134" s="667"/>
      <c r="CM134" s="667"/>
      <c r="CN134" s="667"/>
      <c r="CO134" s="667"/>
      <c r="CP134" s="667"/>
      <c r="CQ134" s="667">
        <v>4500000</v>
      </c>
      <c r="CR134" s="667"/>
      <c r="CS134" s="667"/>
      <c r="CT134" s="667"/>
      <c r="CU134" s="667"/>
      <c r="CV134" s="667"/>
      <c r="CW134" s="667"/>
      <c r="CX134" s="667"/>
      <c r="CY134" s="667"/>
      <c r="CZ134" s="667"/>
      <c r="DA134" s="667"/>
      <c r="DB134" s="667"/>
      <c r="DC134" s="667"/>
      <c r="DD134" s="667"/>
      <c r="DE134" s="708">
        <f t="shared" si="261"/>
        <v>18200000</v>
      </c>
      <c r="DF134" s="708">
        <f t="shared" si="261"/>
        <v>4500000</v>
      </c>
      <c r="DG134" s="708">
        <f t="shared" si="261"/>
        <v>4500000</v>
      </c>
      <c r="DH134" s="708">
        <f t="shared" si="261"/>
        <v>4500000</v>
      </c>
      <c r="DI134" s="708"/>
      <c r="DJ134" s="706"/>
      <c r="DK134" s="706"/>
      <c r="DL134" s="706"/>
      <c r="DM134" s="706"/>
      <c r="DN134" s="706"/>
      <c r="DO134" s="706"/>
      <c r="DP134" s="706"/>
      <c r="DQ134" s="706"/>
      <c r="DR134" s="706"/>
      <c r="DS134" s="706">
        <f>17800000-3000000</f>
        <v>14800000</v>
      </c>
      <c r="DT134" s="706"/>
      <c r="DU134" s="706"/>
      <c r="DV134" s="706"/>
      <c r="DW134" s="706"/>
      <c r="DX134" s="706"/>
      <c r="DY134" s="706"/>
      <c r="DZ134" s="706"/>
      <c r="EA134" s="706"/>
      <c r="EB134" s="706"/>
      <c r="EC134" s="706"/>
      <c r="ED134" s="706"/>
      <c r="EE134" s="706"/>
      <c r="EF134" s="706"/>
      <c r="EG134" s="706"/>
      <c r="EH134" s="706"/>
      <c r="EI134" s="706"/>
      <c r="EJ134" s="706">
        <v>3000000</v>
      </c>
      <c r="EK134" s="706"/>
      <c r="EL134" s="706"/>
      <c r="EM134" s="706"/>
      <c r="EN134" s="706"/>
      <c r="EO134" s="706"/>
      <c r="EP134" s="706"/>
      <c r="EQ134" s="706"/>
      <c r="ER134" s="706"/>
      <c r="ES134" s="706"/>
      <c r="ET134" s="667"/>
      <c r="EU134" s="667"/>
      <c r="EV134" s="667"/>
      <c r="EW134" s="708">
        <f t="shared" si="262"/>
        <v>17800000</v>
      </c>
      <c r="EX134" s="819">
        <f t="shared" si="262"/>
        <v>0</v>
      </c>
      <c r="EY134" s="819">
        <f t="shared" si="263"/>
        <v>0</v>
      </c>
      <c r="EZ134" s="819">
        <f t="shared" si="263"/>
        <v>0</v>
      </c>
      <c r="FA134" s="820"/>
      <c r="FB134" s="667"/>
      <c r="FC134" s="706"/>
      <c r="FD134" s="706"/>
      <c r="FE134" s="706"/>
      <c r="FF134" s="707"/>
      <c r="FG134" s="667"/>
      <c r="FH134" s="667"/>
      <c r="FI134" s="667"/>
      <c r="FJ134" s="667"/>
      <c r="FK134" s="667"/>
      <c r="FL134" s="667"/>
      <c r="FM134" s="667"/>
      <c r="FN134" s="667"/>
      <c r="FO134" s="667"/>
      <c r="FP134" s="667"/>
      <c r="FQ134" s="667"/>
      <c r="FR134" s="667"/>
      <c r="FS134" s="667"/>
      <c r="FT134" s="667"/>
      <c r="FU134" s="667"/>
      <c r="FV134" s="667"/>
      <c r="FW134" s="667"/>
      <c r="FX134" s="667"/>
      <c r="FY134" s="667"/>
      <c r="FZ134" s="667"/>
      <c r="GA134" s="667"/>
      <c r="GB134" s="667"/>
      <c r="GC134" s="667"/>
      <c r="GD134" s="667"/>
      <c r="GE134" s="667"/>
      <c r="GF134" s="667">
        <v>18020000</v>
      </c>
      <c r="GG134" s="667"/>
      <c r="GH134" s="667"/>
      <c r="GI134" s="667"/>
      <c r="GJ134" s="667"/>
      <c r="GK134" s="667"/>
      <c r="GL134" s="667"/>
      <c r="GM134" s="667"/>
      <c r="GN134" s="667"/>
      <c r="GO134" s="667"/>
      <c r="GP134" s="667"/>
      <c r="GQ134" s="667"/>
      <c r="GR134" s="667"/>
      <c r="GS134" s="667"/>
      <c r="GT134" s="667"/>
      <c r="GU134" s="708">
        <f>FB134+FG134+FL134+FQ134+FV134+GA134+GF134+GK134+GP134</f>
        <v>18020000</v>
      </c>
      <c r="GV134" s="708">
        <f t="shared" si="264"/>
        <v>0</v>
      </c>
      <c r="GW134" s="708">
        <f t="shared" si="264"/>
        <v>0</v>
      </c>
      <c r="GX134" s="708">
        <f t="shared" si="264"/>
        <v>0</v>
      </c>
      <c r="GY134" s="709">
        <f t="shared" si="264"/>
        <v>0</v>
      </c>
      <c r="GZ134" s="710">
        <f>BM134+DE134+EW134+GU134</f>
        <v>71520000</v>
      </c>
    </row>
    <row r="135" spans="1:208" s="711" customFormat="1" ht="51.75" customHeight="1" x14ac:dyDescent="0.2">
      <c r="A135" s="703"/>
      <c r="B135" s="703"/>
      <c r="C135" s="715">
        <v>19</v>
      </c>
      <c r="D135" s="685" t="s">
        <v>306</v>
      </c>
      <c r="E135" s="827" t="s">
        <v>307</v>
      </c>
      <c r="F135" s="840" t="s">
        <v>308</v>
      </c>
      <c r="G135" s="840">
        <v>96</v>
      </c>
      <c r="H135" s="676" t="s">
        <v>344</v>
      </c>
      <c r="I135" s="859" t="s">
        <v>345</v>
      </c>
      <c r="J135" s="677" t="s">
        <v>266</v>
      </c>
      <c r="K135" s="680">
        <v>1</v>
      </c>
      <c r="L135" s="679" t="s">
        <v>73</v>
      </c>
      <c r="M135" s="680">
        <v>0</v>
      </c>
      <c r="N135" s="678">
        <v>6</v>
      </c>
      <c r="O135" s="678">
        <v>1</v>
      </c>
      <c r="P135" s="850">
        <v>0</v>
      </c>
      <c r="Q135" s="678">
        <v>3</v>
      </c>
      <c r="R135" s="863">
        <v>2</v>
      </c>
      <c r="S135" s="851">
        <v>4</v>
      </c>
      <c r="T135" s="678">
        <v>5</v>
      </c>
      <c r="U135" s="678">
        <v>2</v>
      </c>
      <c r="V135" s="850">
        <v>4</v>
      </c>
      <c r="W135" s="683">
        <v>6</v>
      </c>
      <c r="X135" s="679">
        <v>2</v>
      </c>
      <c r="Y135" s="635">
        <v>0</v>
      </c>
      <c r="Z135" s="852">
        <f>BM135/$BM$131</f>
        <v>5.4545454545454543E-2</v>
      </c>
      <c r="AA135" s="682">
        <v>4</v>
      </c>
      <c r="AB135" s="682" t="s">
        <v>114</v>
      </c>
      <c r="AC135" s="830"/>
      <c r="AD135" s="831"/>
      <c r="AE135" s="818"/>
      <c r="AF135" s="818"/>
      <c r="AG135" s="830"/>
      <c r="AH135" s="831"/>
      <c r="AI135" s="831"/>
      <c r="AJ135" s="831"/>
      <c r="AK135" s="830">
        <v>15000000</v>
      </c>
      <c r="AL135" s="831">
        <v>0</v>
      </c>
      <c r="AM135" s="831"/>
      <c r="AN135" s="831"/>
      <c r="AO135" s="830"/>
      <c r="AP135" s="831"/>
      <c r="AQ135" s="831"/>
      <c r="AR135" s="831"/>
      <c r="AS135" s="830"/>
      <c r="AT135" s="831"/>
      <c r="AU135" s="818"/>
      <c r="AV135" s="818"/>
      <c r="AW135" s="830"/>
      <c r="AX135" s="831"/>
      <c r="AY135" s="831"/>
      <c r="AZ135" s="831"/>
      <c r="BA135" s="830"/>
      <c r="BB135" s="831"/>
      <c r="BC135" s="831"/>
      <c r="BD135" s="831"/>
      <c r="BE135" s="830"/>
      <c r="BF135" s="831"/>
      <c r="BG135" s="818"/>
      <c r="BH135" s="818"/>
      <c r="BI135" s="830"/>
      <c r="BJ135" s="831"/>
      <c r="BK135" s="831"/>
      <c r="BL135" s="831"/>
      <c r="BM135" s="817">
        <f>+AC135+AG135+AK135+AO135+AS135+AW135+BA135+BE135+BI135</f>
        <v>15000000</v>
      </c>
      <c r="BN135" s="818">
        <f t="shared" si="260"/>
        <v>0</v>
      </c>
      <c r="BO135" s="818">
        <f t="shared" si="260"/>
        <v>0</v>
      </c>
      <c r="BP135" s="818">
        <f t="shared" si="260"/>
        <v>0</v>
      </c>
      <c r="BQ135" s="667"/>
      <c r="BR135" s="667"/>
      <c r="BS135" s="667"/>
      <c r="BT135" s="667"/>
      <c r="BU135" s="667"/>
      <c r="BV135" s="667"/>
      <c r="BW135" s="667"/>
      <c r="BX135" s="667"/>
      <c r="BY135" s="667"/>
      <c r="BZ135" s="667">
        <v>16300000</v>
      </c>
      <c r="CA135" s="667">
        <v>16300000</v>
      </c>
      <c r="CB135" s="667">
        <v>16300000</v>
      </c>
      <c r="CC135" s="667">
        <v>16300000</v>
      </c>
      <c r="CD135" s="667"/>
      <c r="CE135" s="667"/>
      <c r="CF135" s="667"/>
      <c r="CG135" s="667"/>
      <c r="CH135" s="667"/>
      <c r="CI135" s="667"/>
      <c r="CJ135" s="667"/>
      <c r="CK135" s="667"/>
      <c r="CL135" s="667"/>
      <c r="CM135" s="667"/>
      <c r="CN135" s="667"/>
      <c r="CO135" s="667"/>
      <c r="CP135" s="667"/>
      <c r="CQ135" s="667"/>
      <c r="CR135" s="667"/>
      <c r="CS135" s="667"/>
      <c r="CT135" s="667"/>
      <c r="CU135" s="667"/>
      <c r="CV135" s="667"/>
      <c r="CW135" s="667"/>
      <c r="CX135" s="667"/>
      <c r="CY135" s="667"/>
      <c r="CZ135" s="667"/>
      <c r="DA135" s="667"/>
      <c r="DB135" s="667"/>
      <c r="DC135" s="667"/>
      <c r="DD135" s="667"/>
      <c r="DE135" s="708">
        <f t="shared" si="261"/>
        <v>16300000</v>
      </c>
      <c r="DF135" s="708">
        <f t="shared" si="261"/>
        <v>16300000</v>
      </c>
      <c r="DG135" s="708">
        <f t="shared" si="261"/>
        <v>16300000</v>
      </c>
      <c r="DH135" s="708">
        <f t="shared" si="261"/>
        <v>16300000</v>
      </c>
      <c r="DI135" s="708"/>
      <c r="DJ135" s="706"/>
      <c r="DK135" s="706"/>
      <c r="DL135" s="706"/>
      <c r="DM135" s="706"/>
      <c r="DN135" s="706"/>
      <c r="DO135" s="706">
        <v>30000000</v>
      </c>
      <c r="DP135" s="706">
        <v>30000000</v>
      </c>
      <c r="DQ135" s="706">
        <v>30000000</v>
      </c>
      <c r="DR135" s="706"/>
      <c r="DS135" s="706">
        <v>200000</v>
      </c>
      <c r="DT135" s="706"/>
      <c r="DU135" s="706"/>
      <c r="DV135" s="706"/>
      <c r="DW135" s="706"/>
      <c r="DX135" s="706"/>
      <c r="DY135" s="706"/>
      <c r="DZ135" s="706"/>
      <c r="EA135" s="706"/>
      <c r="EB135" s="706"/>
      <c r="EC135" s="706"/>
      <c r="ED135" s="706"/>
      <c r="EE135" s="706"/>
      <c r="EF135" s="706"/>
      <c r="EG135" s="706"/>
      <c r="EH135" s="706"/>
      <c r="EI135" s="706"/>
      <c r="EJ135" s="706">
        <v>22225000</v>
      </c>
      <c r="EK135" s="706">
        <v>30000000</v>
      </c>
      <c r="EL135" s="706"/>
      <c r="EM135" s="706"/>
      <c r="EN135" s="706"/>
      <c r="EO135" s="706"/>
      <c r="EP135" s="706"/>
      <c r="EQ135" s="706"/>
      <c r="ER135" s="706"/>
      <c r="ES135" s="706"/>
      <c r="ET135" s="667"/>
      <c r="EU135" s="667"/>
      <c r="EV135" s="667"/>
      <c r="EW135" s="708">
        <f t="shared" si="262"/>
        <v>22425000</v>
      </c>
      <c r="EX135" s="819">
        <f t="shared" si="262"/>
        <v>60000000</v>
      </c>
      <c r="EY135" s="819">
        <f t="shared" si="263"/>
        <v>30000000</v>
      </c>
      <c r="EZ135" s="819">
        <f t="shared" si="263"/>
        <v>30000000</v>
      </c>
      <c r="FA135" s="820"/>
      <c r="FB135" s="667"/>
      <c r="FC135" s="706"/>
      <c r="FD135" s="706"/>
      <c r="FE135" s="706"/>
      <c r="FF135" s="707"/>
      <c r="FG135" s="667"/>
      <c r="FH135" s="667"/>
      <c r="FI135" s="667"/>
      <c r="FJ135" s="667"/>
      <c r="FK135" s="667"/>
      <c r="FL135" s="667">
        <v>10000000</v>
      </c>
      <c r="FM135" s="667">
        <v>10774992</v>
      </c>
      <c r="FN135" s="667"/>
      <c r="FO135" s="667"/>
      <c r="FP135" s="667"/>
      <c r="FQ135" s="667"/>
      <c r="FR135" s="667"/>
      <c r="FS135" s="667"/>
      <c r="FT135" s="667"/>
      <c r="FU135" s="667"/>
      <c r="FV135" s="667"/>
      <c r="FW135" s="667"/>
      <c r="FX135" s="667"/>
      <c r="FY135" s="667"/>
      <c r="FZ135" s="667"/>
      <c r="GA135" s="667"/>
      <c r="GB135" s="667"/>
      <c r="GC135" s="667"/>
      <c r="GD135" s="667"/>
      <c r="GE135" s="667"/>
      <c r="GF135" s="667">
        <v>5461750</v>
      </c>
      <c r="GG135" s="667"/>
      <c r="GH135" s="667"/>
      <c r="GI135" s="667"/>
      <c r="GJ135" s="667"/>
      <c r="GK135" s="667"/>
      <c r="GL135" s="667"/>
      <c r="GM135" s="667"/>
      <c r="GN135" s="667"/>
      <c r="GO135" s="667"/>
      <c r="GP135" s="667"/>
      <c r="GQ135" s="667"/>
      <c r="GR135" s="667"/>
      <c r="GS135" s="667"/>
      <c r="GT135" s="667"/>
      <c r="GU135" s="708">
        <f>FB135+FG135+FL135+FQ135+FV135+GA135+GF135+GK135+GP135</f>
        <v>15461750</v>
      </c>
      <c r="GV135" s="708">
        <f t="shared" si="264"/>
        <v>10774992</v>
      </c>
      <c r="GW135" s="708">
        <f t="shared" si="264"/>
        <v>0</v>
      </c>
      <c r="GX135" s="708">
        <f t="shared" si="264"/>
        <v>0</v>
      </c>
      <c r="GY135" s="709">
        <f t="shared" si="264"/>
        <v>0</v>
      </c>
      <c r="GZ135" s="710">
        <f>BM135+DE135+EW135+GU135</f>
        <v>69186750</v>
      </c>
    </row>
    <row r="136" spans="1:208" ht="24.75" customHeight="1" x14ac:dyDescent="0.2">
      <c r="A136" s="326"/>
      <c r="B136" s="326"/>
      <c r="C136" s="246">
        <v>22</v>
      </c>
      <c r="D136" s="247" t="s">
        <v>346</v>
      </c>
      <c r="E136" s="249"/>
      <c r="F136" s="295"/>
      <c r="G136" s="249"/>
      <c r="H136" s="249"/>
      <c r="I136" s="249"/>
      <c r="J136" s="249"/>
      <c r="K136" s="249"/>
      <c r="L136" s="249"/>
      <c r="M136" s="249"/>
      <c r="N136" s="249"/>
      <c r="O136" s="249"/>
      <c r="P136" s="249"/>
      <c r="Q136" s="249"/>
      <c r="R136" s="249"/>
      <c r="S136" s="249"/>
      <c r="T136" s="249"/>
      <c r="U136" s="249"/>
      <c r="V136" s="249"/>
      <c r="W136" s="249"/>
      <c r="X136" s="249"/>
      <c r="Y136" s="296"/>
      <c r="Z136" s="249"/>
      <c r="AA136" s="249"/>
      <c r="AB136" s="249"/>
      <c r="AC136" s="186">
        <f t="shared" ref="AC136:BL136" si="265">SUM(AC137)</f>
        <v>0</v>
      </c>
      <c r="AD136" s="186">
        <f t="shared" si="265"/>
        <v>0</v>
      </c>
      <c r="AE136" s="186">
        <f t="shared" si="265"/>
        <v>0</v>
      </c>
      <c r="AF136" s="186">
        <f t="shared" si="265"/>
        <v>0</v>
      </c>
      <c r="AG136" s="186">
        <f t="shared" si="265"/>
        <v>0</v>
      </c>
      <c r="AH136" s="186">
        <f t="shared" si="265"/>
        <v>0</v>
      </c>
      <c r="AI136" s="186">
        <f t="shared" si="265"/>
        <v>0</v>
      </c>
      <c r="AJ136" s="186">
        <f t="shared" si="265"/>
        <v>0</v>
      </c>
      <c r="AK136" s="186">
        <f t="shared" si="265"/>
        <v>0</v>
      </c>
      <c r="AL136" s="186">
        <f t="shared" si="265"/>
        <v>0</v>
      </c>
      <c r="AM136" s="186">
        <f t="shared" si="265"/>
        <v>0</v>
      </c>
      <c r="AN136" s="186">
        <f t="shared" si="265"/>
        <v>0</v>
      </c>
      <c r="AO136" s="186">
        <f t="shared" si="265"/>
        <v>0</v>
      </c>
      <c r="AP136" s="186">
        <f t="shared" si="265"/>
        <v>0</v>
      </c>
      <c r="AQ136" s="186">
        <f t="shared" si="265"/>
        <v>0</v>
      </c>
      <c r="AR136" s="186">
        <f t="shared" si="265"/>
        <v>0</v>
      </c>
      <c r="AS136" s="186">
        <f t="shared" si="265"/>
        <v>0</v>
      </c>
      <c r="AT136" s="186">
        <f t="shared" si="265"/>
        <v>0</v>
      </c>
      <c r="AU136" s="186">
        <f t="shared" si="265"/>
        <v>0</v>
      </c>
      <c r="AV136" s="186">
        <f t="shared" si="265"/>
        <v>0</v>
      </c>
      <c r="AW136" s="186">
        <f t="shared" si="265"/>
        <v>0</v>
      </c>
      <c r="AX136" s="186">
        <f t="shared" si="265"/>
        <v>0</v>
      </c>
      <c r="AY136" s="186">
        <f t="shared" si="265"/>
        <v>0</v>
      </c>
      <c r="AZ136" s="186">
        <f t="shared" si="265"/>
        <v>0</v>
      </c>
      <c r="BA136" s="186">
        <f t="shared" si="265"/>
        <v>110000000</v>
      </c>
      <c r="BB136" s="186">
        <f t="shared" si="265"/>
        <v>110000000</v>
      </c>
      <c r="BC136" s="186">
        <f t="shared" si="265"/>
        <v>0</v>
      </c>
      <c r="BD136" s="186">
        <f t="shared" si="265"/>
        <v>0</v>
      </c>
      <c r="BE136" s="186">
        <f t="shared" si="265"/>
        <v>0</v>
      </c>
      <c r="BF136" s="186">
        <f t="shared" si="265"/>
        <v>0</v>
      </c>
      <c r="BG136" s="186">
        <f t="shared" si="265"/>
        <v>0</v>
      </c>
      <c r="BH136" s="186">
        <f t="shared" si="265"/>
        <v>0</v>
      </c>
      <c r="BI136" s="186">
        <f t="shared" si="265"/>
        <v>0</v>
      </c>
      <c r="BJ136" s="186">
        <f t="shared" si="265"/>
        <v>0</v>
      </c>
      <c r="BK136" s="186">
        <f t="shared" si="265"/>
        <v>0</v>
      </c>
      <c r="BL136" s="186">
        <f t="shared" si="265"/>
        <v>0</v>
      </c>
      <c r="BM136" s="186">
        <f t="shared" ref="BM136:DX136" si="266">SUM(BM137)</f>
        <v>110000000</v>
      </c>
      <c r="BN136" s="186">
        <f t="shared" si="266"/>
        <v>110000000</v>
      </c>
      <c r="BO136" s="186">
        <f t="shared" si="266"/>
        <v>0</v>
      </c>
      <c r="BP136" s="186">
        <f t="shared" si="266"/>
        <v>0</v>
      </c>
      <c r="BQ136" s="186">
        <f t="shared" si="266"/>
        <v>0</v>
      </c>
      <c r="BR136" s="186">
        <f t="shared" si="266"/>
        <v>0</v>
      </c>
      <c r="BS136" s="186">
        <f t="shared" si="266"/>
        <v>0</v>
      </c>
      <c r="BT136" s="186">
        <f t="shared" si="266"/>
        <v>0</v>
      </c>
      <c r="BU136" s="186">
        <f t="shared" si="266"/>
        <v>0</v>
      </c>
      <c r="BV136" s="186">
        <f t="shared" si="266"/>
        <v>0</v>
      </c>
      <c r="BW136" s="186">
        <f t="shared" si="266"/>
        <v>0</v>
      </c>
      <c r="BX136" s="186">
        <f t="shared" si="266"/>
        <v>0</v>
      </c>
      <c r="BY136" s="186">
        <f t="shared" si="266"/>
        <v>0</v>
      </c>
      <c r="BZ136" s="186">
        <f t="shared" si="266"/>
        <v>0</v>
      </c>
      <c r="CA136" s="186">
        <f t="shared" si="266"/>
        <v>43300000</v>
      </c>
      <c r="CB136" s="186">
        <f t="shared" si="266"/>
        <v>8000000</v>
      </c>
      <c r="CC136" s="186">
        <f t="shared" si="266"/>
        <v>8000000</v>
      </c>
      <c r="CD136" s="186">
        <f t="shared" si="266"/>
        <v>0</v>
      </c>
      <c r="CE136" s="186">
        <f t="shared" si="266"/>
        <v>0</v>
      </c>
      <c r="CF136" s="186">
        <f t="shared" si="266"/>
        <v>0</v>
      </c>
      <c r="CG136" s="186">
        <f t="shared" si="266"/>
        <v>0</v>
      </c>
      <c r="CH136" s="186">
        <f t="shared" si="266"/>
        <v>0</v>
      </c>
      <c r="CI136" s="186">
        <f t="shared" si="266"/>
        <v>0</v>
      </c>
      <c r="CJ136" s="186">
        <f t="shared" si="266"/>
        <v>0</v>
      </c>
      <c r="CK136" s="186">
        <f t="shared" si="266"/>
        <v>0</v>
      </c>
      <c r="CL136" s="186">
        <f t="shared" si="266"/>
        <v>0</v>
      </c>
      <c r="CM136" s="186">
        <f t="shared" si="266"/>
        <v>0</v>
      </c>
      <c r="CN136" s="186">
        <f t="shared" si="266"/>
        <v>0</v>
      </c>
      <c r="CO136" s="186">
        <f t="shared" si="266"/>
        <v>0</v>
      </c>
      <c r="CP136" s="186">
        <f t="shared" si="266"/>
        <v>0</v>
      </c>
      <c r="CQ136" s="186">
        <f t="shared" si="266"/>
        <v>113300000</v>
      </c>
      <c r="CR136" s="186">
        <f t="shared" si="266"/>
        <v>0</v>
      </c>
      <c r="CS136" s="186">
        <f t="shared" si="266"/>
        <v>0</v>
      </c>
      <c r="CT136" s="186">
        <f t="shared" si="266"/>
        <v>0</v>
      </c>
      <c r="CU136" s="186">
        <f t="shared" si="266"/>
        <v>0</v>
      </c>
      <c r="CV136" s="186">
        <f t="shared" si="266"/>
        <v>0</v>
      </c>
      <c r="CW136" s="186">
        <f t="shared" si="266"/>
        <v>0</v>
      </c>
      <c r="CX136" s="186">
        <f t="shared" si="266"/>
        <v>0</v>
      </c>
      <c r="CY136" s="186">
        <f t="shared" si="266"/>
        <v>0</v>
      </c>
      <c r="CZ136" s="186">
        <f t="shared" si="266"/>
        <v>0</v>
      </c>
      <c r="DA136" s="186">
        <f t="shared" si="266"/>
        <v>0</v>
      </c>
      <c r="DB136" s="186">
        <f t="shared" si="266"/>
        <v>0</v>
      </c>
      <c r="DC136" s="186">
        <f t="shared" si="266"/>
        <v>0</v>
      </c>
      <c r="DD136" s="186">
        <f t="shared" si="266"/>
        <v>0</v>
      </c>
      <c r="DE136" s="186">
        <f t="shared" si="266"/>
        <v>113300000</v>
      </c>
      <c r="DF136" s="186">
        <f t="shared" si="266"/>
        <v>43300000</v>
      </c>
      <c r="DG136" s="186">
        <f t="shared" si="266"/>
        <v>8000000</v>
      </c>
      <c r="DH136" s="186">
        <f t="shared" si="266"/>
        <v>8000000</v>
      </c>
      <c r="DI136" s="186">
        <f t="shared" si="266"/>
        <v>0</v>
      </c>
      <c r="DJ136" s="186">
        <f t="shared" si="266"/>
        <v>0</v>
      </c>
      <c r="DK136" s="186">
        <f t="shared" si="266"/>
        <v>0</v>
      </c>
      <c r="DL136" s="186">
        <f t="shared" si="266"/>
        <v>0</v>
      </c>
      <c r="DM136" s="186">
        <f t="shared" si="266"/>
        <v>0</v>
      </c>
      <c r="DN136" s="186">
        <f t="shared" si="266"/>
        <v>0</v>
      </c>
      <c r="DO136" s="186">
        <f t="shared" si="266"/>
        <v>0</v>
      </c>
      <c r="DP136" s="186">
        <f t="shared" si="266"/>
        <v>0</v>
      </c>
      <c r="DQ136" s="186">
        <f t="shared" si="266"/>
        <v>0</v>
      </c>
      <c r="DR136" s="186">
        <f t="shared" si="266"/>
        <v>0</v>
      </c>
      <c r="DS136" s="186">
        <f t="shared" si="266"/>
        <v>0</v>
      </c>
      <c r="DT136" s="186">
        <f t="shared" si="266"/>
        <v>0</v>
      </c>
      <c r="DU136" s="186">
        <f t="shared" si="266"/>
        <v>0</v>
      </c>
      <c r="DV136" s="186">
        <f t="shared" si="266"/>
        <v>0</v>
      </c>
      <c r="DW136" s="186">
        <f t="shared" si="266"/>
        <v>0</v>
      </c>
      <c r="DX136" s="186">
        <f t="shared" si="266"/>
        <v>0</v>
      </c>
      <c r="DY136" s="186">
        <f t="shared" ref="DY136:EW136" si="267">SUM(DY137)</f>
        <v>0</v>
      </c>
      <c r="DZ136" s="186">
        <f t="shared" si="267"/>
        <v>0</v>
      </c>
      <c r="EA136" s="186">
        <f t="shared" si="267"/>
        <v>0</v>
      </c>
      <c r="EB136" s="186">
        <f t="shared" si="267"/>
        <v>0</v>
      </c>
      <c r="EC136" s="186">
        <f t="shared" si="267"/>
        <v>0</v>
      </c>
      <c r="ED136" s="186">
        <f t="shared" si="267"/>
        <v>0</v>
      </c>
      <c r="EE136" s="186">
        <f t="shared" si="267"/>
        <v>0</v>
      </c>
      <c r="EF136" s="186">
        <f t="shared" si="267"/>
        <v>0</v>
      </c>
      <c r="EG136" s="186">
        <f t="shared" si="267"/>
        <v>0</v>
      </c>
      <c r="EH136" s="186">
        <f t="shared" si="267"/>
        <v>0</v>
      </c>
      <c r="EI136" s="186">
        <f t="shared" si="267"/>
        <v>0</v>
      </c>
      <c r="EJ136" s="186">
        <f t="shared" si="267"/>
        <v>116699000</v>
      </c>
      <c r="EK136" s="186">
        <f t="shared" si="267"/>
        <v>0</v>
      </c>
      <c r="EL136" s="186">
        <f t="shared" si="267"/>
        <v>0</v>
      </c>
      <c r="EM136" s="186">
        <f t="shared" si="267"/>
        <v>0</v>
      </c>
      <c r="EN136" s="186">
        <f t="shared" si="267"/>
        <v>0</v>
      </c>
      <c r="EO136" s="186">
        <f t="shared" si="267"/>
        <v>0</v>
      </c>
      <c r="EP136" s="186">
        <f t="shared" si="267"/>
        <v>0</v>
      </c>
      <c r="EQ136" s="186">
        <f t="shared" si="267"/>
        <v>0</v>
      </c>
      <c r="ER136" s="186">
        <f t="shared" si="267"/>
        <v>0</v>
      </c>
      <c r="ES136" s="186">
        <f t="shared" si="267"/>
        <v>0</v>
      </c>
      <c r="ET136" s="186">
        <f t="shared" si="267"/>
        <v>0</v>
      </c>
      <c r="EU136" s="186">
        <f t="shared" si="267"/>
        <v>0</v>
      </c>
      <c r="EV136" s="186">
        <f t="shared" si="267"/>
        <v>0</v>
      </c>
      <c r="EW136" s="186">
        <f t="shared" si="267"/>
        <v>116699000</v>
      </c>
      <c r="EX136" s="186">
        <f t="shared" ref="EX136:GZ136" si="268">SUM(EX137)</f>
        <v>0</v>
      </c>
      <c r="EY136" s="186">
        <f t="shared" si="268"/>
        <v>0</v>
      </c>
      <c r="EZ136" s="186">
        <f t="shared" si="268"/>
        <v>0</v>
      </c>
      <c r="FA136" s="186">
        <f t="shared" si="268"/>
        <v>0</v>
      </c>
      <c r="FB136" s="601">
        <f t="shared" si="268"/>
        <v>0</v>
      </c>
      <c r="FC136" s="186">
        <f t="shared" si="268"/>
        <v>0</v>
      </c>
      <c r="FD136" s="186">
        <f t="shared" si="268"/>
        <v>0</v>
      </c>
      <c r="FE136" s="186">
        <f t="shared" si="268"/>
        <v>0</v>
      </c>
      <c r="FF136" s="186">
        <f t="shared" si="268"/>
        <v>0</v>
      </c>
      <c r="FG136" s="186">
        <f t="shared" si="268"/>
        <v>0</v>
      </c>
      <c r="FH136" s="186">
        <f t="shared" si="268"/>
        <v>20000000</v>
      </c>
      <c r="FI136" s="186">
        <f t="shared" si="268"/>
        <v>11000000</v>
      </c>
      <c r="FJ136" s="186">
        <f t="shared" si="268"/>
        <v>2000000</v>
      </c>
      <c r="FK136" s="186">
        <f t="shared" si="268"/>
        <v>0</v>
      </c>
      <c r="FL136" s="186">
        <f t="shared" si="268"/>
        <v>0</v>
      </c>
      <c r="FM136" s="186">
        <f t="shared" si="268"/>
        <v>10000000</v>
      </c>
      <c r="FN136" s="186">
        <f t="shared" si="268"/>
        <v>10000000</v>
      </c>
      <c r="FO136" s="186">
        <f t="shared" si="268"/>
        <v>10000000</v>
      </c>
      <c r="FP136" s="186">
        <f t="shared" si="268"/>
        <v>0</v>
      </c>
      <c r="FQ136" s="186">
        <f t="shared" si="268"/>
        <v>0</v>
      </c>
      <c r="FR136" s="186">
        <f t="shared" si="268"/>
        <v>0</v>
      </c>
      <c r="FS136" s="186">
        <f t="shared" si="268"/>
        <v>0</v>
      </c>
      <c r="FT136" s="186">
        <f t="shared" si="268"/>
        <v>0</v>
      </c>
      <c r="FU136" s="186">
        <f t="shared" si="268"/>
        <v>0</v>
      </c>
      <c r="FV136" s="186">
        <f t="shared" si="268"/>
        <v>0</v>
      </c>
      <c r="FW136" s="186">
        <f t="shared" si="268"/>
        <v>0</v>
      </c>
      <c r="FX136" s="186">
        <f t="shared" si="268"/>
        <v>0</v>
      </c>
      <c r="FY136" s="186">
        <f t="shared" si="268"/>
        <v>0</v>
      </c>
      <c r="FZ136" s="186">
        <f t="shared" si="268"/>
        <v>0</v>
      </c>
      <c r="GA136" s="186">
        <f t="shared" si="268"/>
        <v>0</v>
      </c>
      <c r="GB136" s="186">
        <f t="shared" si="268"/>
        <v>0</v>
      </c>
      <c r="GC136" s="186">
        <f t="shared" si="268"/>
        <v>0</v>
      </c>
      <c r="GD136" s="186">
        <f t="shared" si="268"/>
        <v>0</v>
      </c>
      <c r="GE136" s="186">
        <f t="shared" si="268"/>
        <v>0</v>
      </c>
      <c r="GF136" s="186">
        <f t="shared" si="268"/>
        <v>120199970</v>
      </c>
      <c r="GG136" s="186">
        <f t="shared" si="268"/>
        <v>0</v>
      </c>
      <c r="GH136" s="186">
        <f t="shared" si="268"/>
        <v>0</v>
      </c>
      <c r="GI136" s="186">
        <f t="shared" si="268"/>
        <v>0</v>
      </c>
      <c r="GJ136" s="186">
        <f t="shared" si="268"/>
        <v>0</v>
      </c>
      <c r="GK136" s="186">
        <f t="shared" si="268"/>
        <v>0</v>
      </c>
      <c r="GL136" s="186">
        <f t="shared" si="268"/>
        <v>0</v>
      </c>
      <c r="GM136" s="186">
        <f t="shared" si="268"/>
        <v>0</v>
      </c>
      <c r="GN136" s="186">
        <f t="shared" si="268"/>
        <v>0</v>
      </c>
      <c r="GO136" s="186">
        <f t="shared" si="268"/>
        <v>0</v>
      </c>
      <c r="GP136" s="186">
        <f t="shared" si="268"/>
        <v>0</v>
      </c>
      <c r="GQ136" s="186">
        <f t="shared" si="268"/>
        <v>0</v>
      </c>
      <c r="GR136" s="186">
        <f t="shared" si="268"/>
        <v>0</v>
      </c>
      <c r="GS136" s="186">
        <f t="shared" si="268"/>
        <v>0</v>
      </c>
      <c r="GT136" s="186">
        <f t="shared" si="268"/>
        <v>0</v>
      </c>
      <c r="GU136" s="186">
        <f t="shared" si="268"/>
        <v>120199970</v>
      </c>
      <c r="GV136" s="186">
        <f t="shared" si="268"/>
        <v>30000000</v>
      </c>
      <c r="GW136" s="186">
        <f t="shared" si="268"/>
        <v>21000000</v>
      </c>
      <c r="GX136" s="186">
        <f t="shared" si="268"/>
        <v>12000000</v>
      </c>
      <c r="GY136" s="186">
        <f t="shared" si="268"/>
        <v>0</v>
      </c>
      <c r="GZ136" s="186">
        <f t="shared" si="268"/>
        <v>460198970</v>
      </c>
    </row>
    <row r="137" spans="1:208" s="711" customFormat="1" ht="227.25" customHeight="1" x14ac:dyDescent="0.2">
      <c r="A137" s="703"/>
      <c r="B137" s="703"/>
      <c r="C137" s="682" t="s">
        <v>944</v>
      </c>
      <c r="D137" s="676" t="s">
        <v>952</v>
      </c>
      <c r="E137" s="682" t="s">
        <v>953</v>
      </c>
      <c r="F137" s="682" t="s">
        <v>954</v>
      </c>
      <c r="G137" s="897">
        <v>97</v>
      </c>
      <c r="H137" s="1005" t="s">
        <v>347</v>
      </c>
      <c r="I137" s="1012" t="s">
        <v>348</v>
      </c>
      <c r="J137" s="1012" t="s">
        <v>266</v>
      </c>
      <c r="K137" s="680">
        <v>1</v>
      </c>
      <c r="L137" s="866" t="s">
        <v>73</v>
      </c>
      <c r="M137" s="1013" t="s">
        <v>53</v>
      </c>
      <c r="N137" s="866">
        <v>52</v>
      </c>
      <c r="O137" s="866">
        <v>6.5</v>
      </c>
      <c r="P137" s="1014">
        <v>0</v>
      </c>
      <c r="Q137" s="866">
        <v>26</v>
      </c>
      <c r="R137" s="863">
        <v>33</v>
      </c>
      <c r="S137" s="1015">
        <v>37</v>
      </c>
      <c r="T137" s="866">
        <v>46</v>
      </c>
      <c r="U137" s="866"/>
      <c r="V137" s="867">
        <v>52</v>
      </c>
      <c r="W137" s="868">
        <v>52</v>
      </c>
      <c r="X137" s="866"/>
      <c r="Y137" s="867">
        <v>52</v>
      </c>
      <c r="Z137" s="1016">
        <f>BM137/BM136</f>
        <v>1</v>
      </c>
      <c r="AA137" s="897">
        <v>4</v>
      </c>
      <c r="AB137" s="897" t="s">
        <v>114</v>
      </c>
      <c r="AC137" s="1017"/>
      <c r="AD137" s="831"/>
      <c r="AE137" s="818"/>
      <c r="AF137" s="818"/>
      <c r="AG137" s="1017"/>
      <c r="AH137" s="831"/>
      <c r="AI137" s="831"/>
      <c r="AJ137" s="831"/>
      <c r="AK137" s="1017"/>
      <c r="AL137" s="831"/>
      <c r="AM137" s="831"/>
      <c r="AN137" s="831"/>
      <c r="AO137" s="1017"/>
      <c r="AP137" s="831"/>
      <c r="AQ137" s="831"/>
      <c r="AR137" s="831"/>
      <c r="AS137" s="1017"/>
      <c r="AT137" s="831"/>
      <c r="AU137" s="818"/>
      <c r="AV137" s="818"/>
      <c r="AW137" s="1017"/>
      <c r="AX137" s="831"/>
      <c r="AY137" s="831"/>
      <c r="AZ137" s="831"/>
      <c r="BA137" s="1017">
        <v>110000000</v>
      </c>
      <c r="BB137" s="831">
        <v>110000000</v>
      </c>
      <c r="BC137" s="831"/>
      <c r="BD137" s="831"/>
      <c r="BE137" s="1017"/>
      <c r="BF137" s="831"/>
      <c r="BG137" s="818"/>
      <c r="BH137" s="818"/>
      <c r="BI137" s="1017"/>
      <c r="BJ137" s="831"/>
      <c r="BK137" s="831"/>
      <c r="BL137" s="831"/>
      <c r="BM137" s="869">
        <f>+AC137+AG137+AK137+AO137+AS137+AW137+BA137+BE137+BI137</f>
        <v>110000000</v>
      </c>
      <c r="BN137" s="869">
        <f>AD137+AH137+AL137+AP137+AT137+AX137+BB137+BF137+BJ137</f>
        <v>110000000</v>
      </c>
      <c r="BO137" s="869">
        <f>AE137+AI137+AM137+AQ137+AU137+AY137+BC137+BG137+BK137</f>
        <v>0</v>
      </c>
      <c r="BP137" s="869">
        <f>AF137+AJ137+AN137+AR137+AV137+AZ137+BD137+BH137+BL137</f>
        <v>0</v>
      </c>
      <c r="BQ137" s="869"/>
      <c r="BR137" s="870"/>
      <c r="BS137" s="870"/>
      <c r="BT137" s="870"/>
      <c r="BU137" s="869"/>
      <c r="BV137" s="1018"/>
      <c r="BW137" s="869"/>
      <c r="BX137" s="869"/>
      <c r="BY137" s="869"/>
      <c r="BZ137" s="869"/>
      <c r="CA137" s="869">
        <v>43300000</v>
      </c>
      <c r="CB137" s="869">
        <v>8000000</v>
      </c>
      <c r="CC137" s="869">
        <v>8000000</v>
      </c>
      <c r="CD137" s="869"/>
      <c r="CE137" s="869"/>
      <c r="CF137" s="869"/>
      <c r="CG137" s="869"/>
      <c r="CH137" s="869"/>
      <c r="CI137" s="869"/>
      <c r="CJ137" s="869"/>
      <c r="CK137" s="869"/>
      <c r="CL137" s="869"/>
      <c r="CM137" s="869"/>
      <c r="CN137" s="869"/>
      <c r="CO137" s="869"/>
      <c r="CP137" s="869"/>
      <c r="CQ137" s="869">
        <v>113300000</v>
      </c>
      <c r="CR137" s="869"/>
      <c r="CS137" s="869"/>
      <c r="CT137" s="869"/>
      <c r="CU137" s="869"/>
      <c r="CV137" s="869"/>
      <c r="CW137" s="869"/>
      <c r="CX137" s="869"/>
      <c r="CY137" s="869"/>
      <c r="CZ137" s="869"/>
      <c r="DA137" s="869"/>
      <c r="DB137" s="869"/>
      <c r="DC137" s="869"/>
      <c r="DD137" s="869"/>
      <c r="DE137" s="869">
        <f>BQ137+BU137+BZ137+CE137+CI137+CM137+CQ137+CV137+DA137</f>
        <v>113300000</v>
      </c>
      <c r="DF137" s="869">
        <f>BR137+BV137+CA137+CF137+CJ137+CN137+CR137+CW137+DB137</f>
        <v>43300000</v>
      </c>
      <c r="DG137" s="869">
        <f>BS137+BW137+CB137+CG137+CK137+CO137+CS137+CX137+DC137</f>
        <v>8000000</v>
      </c>
      <c r="DH137" s="869">
        <f>BT137+BX137+CC137+CH137+CL137+CP137+CT137+CY137+DD137</f>
        <v>8000000</v>
      </c>
      <c r="DI137" s="869"/>
      <c r="DJ137" s="869"/>
      <c r="DK137" s="869"/>
      <c r="DL137" s="869"/>
      <c r="DM137" s="869"/>
      <c r="DN137" s="869"/>
      <c r="DO137" s="869"/>
      <c r="DP137" s="869"/>
      <c r="DQ137" s="869"/>
      <c r="DR137" s="869"/>
      <c r="DS137" s="869"/>
      <c r="DT137" s="869"/>
      <c r="DU137" s="869"/>
      <c r="DV137" s="869"/>
      <c r="DW137" s="869"/>
      <c r="DX137" s="870"/>
      <c r="DY137" s="870"/>
      <c r="DZ137" s="870"/>
      <c r="EA137" s="870"/>
      <c r="EB137" s="869"/>
      <c r="EC137" s="869"/>
      <c r="ED137" s="869"/>
      <c r="EE137" s="869"/>
      <c r="EF137" s="869"/>
      <c r="EG137" s="869"/>
      <c r="EH137" s="869"/>
      <c r="EI137" s="869"/>
      <c r="EJ137" s="869">
        <v>116699000</v>
      </c>
      <c r="EK137" s="869"/>
      <c r="EL137" s="869"/>
      <c r="EM137" s="869"/>
      <c r="EN137" s="869"/>
      <c r="EO137" s="869"/>
      <c r="EP137" s="869"/>
      <c r="EQ137" s="869"/>
      <c r="ER137" s="869"/>
      <c r="ES137" s="869"/>
      <c r="ET137" s="871"/>
      <c r="EU137" s="871"/>
      <c r="EV137" s="871"/>
      <c r="EW137" s="708">
        <f>DJ137+DN137+DS137+DX137+EB137+EF137+EJ137+EN137+ES137</f>
        <v>116699000</v>
      </c>
      <c r="EX137" s="819">
        <f>DK137+DO137+DT137+DY137+EC137+EG137+EK137+EO137+ET137</f>
        <v>0</v>
      </c>
      <c r="EY137" s="819">
        <f>DL137+DP137+DU137+DZ137+ED137+EH137+EL137+EP137+EU137</f>
        <v>0</v>
      </c>
      <c r="EZ137" s="819">
        <f>DM137+DQ137+DV137+EA137+EE137+EI137+EM137+EQ137+EV137</f>
        <v>0</v>
      </c>
      <c r="FA137" s="872"/>
      <c r="FB137" s="871"/>
      <c r="FC137" s="818"/>
      <c r="FD137" s="818"/>
      <c r="FE137" s="818"/>
      <c r="FF137" s="873"/>
      <c r="FG137" s="869"/>
      <c r="FH137" s="869">
        <v>20000000</v>
      </c>
      <c r="FI137" s="869">
        <v>11000000</v>
      </c>
      <c r="FJ137" s="869">
        <v>2000000</v>
      </c>
      <c r="FK137" s="869"/>
      <c r="FL137" s="869"/>
      <c r="FM137" s="869">
        <v>10000000</v>
      </c>
      <c r="FN137" s="869">
        <v>10000000</v>
      </c>
      <c r="FO137" s="869">
        <v>10000000</v>
      </c>
      <c r="FP137" s="869"/>
      <c r="FQ137" s="870"/>
      <c r="FR137" s="870"/>
      <c r="FS137" s="870"/>
      <c r="FT137" s="870"/>
      <c r="FU137" s="870"/>
      <c r="FV137" s="869"/>
      <c r="FW137" s="869"/>
      <c r="FX137" s="869"/>
      <c r="FY137" s="869"/>
      <c r="FZ137" s="869"/>
      <c r="GA137" s="869"/>
      <c r="GB137" s="869"/>
      <c r="GC137" s="869"/>
      <c r="GD137" s="869"/>
      <c r="GE137" s="869"/>
      <c r="GF137" s="869">
        <v>120199970</v>
      </c>
      <c r="GG137" s="869"/>
      <c r="GH137" s="869"/>
      <c r="GI137" s="869"/>
      <c r="GJ137" s="869"/>
      <c r="GK137" s="869"/>
      <c r="GL137" s="869"/>
      <c r="GM137" s="869"/>
      <c r="GN137" s="869"/>
      <c r="GO137" s="869"/>
      <c r="GP137" s="869"/>
      <c r="GQ137" s="871"/>
      <c r="GR137" s="871"/>
      <c r="GS137" s="871"/>
      <c r="GT137" s="871"/>
      <c r="GU137" s="708">
        <f>FB137+FG137+FL137+FQ137+FV137+GA137+GF137+GK137+GP137</f>
        <v>120199970</v>
      </c>
      <c r="GV137" s="708">
        <f>GQ137+GL137+GG137+GB137+FW137+FR137+FM137+FH137+FC137</f>
        <v>30000000</v>
      </c>
      <c r="GW137" s="708">
        <f>GR137+GM137+GH137+GC137+FX137+FS137+FN137+FI137+FD137</f>
        <v>21000000</v>
      </c>
      <c r="GX137" s="708">
        <f>GS137+GN137+GI137+GD137+FY137+FT137+FO137+FJ137+FE137</f>
        <v>12000000</v>
      </c>
      <c r="GY137" s="709">
        <f>GT137+GO137+GJ137+GE137+FZ137+FU137+FP137+FK137+FF137</f>
        <v>0</v>
      </c>
      <c r="GZ137" s="831">
        <f>BM137+DE137+EW137+GU137</f>
        <v>460198970</v>
      </c>
    </row>
    <row r="138" spans="1:208" ht="24.75" customHeight="1" x14ac:dyDescent="0.2">
      <c r="A138" s="326"/>
      <c r="B138" s="234">
        <v>7</v>
      </c>
      <c r="C138" s="324" t="s">
        <v>349</v>
      </c>
      <c r="D138" s="239"/>
      <c r="E138" s="239"/>
      <c r="F138" s="239"/>
      <c r="G138" s="238"/>
      <c r="H138" s="238"/>
      <c r="I138" s="238"/>
      <c r="J138" s="238"/>
      <c r="K138" s="238"/>
      <c r="L138" s="238"/>
      <c r="M138" s="238"/>
      <c r="N138" s="238"/>
      <c r="O138" s="238"/>
      <c r="P138" s="238"/>
      <c r="Q138" s="238"/>
      <c r="R138" s="238"/>
      <c r="S138" s="238"/>
      <c r="T138" s="238"/>
      <c r="U138" s="238"/>
      <c r="V138" s="238"/>
      <c r="W138" s="238"/>
      <c r="X138" s="238"/>
      <c r="Y138" s="241"/>
      <c r="Z138" s="238"/>
      <c r="AA138" s="238"/>
      <c r="AB138" s="238"/>
      <c r="AC138" s="50">
        <f t="shared" ref="AC138:CN138" si="269">AC139+AC145</f>
        <v>0</v>
      </c>
      <c r="AD138" s="50">
        <f t="shared" si="269"/>
        <v>0</v>
      </c>
      <c r="AE138" s="50">
        <f t="shared" si="269"/>
        <v>0</v>
      </c>
      <c r="AF138" s="50">
        <f t="shared" si="269"/>
        <v>0</v>
      </c>
      <c r="AG138" s="50">
        <f t="shared" si="269"/>
        <v>0</v>
      </c>
      <c r="AH138" s="50">
        <f t="shared" si="269"/>
        <v>0</v>
      </c>
      <c r="AI138" s="50">
        <f t="shared" si="269"/>
        <v>0</v>
      </c>
      <c r="AJ138" s="50">
        <f t="shared" si="269"/>
        <v>0</v>
      </c>
      <c r="AK138" s="50">
        <f t="shared" si="269"/>
        <v>80000000</v>
      </c>
      <c r="AL138" s="50">
        <f t="shared" si="269"/>
        <v>80000000</v>
      </c>
      <c r="AM138" s="50">
        <f t="shared" si="269"/>
        <v>988000</v>
      </c>
      <c r="AN138" s="50">
        <f t="shared" si="269"/>
        <v>988000</v>
      </c>
      <c r="AO138" s="50">
        <f t="shared" si="269"/>
        <v>0</v>
      </c>
      <c r="AP138" s="50">
        <f t="shared" si="269"/>
        <v>0</v>
      </c>
      <c r="AQ138" s="50">
        <f t="shared" si="269"/>
        <v>0</v>
      </c>
      <c r="AR138" s="50">
        <f t="shared" si="269"/>
        <v>0</v>
      </c>
      <c r="AS138" s="50">
        <f t="shared" si="269"/>
        <v>0</v>
      </c>
      <c r="AT138" s="50">
        <f t="shared" si="269"/>
        <v>0</v>
      </c>
      <c r="AU138" s="50">
        <f t="shared" si="269"/>
        <v>0</v>
      </c>
      <c r="AV138" s="50">
        <f t="shared" si="269"/>
        <v>0</v>
      </c>
      <c r="AW138" s="50">
        <f t="shared" si="269"/>
        <v>0</v>
      </c>
      <c r="AX138" s="50">
        <f t="shared" si="269"/>
        <v>0</v>
      </c>
      <c r="AY138" s="50">
        <f t="shared" si="269"/>
        <v>0</v>
      </c>
      <c r="AZ138" s="50">
        <f t="shared" si="269"/>
        <v>0</v>
      </c>
      <c r="BA138" s="50">
        <f t="shared" si="269"/>
        <v>200000000</v>
      </c>
      <c r="BB138" s="50">
        <f t="shared" si="269"/>
        <v>200000000</v>
      </c>
      <c r="BC138" s="50">
        <f t="shared" si="269"/>
        <v>124193139</v>
      </c>
      <c r="BD138" s="50">
        <f t="shared" si="269"/>
        <v>99500000</v>
      </c>
      <c r="BE138" s="50">
        <f t="shared" si="269"/>
        <v>0</v>
      </c>
      <c r="BF138" s="50">
        <f t="shared" si="269"/>
        <v>0</v>
      </c>
      <c r="BG138" s="50">
        <f t="shared" si="269"/>
        <v>0</v>
      </c>
      <c r="BH138" s="50">
        <f t="shared" si="269"/>
        <v>0</v>
      </c>
      <c r="BI138" s="50">
        <f t="shared" si="269"/>
        <v>4000000000</v>
      </c>
      <c r="BJ138" s="50">
        <f t="shared" si="269"/>
        <v>0</v>
      </c>
      <c r="BK138" s="50">
        <f t="shared" si="269"/>
        <v>0</v>
      </c>
      <c r="BL138" s="50">
        <f t="shared" si="269"/>
        <v>0</v>
      </c>
      <c r="BM138" s="50">
        <f t="shared" si="269"/>
        <v>4280000000</v>
      </c>
      <c r="BN138" s="50">
        <f t="shared" si="269"/>
        <v>280000000</v>
      </c>
      <c r="BO138" s="50">
        <f t="shared" si="269"/>
        <v>125181139</v>
      </c>
      <c r="BP138" s="50">
        <f t="shared" si="269"/>
        <v>100488000</v>
      </c>
      <c r="BQ138" s="50">
        <f t="shared" si="269"/>
        <v>0</v>
      </c>
      <c r="BR138" s="50">
        <f t="shared" si="269"/>
        <v>0</v>
      </c>
      <c r="BS138" s="50">
        <f t="shared" si="269"/>
        <v>0</v>
      </c>
      <c r="BT138" s="50">
        <f t="shared" si="269"/>
        <v>0</v>
      </c>
      <c r="BU138" s="50">
        <f t="shared" si="269"/>
        <v>0</v>
      </c>
      <c r="BV138" s="50">
        <f t="shared" si="269"/>
        <v>0</v>
      </c>
      <c r="BW138" s="50">
        <f t="shared" si="269"/>
        <v>0</v>
      </c>
      <c r="BX138" s="50">
        <f t="shared" si="269"/>
        <v>0</v>
      </c>
      <c r="BY138" s="50">
        <f t="shared" si="269"/>
        <v>0</v>
      </c>
      <c r="BZ138" s="50">
        <f t="shared" si="269"/>
        <v>90000000</v>
      </c>
      <c r="CA138" s="50">
        <f t="shared" si="269"/>
        <v>354268585</v>
      </c>
      <c r="CB138" s="50">
        <f t="shared" si="269"/>
        <v>123459945</v>
      </c>
      <c r="CC138" s="50">
        <f t="shared" si="269"/>
        <v>123459945</v>
      </c>
      <c r="CD138" s="50">
        <f t="shared" si="269"/>
        <v>0</v>
      </c>
      <c r="CE138" s="50">
        <f t="shared" si="269"/>
        <v>0</v>
      </c>
      <c r="CF138" s="50">
        <f t="shared" si="269"/>
        <v>0</v>
      </c>
      <c r="CG138" s="50">
        <f t="shared" si="269"/>
        <v>0</v>
      </c>
      <c r="CH138" s="50">
        <f t="shared" si="269"/>
        <v>0</v>
      </c>
      <c r="CI138" s="50">
        <f t="shared" si="269"/>
        <v>0</v>
      </c>
      <c r="CJ138" s="50">
        <f t="shared" si="269"/>
        <v>0</v>
      </c>
      <c r="CK138" s="50">
        <f t="shared" si="269"/>
        <v>0</v>
      </c>
      <c r="CL138" s="50">
        <f t="shared" si="269"/>
        <v>0</v>
      </c>
      <c r="CM138" s="50">
        <f t="shared" si="269"/>
        <v>0</v>
      </c>
      <c r="CN138" s="50">
        <f t="shared" si="269"/>
        <v>0</v>
      </c>
      <c r="CO138" s="50">
        <f t="shared" ref="CO138:EV138" si="270">CO139+CO145</f>
        <v>0</v>
      </c>
      <c r="CP138" s="50">
        <f t="shared" si="270"/>
        <v>0</v>
      </c>
      <c r="CQ138" s="50">
        <f t="shared" si="270"/>
        <v>206000000</v>
      </c>
      <c r="CR138" s="50">
        <f t="shared" si="270"/>
        <v>0</v>
      </c>
      <c r="CS138" s="50">
        <f t="shared" si="270"/>
        <v>0</v>
      </c>
      <c r="CT138" s="50">
        <f t="shared" si="270"/>
        <v>0</v>
      </c>
      <c r="CU138" s="50">
        <f t="shared" si="270"/>
        <v>20000000</v>
      </c>
      <c r="CV138" s="50">
        <f t="shared" si="270"/>
        <v>0</v>
      </c>
      <c r="CW138" s="50">
        <f t="shared" si="270"/>
        <v>0</v>
      </c>
      <c r="CX138" s="50">
        <f t="shared" si="270"/>
        <v>0</v>
      </c>
      <c r="CY138" s="50">
        <f t="shared" si="270"/>
        <v>0</v>
      </c>
      <c r="CZ138" s="50">
        <f t="shared" si="270"/>
        <v>0</v>
      </c>
      <c r="DA138" s="50">
        <f t="shared" si="270"/>
        <v>4000000000</v>
      </c>
      <c r="DB138" s="50">
        <f t="shared" si="270"/>
        <v>0</v>
      </c>
      <c r="DC138" s="50">
        <f t="shared" si="270"/>
        <v>0</v>
      </c>
      <c r="DD138" s="50">
        <f t="shared" si="270"/>
        <v>0</v>
      </c>
      <c r="DE138" s="50">
        <f t="shared" si="270"/>
        <v>4296000000</v>
      </c>
      <c r="DF138" s="50">
        <f t="shared" si="270"/>
        <v>354268585</v>
      </c>
      <c r="DG138" s="50">
        <f t="shared" si="270"/>
        <v>123459945</v>
      </c>
      <c r="DH138" s="50">
        <f t="shared" si="270"/>
        <v>123459945</v>
      </c>
      <c r="DI138" s="50">
        <f t="shared" si="270"/>
        <v>20000000</v>
      </c>
      <c r="DJ138" s="50">
        <f t="shared" si="270"/>
        <v>0</v>
      </c>
      <c r="DK138" s="50">
        <f t="shared" si="270"/>
        <v>0</v>
      </c>
      <c r="DL138" s="50">
        <f t="shared" si="270"/>
        <v>0</v>
      </c>
      <c r="DM138" s="50">
        <f t="shared" si="270"/>
        <v>0</v>
      </c>
      <c r="DN138" s="50">
        <f t="shared" si="270"/>
        <v>0</v>
      </c>
      <c r="DO138" s="50">
        <f t="shared" si="270"/>
        <v>1438827352</v>
      </c>
      <c r="DP138" s="50">
        <f t="shared" si="270"/>
        <v>1411473664</v>
      </c>
      <c r="DQ138" s="50">
        <f t="shared" si="270"/>
        <v>1411473664</v>
      </c>
      <c r="DR138" s="50">
        <f t="shared" si="270"/>
        <v>0</v>
      </c>
      <c r="DS138" s="50">
        <f t="shared" si="270"/>
        <v>40000000</v>
      </c>
      <c r="DT138" s="50">
        <f t="shared" si="270"/>
        <v>202511175</v>
      </c>
      <c r="DU138" s="50">
        <f t="shared" si="270"/>
        <v>175998664</v>
      </c>
      <c r="DV138" s="50">
        <f t="shared" si="270"/>
        <v>175998664</v>
      </c>
      <c r="DW138" s="50">
        <f t="shared" si="270"/>
        <v>0</v>
      </c>
      <c r="DX138" s="50">
        <f t="shared" si="270"/>
        <v>0</v>
      </c>
      <c r="DY138" s="50">
        <f t="shared" si="270"/>
        <v>0</v>
      </c>
      <c r="DZ138" s="50">
        <f t="shared" si="270"/>
        <v>0</v>
      </c>
      <c r="EA138" s="50">
        <f t="shared" si="270"/>
        <v>0</v>
      </c>
      <c r="EB138" s="50">
        <f t="shared" si="270"/>
        <v>0</v>
      </c>
      <c r="EC138" s="50">
        <f t="shared" si="270"/>
        <v>0</v>
      </c>
      <c r="ED138" s="50">
        <f t="shared" si="270"/>
        <v>0</v>
      </c>
      <c r="EE138" s="50">
        <f t="shared" si="270"/>
        <v>0</v>
      </c>
      <c r="EF138" s="50">
        <f t="shared" si="270"/>
        <v>0</v>
      </c>
      <c r="EG138" s="50">
        <f t="shared" si="270"/>
        <v>0</v>
      </c>
      <c r="EH138" s="50">
        <f t="shared" si="270"/>
        <v>0</v>
      </c>
      <c r="EI138" s="50">
        <f t="shared" si="270"/>
        <v>0</v>
      </c>
      <c r="EJ138" s="50">
        <f t="shared" si="270"/>
        <v>212180000</v>
      </c>
      <c r="EK138" s="50">
        <f t="shared" si="270"/>
        <v>0</v>
      </c>
      <c r="EL138" s="50">
        <f t="shared" si="270"/>
        <v>0</v>
      </c>
      <c r="EM138" s="50">
        <f t="shared" si="270"/>
        <v>0</v>
      </c>
      <c r="EN138" s="50">
        <f t="shared" si="270"/>
        <v>0</v>
      </c>
      <c r="EO138" s="50">
        <f t="shared" si="270"/>
        <v>0</v>
      </c>
      <c r="EP138" s="50">
        <f t="shared" si="270"/>
        <v>0</v>
      </c>
      <c r="EQ138" s="50">
        <f t="shared" si="270"/>
        <v>0</v>
      </c>
      <c r="ER138" s="50">
        <f t="shared" si="270"/>
        <v>0</v>
      </c>
      <c r="ES138" s="50">
        <f t="shared" si="270"/>
        <v>4000000000</v>
      </c>
      <c r="ET138" s="50">
        <f t="shared" si="270"/>
        <v>0</v>
      </c>
      <c r="EU138" s="50">
        <f t="shared" si="270"/>
        <v>0</v>
      </c>
      <c r="EV138" s="50">
        <f t="shared" si="270"/>
        <v>0</v>
      </c>
      <c r="EW138" s="50">
        <f t="shared" ref="EW138" si="271">EW139+EW145</f>
        <v>4252180000</v>
      </c>
      <c r="EX138" s="50">
        <f t="shared" ref="EX138:GZ138" si="272">EX139+EX145</f>
        <v>1641338527</v>
      </c>
      <c r="EY138" s="50">
        <f t="shared" si="272"/>
        <v>1587472328</v>
      </c>
      <c r="EZ138" s="50">
        <f t="shared" si="272"/>
        <v>1587472328</v>
      </c>
      <c r="FA138" s="50">
        <f t="shared" si="272"/>
        <v>0</v>
      </c>
      <c r="FB138" s="50">
        <f t="shared" si="272"/>
        <v>0</v>
      </c>
      <c r="FC138" s="50">
        <f t="shared" si="272"/>
        <v>0</v>
      </c>
      <c r="FD138" s="50">
        <f t="shared" si="272"/>
        <v>0</v>
      </c>
      <c r="FE138" s="50">
        <f t="shared" si="272"/>
        <v>0</v>
      </c>
      <c r="FF138" s="50">
        <f t="shared" si="272"/>
        <v>0</v>
      </c>
      <c r="FG138" s="50">
        <f t="shared" si="272"/>
        <v>0</v>
      </c>
      <c r="FH138" s="50">
        <f t="shared" si="272"/>
        <v>1664261887</v>
      </c>
      <c r="FI138" s="50">
        <f t="shared" si="272"/>
        <v>1498300520</v>
      </c>
      <c r="FJ138" s="50">
        <f t="shared" si="272"/>
        <v>1232100260</v>
      </c>
      <c r="FK138" s="50">
        <f t="shared" si="272"/>
        <v>0</v>
      </c>
      <c r="FL138" s="50">
        <f t="shared" si="272"/>
        <v>20000000</v>
      </c>
      <c r="FM138" s="50">
        <f t="shared" si="272"/>
        <v>190428884</v>
      </c>
      <c r="FN138" s="50">
        <f t="shared" si="272"/>
        <v>124160250</v>
      </c>
      <c r="FO138" s="50">
        <f t="shared" si="272"/>
        <v>109924250</v>
      </c>
      <c r="FP138" s="50">
        <f t="shared" si="272"/>
        <v>0</v>
      </c>
      <c r="FQ138" s="50">
        <f t="shared" si="272"/>
        <v>0</v>
      </c>
      <c r="FR138" s="50">
        <f t="shared" si="272"/>
        <v>150000000</v>
      </c>
      <c r="FS138" s="50">
        <f t="shared" si="272"/>
        <v>43960526</v>
      </c>
      <c r="FT138" s="50">
        <f t="shared" si="272"/>
        <v>43960526</v>
      </c>
      <c r="FU138" s="50">
        <f t="shared" si="272"/>
        <v>0</v>
      </c>
      <c r="FV138" s="50">
        <f t="shared" si="272"/>
        <v>0</v>
      </c>
      <c r="FW138" s="50">
        <f t="shared" si="272"/>
        <v>0</v>
      </c>
      <c r="FX138" s="50">
        <f t="shared" si="272"/>
        <v>0</v>
      </c>
      <c r="FY138" s="50">
        <f t="shared" si="272"/>
        <v>0</v>
      </c>
      <c r="FZ138" s="50">
        <f t="shared" si="272"/>
        <v>0</v>
      </c>
      <c r="GA138" s="50">
        <f t="shared" si="272"/>
        <v>0</v>
      </c>
      <c r="GB138" s="50">
        <f t="shared" si="272"/>
        <v>0</v>
      </c>
      <c r="GC138" s="50">
        <f t="shared" si="272"/>
        <v>0</v>
      </c>
      <c r="GD138" s="50">
        <f t="shared" si="272"/>
        <v>0</v>
      </c>
      <c r="GE138" s="50">
        <f t="shared" si="272"/>
        <v>0</v>
      </c>
      <c r="GF138" s="50">
        <f t="shared" si="272"/>
        <v>218545400.0033333</v>
      </c>
      <c r="GG138" s="50">
        <f t="shared" si="272"/>
        <v>0</v>
      </c>
      <c r="GH138" s="50">
        <f t="shared" si="272"/>
        <v>0</v>
      </c>
      <c r="GI138" s="50">
        <f t="shared" si="272"/>
        <v>0</v>
      </c>
      <c r="GJ138" s="50">
        <f t="shared" si="272"/>
        <v>0</v>
      </c>
      <c r="GK138" s="50">
        <f t="shared" si="272"/>
        <v>0</v>
      </c>
      <c r="GL138" s="50">
        <f t="shared" si="272"/>
        <v>0</v>
      </c>
      <c r="GM138" s="50">
        <f t="shared" si="272"/>
        <v>0</v>
      </c>
      <c r="GN138" s="50">
        <f t="shared" si="272"/>
        <v>0</v>
      </c>
      <c r="GO138" s="50">
        <f t="shared" si="272"/>
        <v>0</v>
      </c>
      <c r="GP138" s="50">
        <f t="shared" si="272"/>
        <v>5000000000</v>
      </c>
      <c r="GQ138" s="50">
        <f t="shared" si="272"/>
        <v>0</v>
      </c>
      <c r="GR138" s="50">
        <f t="shared" si="272"/>
        <v>0</v>
      </c>
      <c r="GS138" s="50">
        <f t="shared" si="272"/>
        <v>0</v>
      </c>
      <c r="GT138" s="50">
        <f t="shared" si="272"/>
        <v>0</v>
      </c>
      <c r="GU138" s="50">
        <f t="shared" si="272"/>
        <v>5238545400.0033331</v>
      </c>
      <c r="GV138" s="50">
        <f t="shared" si="272"/>
        <v>2004690771</v>
      </c>
      <c r="GW138" s="50">
        <f t="shared" si="272"/>
        <v>1666421296</v>
      </c>
      <c r="GX138" s="50">
        <f t="shared" si="272"/>
        <v>1385985036</v>
      </c>
      <c r="GY138" s="50">
        <f t="shared" si="272"/>
        <v>0</v>
      </c>
      <c r="GZ138" s="50">
        <f t="shared" si="272"/>
        <v>18066725400.003334</v>
      </c>
    </row>
    <row r="139" spans="1:208" ht="24.75" customHeight="1" x14ac:dyDescent="0.2">
      <c r="A139" s="326"/>
      <c r="B139" s="993"/>
      <c r="C139" s="246">
        <v>23</v>
      </c>
      <c r="D139" s="247" t="s">
        <v>350</v>
      </c>
      <c r="E139" s="294"/>
      <c r="F139" s="250"/>
      <c r="G139" s="249"/>
      <c r="H139" s="249"/>
      <c r="I139" s="249"/>
      <c r="J139" s="249"/>
      <c r="K139" s="249"/>
      <c r="L139" s="249"/>
      <c r="M139" s="249"/>
      <c r="N139" s="249"/>
      <c r="O139" s="249"/>
      <c r="P139" s="249"/>
      <c r="Q139" s="249"/>
      <c r="R139" s="249"/>
      <c r="S139" s="249"/>
      <c r="T139" s="249"/>
      <c r="U139" s="249"/>
      <c r="V139" s="249"/>
      <c r="W139" s="249"/>
      <c r="X139" s="249"/>
      <c r="Y139" s="296"/>
      <c r="Z139" s="249"/>
      <c r="AA139" s="249"/>
      <c r="AB139" s="249"/>
      <c r="AC139" s="51">
        <f t="shared" ref="AC139:BL139" si="273">SUM(AC140:AC144)</f>
        <v>0</v>
      </c>
      <c r="AD139" s="51">
        <f t="shared" si="273"/>
        <v>0</v>
      </c>
      <c r="AE139" s="51">
        <f t="shared" si="273"/>
        <v>0</v>
      </c>
      <c r="AF139" s="51">
        <f t="shared" si="273"/>
        <v>0</v>
      </c>
      <c r="AG139" s="51">
        <f t="shared" si="273"/>
        <v>0</v>
      </c>
      <c r="AH139" s="51">
        <f t="shared" si="273"/>
        <v>0</v>
      </c>
      <c r="AI139" s="51">
        <f t="shared" si="273"/>
        <v>0</v>
      </c>
      <c r="AJ139" s="51">
        <f t="shared" si="273"/>
        <v>0</v>
      </c>
      <c r="AK139" s="51">
        <f t="shared" si="273"/>
        <v>0</v>
      </c>
      <c r="AL139" s="51">
        <f t="shared" si="273"/>
        <v>0</v>
      </c>
      <c r="AM139" s="51">
        <f t="shared" si="273"/>
        <v>0</v>
      </c>
      <c r="AN139" s="51">
        <f t="shared" si="273"/>
        <v>0</v>
      </c>
      <c r="AO139" s="51">
        <f t="shared" si="273"/>
        <v>0</v>
      </c>
      <c r="AP139" s="51">
        <f t="shared" si="273"/>
        <v>0</v>
      </c>
      <c r="AQ139" s="51">
        <f t="shared" si="273"/>
        <v>0</v>
      </c>
      <c r="AR139" s="51">
        <f t="shared" si="273"/>
        <v>0</v>
      </c>
      <c r="AS139" s="51">
        <f t="shared" si="273"/>
        <v>0</v>
      </c>
      <c r="AT139" s="51">
        <f t="shared" si="273"/>
        <v>0</v>
      </c>
      <c r="AU139" s="51">
        <f t="shared" si="273"/>
        <v>0</v>
      </c>
      <c r="AV139" s="51">
        <f t="shared" si="273"/>
        <v>0</v>
      </c>
      <c r="AW139" s="51">
        <f t="shared" si="273"/>
        <v>0</v>
      </c>
      <c r="AX139" s="51">
        <f t="shared" si="273"/>
        <v>0</v>
      </c>
      <c r="AY139" s="51">
        <f t="shared" si="273"/>
        <v>0</v>
      </c>
      <c r="AZ139" s="51">
        <f t="shared" si="273"/>
        <v>0</v>
      </c>
      <c r="BA139" s="51">
        <f t="shared" si="273"/>
        <v>100000000</v>
      </c>
      <c r="BB139" s="51">
        <f t="shared" si="273"/>
        <v>100000000</v>
      </c>
      <c r="BC139" s="51">
        <f t="shared" si="273"/>
        <v>94193139</v>
      </c>
      <c r="BD139" s="51">
        <f t="shared" si="273"/>
        <v>89500000</v>
      </c>
      <c r="BE139" s="51">
        <f t="shared" si="273"/>
        <v>0</v>
      </c>
      <c r="BF139" s="51">
        <f t="shared" si="273"/>
        <v>0</v>
      </c>
      <c r="BG139" s="51">
        <f t="shared" si="273"/>
        <v>0</v>
      </c>
      <c r="BH139" s="51">
        <f t="shared" si="273"/>
        <v>0</v>
      </c>
      <c r="BI139" s="51">
        <f t="shared" si="273"/>
        <v>4000000000</v>
      </c>
      <c r="BJ139" s="51">
        <f t="shared" si="273"/>
        <v>0</v>
      </c>
      <c r="BK139" s="51">
        <f t="shared" si="273"/>
        <v>0</v>
      </c>
      <c r="BL139" s="51">
        <f t="shared" si="273"/>
        <v>0</v>
      </c>
      <c r="BM139" s="51">
        <f t="shared" ref="BM139:DX139" si="274">SUM(BM140:BM144)</f>
        <v>4100000000</v>
      </c>
      <c r="BN139" s="51">
        <f t="shared" si="274"/>
        <v>100000000</v>
      </c>
      <c r="BO139" s="51">
        <f t="shared" si="274"/>
        <v>94193139</v>
      </c>
      <c r="BP139" s="51">
        <f t="shared" si="274"/>
        <v>89500000</v>
      </c>
      <c r="BQ139" s="51">
        <f t="shared" si="274"/>
        <v>0</v>
      </c>
      <c r="BR139" s="51">
        <f t="shared" si="274"/>
        <v>0</v>
      </c>
      <c r="BS139" s="51">
        <f t="shared" si="274"/>
        <v>0</v>
      </c>
      <c r="BT139" s="51">
        <f t="shared" si="274"/>
        <v>0</v>
      </c>
      <c r="BU139" s="51">
        <f t="shared" si="274"/>
        <v>0</v>
      </c>
      <c r="BV139" s="51">
        <f t="shared" si="274"/>
        <v>0</v>
      </c>
      <c r="BW139" s="51">
        <f t="shared" si="274"/>
        <v>0</v>
      </c>
      <c r="BX139" s="51">
        <f t="shared" si="274"/>
        <v>0</v>
      </c>
      <c r="BY139" s="51">
        <f t="shared" si="274"/>
        <v>0</v>
      </c>
      <c r="BZ139" s="51">
        <f t="shared" si="274"/>
        <v>0</v>
      </c>
      <c r="CA139" s="51">
        <f t="shared" si="274"/>
        <v>15150000</v>
      </c>
      <c r="CB139" s="51">
        <f t="shared" si="274"/>
        <v>15150000</v>
      </c>
      <c r="CC139" s="51">
        <f t="shared" si="274"/>
        <v>15150000</v>
      </c>
      <c r="CD139" s="51">
        <f t="shared" si="274"/>
        <v>0</v>
      </c>
      <c r="CE139" s="51">
        <f t="shared" si="274"/>
        <v>0</v>
      </c>
      <c r="CF139" s="51">
        <f t="shared" si="274"/>
        <v>0</v>
      </c>
      <c r="CG139" s="51">
        <f t="shared" si="274"/>
        <v>0</v>
      </c>
      <c r="CH139" s="51">
        <f t="shared" si="274"/>
        <v>0</v>
      </c>
      <c r="CI139" s="51">
        <f t="shared" si="274"/>
        <v>0</v>
      </c>
      <c r="CJ139" s="51">
        <f t="shared" si="274"/>
        <v>0</v>
      </c>
      <c r="CK139" s="51">
        <f t="shared" si="274"/>
        <v>0</v>
      </c>
      <c r="CL139" s="51">
        <f t="shared" si="274"/>
        <v>0</v>
      </c>
      <c r="CM139" s="51">
        <f t="shared" si="274"/>
        <v>0</v>
      </c>
      <c r="CN139" s="51">
        <f t="shared" si="274"/>
        <v>0</v>
      </c>
      <c r="CO139" s="51">
        <f t="shared" si="274"/>
        <v>0</v>
      </c>
      <c r="CP139" s="51">
        <f t="shared" si="274"/>
        <v>0</v>
      </c>
      <c r="CQ139" s="51">
        <f t="shared" si="274"/>
        <v>103000000</v>
      </c>
      <c r="CR139" s="51">
        <f t="shared" si="274"/>
        <v>0</v>
      </c>
      <c r="CS139" s="51">
        <f t="shared" si="274"/>
        <v>0</v>
      </c>
      <c r="CT139" s="51">
        <f t="shared" si="274"/>
        <v>0</v>
      </c>
      <c r="CU139" s="51">
        <f t="shared" si="274"/>
        <v>0</v>
      </c>
      <c r="CV139" s="51">
        <f t="shared" si="274"/>
        <v>0</v>
      </c>
      <c r="CW139" s="51">
        <f t="shared" si="274"/>
        <v>0</v>
      </c>
      <c r="CX139" s="51">
        <f t="shared" si="274"/>
        <v>0</v>
      </c>
      <c r="CY139" s="51">
        <f t="shared" si="274"/>
        <v>0</v>
      </c>
      <c r="CZ139" s="51">
        <f t="shared" si="274"/>
        <v>0</v>
      </c>
      <c r="DA139" s="51">
        <f t="shared" si="274"/>
        <v>4000000000</v>
      </c>
      <c r="DB139" s="51">
        <f t="shared" si="274"/>
        <v>0</v>
      </c>
      <c r="DC139" s="51">
        <f t="shared" si="274"/>
        <v>0</v>
      </c>
      <c r="DD139" s="51">
        <f t="shared" si="274"/>
        <v>0</v>
      </c>
      <c r="DE139" s="51">
        <f t="shared" si="274"/>
        <v>4103000000</v>
      </c>
      <c r="DF139" s="51">
        <f t="shared" si="274"/>
        <v>15150000</v>
      </c>
      <c r="DG139" s="51">
        <f t="shared" si="274"/>
        <v>15150000</v>
      </c>
      <c r="DH139" s="51">
        <f t="shared" si="274"/>
        <v>15150000</v>
      </c>
      <c r="DI139" s="51">
        <f t="shared" si="274"/>
        <v>0</v>
      </c>
      <c r="DJ139" s="51">
        <f t="shared" si="274"/>
        <v>0</v>
      </c>
      <c r="DK139" s="51">
        <f t="shared" si="274"/>
        <v>0</v>
      </c>
      <c r="DL139" s="51">
        <f t="shared" si="274"/>
        <v>0</v>
      </c>
      <c r="DM139" s="51">
        <f t="shared" si="274"/>
        <v>0</v>
      </c>
      <c r="DN139" s="51">
        <f t="shared" si="274"/>
        <v>0</v>
      </c>
      <c r="DO139" s="51">
        <f t="shared" si="274"/>
        <v>44075000</v>
      </c>
      <c r="DP139" s="51">
        <f t="shared" si="274"/>
        <v>44075000</v>
      </c>
      <c r="DQ139" s="51">
        <f t="shared" si="274"/>
        <v>44075000</v>
      </c>
      <c r="DR139" s="51">
        <f t="shared" si="274"/>
        <v>0</v>
      </c>
      <c r="DS139" s="51">
        <f t="shared" si="274"/>
        <v>0</v>
      </c>
      <c r="DT139" s="51">
        <f t="shared" si="274"/>
        <v>0</v>
      </c>
      <c r="DU139" s="51">
        <f t="shared" si="274"/>
        <v>0</v>
      </c>
      <c r="DV139" s="51">
        <f t="shared" si="274"/>
        <v>0</v>
      </c>
      <c r="DW139" s="51">
        <f t="shared" si="274"/>
        <v>0</v>
      </c>
      <c r="DX139" s="51">
        <f t="shared" si="274"/>
        <v>0</v>
      </c>
      <c r="DY139" s="51">
        <f t="shared" ref="DY139:EW139" si="275">SUM(DY140:DY144)</f>
        <v>0</v>
      </c>
      <c r="DZ139" s="51">
        <f t="shared" si="275"/>
        <v>0</v>
      </c>
      <c r="EA139" s="51">
        <f t="shared" si="275"/>
        <v>0</v>
      </c>
      <c r="EB139" s="51">
        <f t="shared" si="275"/>
        <v>0</v>
      </c>
      <c r="EC139" s="51">
        <f t="shared" si="275"/>
        <v>0</v>
      </c>
      <c r="ED139" s="51">
        <f t="shared" si="275"/>
        <v>0</v>
      </c>
      <c r="EE139" s="51">
        <f t="shared" si="275"/>
        <v>0</v>
      </c>
      <c r="EF139" s="51">
        <f t="shared" si="275"/>
        <v>0</v>
      </c>
      <c r="EG139" s="51">
        <f t="shared" si="275"/>
        <v>0</v>
      </c>
      <c r="EH139" s="51">
        <f t="shared" si="275"/>
        <v>0</v>
      </c>
      <c r="EI139" s="51">
        <f t="shared" si="275"/>
        <v>0</v>
      </c>
      <c r="EJ139" s="51">
        <f t="shared" si="275"/>
        <v>106090000</v>
      </c>
      <c r="EK139" s="51">
        <f t="shared" si="275"/>
        <v>0</v>
      </c>
      <c r="EL139" s="51">
        <f t="shared" si="275"/>
        <v>0</v>
      </c>
      <c r="EM139" s="51">
        <f t="shared" si="275"/>
        <v>0</v>
      </c>
      <c r="EN139" s="51">
        <f t="shared" si="275"/>
        <v>0</v>
      </c>
      <c r="EO139" s="51">
        <f t="shared" si="275"/>
        <v>0</v>
      </c>
      <c r="EP139" s="51">
        <f t="shared" si="275"/>
        <v>0</v>
      </c>
      <c r="EQ139" s="51">
        <f t="shared" si="275"/>
        <v>0</v>
      </c>
      <c r="ER139" s="51">
        <f t="shared" si="275"/>
        <v>0</v>
      </c>
      <c r="ES139" s="51">
        <f t="shared" si="275"/>
        <v>4000000000</v>
      </c>
      <c r="ET139" s="51">
        <f t="shared" si="275"/>
        <v>0</v>
      </c>
      <c r="EU139" s="51">
        <f t="shared" si="275"/>
        <v>0</v>
      </c>
      <c r="EV139" s="51">
        <f t="shared" si="275"/>
        <v>0</v>
      </c>
      <c r="EW139" s="51">
        <f t="shared" si="275"/>
        <v>4106090000</v>
      </c>
      <c r="EX139" s="51">
        <f t="shared" ref="EX139:GZ139" si="276">SUM(EX140:EX144)</f>
        <v>44075000</v>
      </c>
      <c r="EY139" s="51">
        <f t="shared" si="276"/>
        <v>44075000</v>
      </c>
      <c r="EZ139" s="51">
        <f t="shared" si="276"/>
        <v>44075000</v>
      </c>
      <c r="FA139" s="51">
        <f t="shared" si="276"/>
        <v>0</v>
      </c>
      <c r="FB139" s="51">
        <f t="shared" si="276"/>
        <v>0</v>
      </c>
      <c r="FC139" s="51">
        <f t="shared" si="276"/>
        <v>0</v>
      </c>
      <c r="FD139" s="51">
        <f t="shared" si="276"/>
        <v>0</v>
      </c>
      <c r="FE139" s="51">
        <f t="shared" si="276"/>
        <v>0</v>
      </c>
      <c r="FF139" s="51">
        <f t="shared" si="276"/>
        <v>0</v>
      </c>
      <c r="FG139" s="51">
        <f t="shared" si="276"/>
        <v>0</v>
      </c>
      <c r="FH139" s="51">
        <f t="shared" si="276"/>
        <v>0</v>
      </c>
      <c r="FI139" s="51">
        <f t="shared" si="276"/>
        <v>0</v>
      </c>
      <c r="FJ139" s="51">
        <f t="shared" si="276"/>
        <v>0</v>
      </c>
      <c r="FK139" s="51">
        <f t="shared" si="276"/>
        <v>0</v>
      </c>
      <c r="FL139" s="51">
        <f t="shared" si="276"/>
        <v>0</v>
      </c>
      <c r="FM139" s="51">
        <f t="shared" si="276"/>
        <v>0</v>
      </c>
      <c r="FN139" s="51">
        <f t="shared" si="276"/>
        <v>0</v>
      </c>
      <c r="FO139" s="51">
        <f t="shared" si="276"/>
        <v>0</v>
      </c>
      <c r="FP139" s="51">
        <f t="shared" si="276"/>
        <v>0</v>
      </c>
      <c r="FQ139" s="51">
        <f t="shared" si="276"/>
        <v>0</v>
      </c>
      <c r="FR139" s="51">
        <f t="shared" si="276"/>
        <v>0</v>
      </c>
      <c r="FS139" s="51">
        <f t="shared" si="276"/>
        <v>0</v>
      </c>
      <c r="FT139" s="51">
        <f t="shared" si="276"/>
        <v>0</v>
      </c>
      <c r="FU139" s="51">
        <f t="shared" si="276"/>
        <v>0</v>
      </c>
      <c r="FV139" s="51">
        <f t="shared" si="276"/>
        <v>0</v>
      </c>
      <c r="FW139" s="51">
        <f t="shared" si="276"/>
        <v>0</v>
      </c>
      <c r="FX139" s="51">
        <f t="shared" si="276"/>
        <v>0</v>
      </c>
      <c r="FY139" s="51">
        <f t="shared" si="276"/>
        <v>0</v>
      </c>
      <c r="FZ139" s="51">
        <f t="shared" si="276"/>
        <v>0</v>
      </c>
      <c r="GA139" s="51">
        <f t="shared" si="276"/>
        <v>0</v>
      </c>
      <c r="GB139" s="51">
        <f t="shared" si="276"/>
        <v>0</v>
      </c>
      <c r="GC139" s="51">
        <f t="shared" si="276"/>
        <v>0</v>
      </c>
      <c r="GD139" s="51">
        <f t="shared" si="276"/>
        <v>0</v>
      </c>
      <c r="GE139" s="51">
        <f t="shared" si="276"/>
        <v>0</v>
      </c>
      <c r="GF139" s="51">
        <f t="shared" si="276"/>
        <v>109272700</v>
      </c>
      <c r="GG139" s="51">
        <f t="shared" si="276"/>
        <v>0</v>
      </c>
      <c r="GH139" s="51">
        <f t="shared" si="276"/>
        <v>0</v>
      </c>
      <c r="GI139" s="51">
        <f t="shared" si="276"/>
        <v>0</v>
      </c>
      <c r="GJ139" s="51">
        <f t="shared" si="276"/>
        <v>0</v>
      </c>
      <c r="GK139" s="51">
        <f t="shared" si="276"/>
        <v>0</v>
      </c>
      <c r="GL139" s="51">
        <f t="shared" si="276"/>
        <v>0</v>
      </c>
      <c r="GM139" s="51">
        <f t="shared" si="276"/>
        <v>0</v>
      </c>
      <c r="GN139" s="51">
        <f t="shared" si="276"/>
        <v>0</v>
      </c>
      <c r="GO139" s="51">
        <f t="shared" si="276"/>
        <v>0</v>
      </c>
      <c r="GP139" s="51">
        <f t="shared" si="276"/>
        <v>5000000000</v>
      </c>
      <c r="GQ139" s="51">
        <f t="shared" si="276"/>
        <v>0</v>
      </c>
      <c r="GR139" s="51">
        <f t="shared" si="276"/>
        <v>0</v>
      </c>
      <c r="GS139" s="51">
        <f t="shared" si="276"/>
        <v>0</v>
      </c>
      <c r="GT139" s="51">
        <f t="shared" si="276"/>
        <v>0</v>
      </c>
      <c r="GU139" s="51">
        <f t="shared" si="276"/>
        <v>5109272700</v>
      </c>
      <c r="GV139" s="51">
        <f t="shared" si="276"/>
        <v>0</v>
      </c>
      <c r="GW139" s="51">
        <f t="shared" si="276"/>
        <v>0</v>
      </c>
      <c r="GX139" s="51">
        <f t="shared" si="276"/>
        <v>0</v>
      </c>
      <c r="GY139" s="51">
        <f t="shared" si="276"/>
        <v>0</v>
      </c>
      <c r="GZ139" s="51">
        <f t="shared" si="276"/>
        <v>17418362700</v>
      </c>
    </row>
    <row r="140" spans="1:208" ht="83.25" customHeight="1" x14ac:dyDescent="0.2">
      <c r="A140" s="326"/>
      <c r="B140" s="326"/>
      <c r="C140" s="456">
        <v>16</v>
      </c>
      <c r="D140" s="721" t="s">
        <v>337</v>
      </c>
      <c r="E140" s="717">
        <v>45</v>
      </c>
      <c r="F140" s="717">
        <v>90</v>
      </c>
      <c r="G140" s="260">
        <v>98</v>
      </c>
      <c r="H140" s="261" t="s">
        <v>351</v>
      </c>
      <c r="I140" s="408" t="s">
        <v>352</v>
      </c>
      <c r="J140" s="386" t="s">
        <v>266</v>
      </c>
      <c r="K140" s="398">
        <v>1</v>
      </c>
      <c r="L140" s="391" t="s">
        <v>58</v>
      </c>
      <c r="M140" s="398">
        <v>60</v>
      </c>
      <c r="N140" s="392">
        <v>55</v>
      </c>
      <c r="O140" s="392">
        <v>55</v>
      </c>
      <c r="P140" s="393">
        <v>97</v>
      </c>
      <c r="Q140" s="392">
        <v>55</v>
      </c>
      <c r="R140" s="268"/>
      <c r="S140" s="394">
        <v>20</v>
      </c>
      <c r="T140" s="392">
        <v>55</v>
      </c>
      <c r="U140" s="392"/>
      <c r="V140" s="393">
        <v>160</v>
      </c>
      <c r="W140" s="409">
        <v>55</v>
      </c>
      <c r="X140" s="391"/>
      <c r="Y140" s="632">
        <v>160</v>
      </c>
      <c r="Z140" s="390">
        <f>BM140/$BM$139</f>
        <v>4.8780487804878049E-3</v>
      </c>
      <c r="AA140" s="265">
        <v>4</v>
      </c>
      <c r="AB140" s="327" t="s">
        <v>114</v>
      </c>
      <c r="AC140" s="56"/>
      <c r="AD140" s="55"/>
      <c r="AE140" s="54"/>
      <c r="AF140" s="54"/>
      <c r="AG140" s="56"/>
      <c r="AH140" s="55"/>
      <c r="AI140" s="55"/>
      <c r="AJ140" s="55"/>
      <c r="AK140" s="56"/>
      <c r="AL140" s="55"/>
      <c r="AM140" s="55"/>
      <c r="AN140" s="55"/>
      <c r="AO140" s="56"/>
      <c r="AP140" s="55"/>
      <c r="AQ140" s="55"/>
      <c r="AR140" s="55"/>
      <c r="AS140" s="56"/>
      <c r="AT140" s="55"/>
      <c r="AU140" s="54"/>
      <c r="AV140" s="54"/>
      <c r="AW140" s="56"/>
      <c r="AX140" s="55"/>
      <c r="AY140" s="55"/>
      <c r="AZ140" s="55"/>
      <c r="BA140" s="57">
        <v>20000000</v>
      </c>
      <c r="BB140" s="55">
        <v>17500000</v>
      </c>
      <c r="BC140" s="58">
        <v>17500000</v>
      </c>
      <c r="BD140" s="58">
        <v>17500000</v>
      </c>
      <c r="BE140" s="56"/>
      <c r="BF140" s="55"/>
      <c r="BG140" s="54"/>
      <c r="BH140" s="54"/>
      <c r="BI140" s="56"/>
      <c r="BJ140" s="55"/>
      <c r="BK140" s="55"/>
      <c r="BL140" s="55"/>
      <c r="BM140" s="53">
        <f>+AC140+AG140+AK140+AO140+AS140+AW140+BA140+BE140+BI140</f>
        <v>20000000</v>
      </c>
      <c r="BN140" s="54">
        <f t="shared" ref="BN140:BP144" si="277">AD140+AH140+AL140+AP140+AT140+AX140+BB140+BF140+BJ140</f>
        <v>17500000</v>
      </c>
      <c r="BO140" s="54">
        <f t="shared" si="277"/>
        <v>17500000</v>
      </c>
      <c r="BP140" s="54">
        <f t="shared" si="277"/>
        <v>17500000</v>
      </c>
      <c r="BQ140" s="83"/>
      <c r="BR140" s="83"/>
      <c r="BS140" s="83"/>
      <c r="BT140" s="83"/>
      <c r="BU140" s="83"/>
      <c r="BV140" s="413"/>
      <c r="BW140" s="83"/>
      <c r="BX140" s="83"/>
      <c r="BY140" s="83"/>
      <c r="BZ140" s="83"/>
      <c r="CA140" s="83"/>
      <c r="CB140" s="83"/>
      <c r="CC140" s="83"/>
      <c r="CD140" s="83"/>
      <c r="CE140" s="83"/>
      <c r="CF140" s="83"/>
      <c r="CG140" s="83"/>
      <c r="CH140" s="83"/>
      <c r="CI140" s="83"/>
      <c r="CJ140" s="83"/>
      <c r="CK140" s="83"/>
      <c r="CL140" s="83"/>
      <c r="CM140" s="83"/>
      <c r="CN140" s="83"/>
      <c r="CO140" s="83"/>
      <c r="CP140" s="83"/>
      <c r="CQ140" s="83">
        <v>20600000</v>
      </c>
      <c r="CR140" s="83"/>
      <c r="CS140" s="83"/>
      <c r="CT140" s="83"/>
      <c r="CU140" s="83"/>
      <c r="CV140" s="83"/>
      <c r="CW140" s="83"/>
      <c r="CX140" s="83"/>
      <c r="CY140" s="83"/>
      <c r="CZ140" s="83"/>
      <c r="DA140" s="83"/>
      <c r="DB140" s="83"/>
      <c r="DC140" s="83"/>
      <c r="DD140" s="83"/>
      <c r="DE140" s="81">
        <f t="shared" ref="DE140:DH144" si="278">BQ140+BU140+BZ140+CE140+CI140+CM140+CQ140+CV140+DA140</f>
        <v>20600000</v>
      </c>
      <c r="DF140" s="95">
        <f t="shared" si="278"/>
        <v>0</v>
      </c>
      <c r="DG140" s="95">
        <f t="shared" si="278"/>
        <v>0</v>
      </c>
      <c r="DH140" s="95">
        <f t="shared" si="278"/>
        <v>0</v>
      </c>
      <c r="DI140" s="95"/>
      <c r="DJ140" s="83"/>
      <c r="DK140" s="82"/>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v>21200000</v>
      </c>
      <c r="EK140" s="83"/>
      <c r="EL140" s="83"/>
      <c r="EM140" s="83"/>
      <c r="EN140" s="83"/>
      <c r="EO140" s="83"/>
      <c r="EP140" s="83"/>
      <c r="EQ140" s="83"/>
      <c r="ER140" s="83"/>
      <c r="ES140" s="83"/>
      <c r="ET140" s="83"/>
      <c r="EU140" s="83"/>
      <c r="EV140" s="83"/>
      <c r="EW140" s="81">
        <f t="shared" ref="EW140:EX144" si="279">DJ140+DN140+DS140+DX140+EB140+EF140+EJ140+EN140+ES140</f>
        <v>21200000</v>
      </c>
      <c r="EX140" s="86">
        <f t="shared" si="279"/>
        <v>0</v>
      </c>
      <c r="EY140" s="86">
        <f t="shared" ref="EY140:EZ144" si="280">DL140+DP140+DU140+DZ140+ED140+EH140+EL140+EP140+EU140</f>
        <v>0</v>
      </c>
      <c r="EZ140" s="86">
        <f t="shared" si="280"/>
        <v>0</v>
      </c>
      <c r="FA140" s="176"/>
      <c r="FB140" s="83"/>
      <c r="FC140" s="84"/>
      <c r="FD140" s="84"/>
      <c r="FE140" s="84"/>
      <c r="FF140" s="140"/>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v>21850000</v>
      </c>
      <c r="GG140" s="83"/>
      <c r="GH140" s="83"/>
      <c r="GI140" s="83"/>
      <c r="GJ140" s="83"/>
      <c r="GK140" s="83"/>
      <c r="GL140" s="83"/>
      <c r="GM140" s="83"/>
      <c r="GN140" s="83"/>
      <c r="GO140" s="83"/>
      <c r="GP140" s="83"/>
      <c r="GQ140" s="83"/>
      <c r="GR140" s="83"/>
      <c r="GS140" s="83"/>
      <c r="GT140" s="83"/>
      <c r="GU140" s="81">
        <f>FB140+FG140+FL140+FQ140+FV140+GA140+GF140+GK140+GP140</f>
        <v>21850000</v>
      </c>
      <c r="GV140" s="81">
        <f t="shared" ref="GV140:GY144" si="281">GQ140+GL140+GG140+GB140+FW140+FR140+FM140+FH140+FC140</f>
        <v>0</v>
      </c>
      <c r="GW140" s="81">
        <f t="shared" si="281"/>
        <v>0</v>
      </c>
      <c r="GX140" s="81">
        <f t="shared" si="281"/>
        <v>0</v>
      </c>
      <c r="GY140" s="673">
        <f t="shared" si="281"/>
        <v>0</v>
      </c>
      <c r="GZ140" s="67">
        <f>BM140+DE140+EW140+GU140</f>
        <v>83650000</v>
      </c>
    </row>
    <row r="141" spans="1:208" ht="78.75" customHeight="1" x14ac:dyDescent="0.2">
      <c r="A141" s="326"/>
      <c r="B141" s="331"/>
      <c r="C141" s="332"/>
      <c r="D141" s="414"/>
      <c r="E141" s="334"/>
      <c r="F141" s="334"/>
      <c r="G141" s="265">
        <v>99</v>
      </c>
      <c r="H141" s="261" t="s">
        <v>353</v>
      </c>
      <c r="I141" s="408" t="s">
        <v>354</v>
      </c>
      <c r="J141" s="386" t="s">
        <v>266</v>
      </c>
      <c r="K141" s="398">
        <v>1</v>
      </c>
      <c r="L141" s="391" t="s">
        <v>58</v>
      </c>
      <c r="M141" s="398">
        <v>76</v>
      </c>
      <c r="N141" s="392">
        <v>150</v>
      </c>
      <c r="O141" s="392">
        <v>150</v>
      </c>
      <c r="P141" s="393">
        <v>150</v>
      </c>
      <c r="Q141" s="392">
        <v>150</v>
      </c>
      <c r="R141" s="268"/>
      <c r="S141" s="396">
        <v>112</v>
      </c>
      <c r="T141" s="392">
        <v>150</v>
      </c>
      <c r="U141" s="392"/>
      <c r="V141" s="393">
        <v>750</v>
      </c>
      <c r="W141" s="409">
        <v>150</v>
      </c>
      <c r="X141" s="391"/>
      <c r="Y141" s="632">
        <v>750</v>
      </c>
      <c r="Z141" s="390">
        <f>BM141/$BM$139</f>
        <v>9.7560975609756097E-3</v>
      </c>
      <c r="AA141" s="265">
        <v>4</v>
      </c>
      <c r="AB141" s="327" t="s">
        <v>114</v>
      </c>
      <c r="AC141" s="56"/>
      <c r="AD141" s="55"/>
      <c r="AE141" s="54"/>
      <c r="AF141" s="54"/>
      <c r="AG141" s="56"/>
      <c r="AH141" s="55"/>
      <c r="AI141" s="55"/>
      <c r="AJ141" s="55"/>
      <c r="AK141" s="56"/>
      <c r="AL141" s="55"/>
      <c r="AM141" s="55"/>
      <c r="AN141" s="55"/>
      <c r="AO141" s="56"/>
      <c r="AP141" s="55"/>
      <c r="AQ141" s="55"/>
      <c r="AR141" s="55"/>
      <c r="AS141" s="56"/>
      <c r="AT141" s="55"/>
      <c r="AU141" s="54"/>
      <c r="AV141" s="54"/>
      <c r="AW141" s="56"/>
      <c r="AX141" s="55"/>
      <c r="AY141" s="55"/>
      <c r="AZ141" s="55"/>
      <c r="BA141" s="57">
        <v>40000000</v>
      </c>
      <c r="BB141" s="55">
        <v>0</v>
      </c>
      <c r="BC141" s="58"/>
      <c r="BD141" s="58"/>
      <c r="BE141" s="56"/>
      <c r="BF141" s="55"/>
      <c r="BG141" s="54"/>
      <c r="BH141" s="54"/>
      <c r="BI141" s="56"/>
      <c r="BJ141" s="55"/>
      <c r="BK141" s="55"/>
      <c r="BL141" s="55"/>
      <c r="BM141" s="53">
        <f>+AC141+AG141+AK141+AO141+AS141+AW141+BA141+BE141+BI141</f>
        <v>40000000</v>
      </c>
      <c r="BN141" s="54">
        <f t="shared" si="277"/>
        <v>0</v>
      </c>
      <c r="BO141" s="54">
        <f t="shared" si="277"/>
        <v>0</v>
      </c>
      <c r="BP141" s="54">
        <f t="shared" si="277"/>
        <v>0</v>
      </c>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v>41200000</v>
      </c>
      <c r="CR141" s="83"/>
      <c r="CS141" s="83"/>
      <c r="CT141" s="83"/>
      <c r="CU141" s="83"/>
      <c r="CV141" s="83"/>
      <c r="CW141" s="83"/>
      <c r="CX141" s="83"/>
      <c r="CY141" s="83"/>
      <c r="CZ141" s="83"/>
      <c r="DA141" s="83"/>
      <c r="DB141" s="83"/>
      <c r="DC141" s="83"/>
      <c r="DD141" s="83"/>
      <c r="DE141" s="81">
        <f t="shared" si="278"/>
        <v>41200000</v>
      </c>
      <c r="DF141" s="95">
        <f t="shared" si="278"/>
        <v>0</v>
      </c>
      <c r="DG141" s="95">
        <f t="shared" si="278"/>
        <v>0</v>
      </c>
      <c r="DH141" s="95">
        <f t="shared" si="278"/>
        <v>0</v>
      </c>
      <c r="DI141" s="95"/>
      <c r="DJ141" s="83"/>
      <c r="DK141" s="82"/>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v>42400000</v>
      </c>
      <c r="EK141" s="83"/>
      <c r="EL141" s="83"/>
      <c r="EM141" s="83"/>
      <c r="EN141" s="83"/>
      <c r="EO141" s="83"/>
      <c r="EP141" s="83"/>
      <c r="EQ141" s="83"/>
      <c r="ER141" s="83"/>
      <c r="ES141" s="83"/>
      <c r="ET141" s="83"/>
      <c r="EU141" s="83"/>
      <c r="EV141" s="83"/>
      <c r="EW141" s="81">
        <f t="shared" si="279"/>
        <v>42400000</v>
      </c>
      <c r="EX141" s="86">
        <f t="shared" si="279"/>
        <v>0</v>
      </c>
      <c r="EY141" s="86">
        <f t="shared" si="280"/>
        <v>0</v>
      </c>
      <c r="EZ141" s="86">
        <f t="shared" si="280"/>
        <v>0</v>
      </c>
      <c r="FA141" s="176"/>
      <c r="FB141" s="83"/>
      <c r="FC141" s="84"/>
      <c r="FD141" s="84"/>
      <c r="FE141" s="84"/>
      <c r="FF141" s="140"/>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v>43700000</v>
      </c>
      <c r="GG141" s="83"/>
      <c r="GH141" s="83"/>
      <c r="GI141" s="83"/>
      <c r="GJ141" s="83"/>
      <c r="GK141" s="83"/>
      <c r="GL141" s="83"/>
      <c r="GM141" s="83"/>
      <c r="GN141" s="83"/>
      <c r="GO141" s="83"/>
      <c r="GP141" s="83"/>
      <c r="GQ141" s="83"/>
      <c r="GR141" s="83"/>
      <c r="GS141" s="83"/>
      <c r="GT141" s="83"/>
      <c r="GU141" s="81">
        <f>FB141+FG141+FL141+FQ141+FV141+GA141+GF141+GK141+GP141</f>
        <v>43700000</v>
      </c>
      <c r="GV141" s="81">
        <f t="shared" si="281"/>
        <v>0</v>
      </c>
      <c r="GW141" s="81">
        <f t="shared" si="281"/>
        <v>0</v>
      </c>
      <c r="GX141" s="81">
        <f t="shared" si="281"/>
        <v>0</v>
      </c>
      <c r="GY141" s="673">
        <f t="shared" si="281"/>
        <v>0</v>
      </c>
      <c r="GZ141" s="67">
        <f>BM141+DE141+EW141+GU141</f>
        <v>167300000</v>
      </c>
    </row>
    <row r="142" spans="1:208" s="711" customFormat="1" ht="78.75" customHeight="1" x14ac:dyDescent="0.2">
      <c r="A142" s="703"/>
      <c r="B142" s="703"/>
      <c r="C142" s="715">
        <v>17</v>
      </c>
      <c r="D142" s="826" t="s">
        <v>299</v>
      </c>
      <c r="E142" s="856" t="s">
        <v>300</v>
      </c>
      <c r="F142" s="843">
        <v>0.5</v>
      </c>
      <c r="G142" s="684">
        <v>100</v>
      </c>
      <c r="H142" s="676" t="s">
        <v>355</v>
      </c>
      <c r="I142" s="859" t="s">
        <v>356</v>
      </c>
      <c r="J142" s="677" t="s">
        <v>266</v>
      </c>
      <c r="K142" s="680">
        <v>1</v>
      </c>
      <c r="L142" s="679" t="s">
        <v>58</v>
      </c>
      <c r="M142" s="680">
        <v>0</v>
      </c>
      <c r="N142" s="678">
        <v>6</v>
      </c>
      <c r="O142" s="678">
        <v>6</v>
      </c>
      <c r="P142" s="850">
        <v>6</v>
      </c>
      <c r="Q142" s="678">
        <v>6</v>
      </c>
      <c r="R142" s="814"/>
      <c r="S142" s="851">
        <v>0</v>
      </c>
      <c r="T142" s="678">
        <v>6</v>
      </c>
      <c r="U142" s="678"/>
      <c r="V142" s="850">
        <v>11</v>
      </c>
      <c r="W142" s="683">
        <v>6</v>
      </c>
      <c r="X142" s="679"/>
      <c r="Y142" s="635">
        <v>11</v>
      </c>
      <c r="Z142" s="852">
        <f>BM142/$BM$139</f>
        <v>0.97560975609756095</v>
      </c>
      <c r="AA142" s="682">
        <v>4</v>
      </c>
      <c r="AB142" s="848" t="s">
        <v>114</v>
      </c>
      <c r="AC142" s="830"/>
      <c r="AD142" s="831"/>
      <c r="AE142" s="818"/>
      <c r="AF142" s="818"/>
      <c r="AG142" s="830"/>
      <c r="AH142" s="831"/>
      <c r="AI142" s="831"/>
      <c r="AJ142" s="831"/>
      <c r="AK142" s="830"/>
      <c r="AL142" s="831"/>
      <c r="AM142" s="831"/>
      <c r="AN142" s="831"/>
      <c r="AO142" s="830"/>
      <c r="AP142" s="831"/>
      <c r="AQ142" s="831"/>
      <c r="AR142" s="831"/>
      <c r="AS142" s="830"/>
      <c r="AT142" s="831"/>
      <c r="AU142" s="818"/>
      <c r="AV142" s="818"/>
      <c r="AW142" s="830"/>
      <c r="AX142" s="831"/>
      <c r="AY142" s="831"/>
      <c r="AZ142" s="831"/>
      <c r="BA142" s="830"/>
      <c r="BB142" s="831"/>
      <c r="BC142" s="831"/>
      <c r="BD142" s="831"/>
      <c r="BE142" s="830"/>
      <c r="BF142" s="831"/>
      <c r="BG142" s="818"/>
      <c r="BH142" s="818"/>
      <c r="BI142" s="830">
        <v>4000000000</v>
      </c>
      <c r="BJ142" s="831"/>
      <c r="BK142" s="831"/>
      <c r="BL142" s="831"/>
      <c r="BM142" s="817">
        <f>+AC142+AG142+AK142+AO142+AS142+AW142+BA142+BE142+BI142</f>
        <v>4000000000</v>
      </c>
      <c r="BN142" s="818">
        <f t="shared" si="277"/>
        <v>0</v>
      </c>
      <c r="BO142" s="818">
        <f t="shared" si="277"/>
        <v>0</v>
      </c>
      <c r="BP142" s="818">
        <f t="shared" si="277"/>
        <v>0</v>
      </c>
      <c r="BQ142" s="667"/>
      <c r="BR142" s="667"/>
      <c r="BS142" s="667"/>
      <c r="BT142" s="667"/>
      <c r="BU142" s="667"/>
      <c r="BV142" s="667"/>
      <c r="BW142" s="667"/>
      <c r="BX142" s="667"/>
      <c r="BY142" s="667"/>
      <c r="BZ142" s="667"/>
      <c r="CA142" s="667"/>
      <c r="CB142" s="667"/>
      <c r="CC142" s="667"/>
      <c r="CD142" s="667"/>
      <c r="CE142" s="667"/>
      <c r="CF142" s="667"/>
      <c r="CG142" s="667"/>
      <c r="CH142" s="667"/>
      <c r="CI142" s="667"/>
      <c r="CJ142" s="667"/>
      <c r="CK142" s="667"/>
      <c r="CL142" s="667"/>
      <c r="CM142" s="667"/>
      <c r="CN142" s="667"/>
      <c r="CO142" s="667"/>
      <c r="CP142" s="667"/>
      <c r="CQ142" s="667"/>
      <c r="CR142" s="667"/>
      <c r="CS142" s="667"/>
      <c r="CT142" s="667"/>
      <c r="CU142" s="667"/>
      <c r="CV142" s="667"/>
      <c r="CW142" s="667"/>
      <c r="CX142" s="667"/>
      <c r="CY142" s="667"/>
      <c r="CZ142" s="667"/>
      <c r="DA142" s="667">
        <v>4000000000</v>
      </c>
      <c r="DB142" s="667"/>
      <c r="DC142" s="667"/>
      <c r="DD142" s="667"/>
      <c r="DE142" s="708">
        <f t="shared" si="278"/>
        <v>4000000000</v>
      </c>
      <c r="DF142" s="708">
        <f t="shared" si="278"/>
        <v>0</v>
      </c>
      <c r="DG142" s="708">
        <f t="shared" si="278"/>
        <v>0</v>
      </c>
      <c r="DH142" s="708">
        <f t="shared" si="278"/>
        <v>0</v>
      </c>
      <c r="DI142" s="708"/>
      <c r="DJ142" s="667"/>
      <c r="DK142" s="667"/>
      <c r="DL142" s="667"/>
      <c r="DM142" s="667"/>
      <c r="DN142" s="667"/>
      <c r="DO142" s="667">
        <v>24075000</v>
      </c>
      <c r="DP142" s="667">
        <v>24075000</v>
      </c>
      <c r="DQ142" s="667">
        <v>24075000</v>
      </c>
      <c r="DR142" s="667"/>
      <c r="DS142" s="667"/>
      <c r="DT142" s="667"/>
      <c r="DU142" s="667"/>
      <c r="DV142" s="667"/>
      <c r="DW142" s="667"/>
      <c r="DX142" s="667"/>
      <c r="DY142" s="667"/>
      <c r="DZ142" s="667"/>
      <c r="EA142" s="667"/>
      <c r="EB142" s="667"/>
      <c r="EC142" s="667"/>
      <c r="ED142" s="667"/>
      <c r="EE142" s="667"/>
      <c r="EF142" s="667"/>
      <c r="EG142" s="667"/>
      <c r="EH142" s="667"/>
      <c r="EI142" s="667"/>
      <c r="EJ142" s="667"/>
      <c r="EK142" s="667"/>
      <c r="EL142" s="667"/>
      <c r="EM142" s="667"/>
      <c r="EN142" s="667"/>
      <c r="EO142" s="667"/>
      <c r="EP142" s="667"/>
      <c r="EQ142" s="667"/>
      <c r="ER142" s="667"/>
      <c r="ES142" s="667">
        <v>4000000000</v>
      </c>
      <c r="ET142" s="667"/>
      <c r="EU142" s="667"/>
      <c r="EV142" s="667"/>
      <c r="EW142" s="708">
        <f t="shared" si="279"/>
        <v>4000000000</v>
      </c>
      <c r="EX142" s="819">
        <f t="shared" si="279"/>
        <v>24075000</v>
      </c>
      <c r="EY142" s="819">
        <f t="shared" si="280"/>
        <v>24075000</v>
      </c>
      <c r="EZ142" s="819">
        <f t="shared" si="280"/>
        <v>24075000</v>
      </c>
      <c r="FA142" s="820"/>
      <c r="FB142" s="667"/>
      <c r="FC142" s="706"/>
      <c r="FD142" s="706"/>
      <c r="FE142" s="706"/>
      <c r="FF142" s="707"/>
      <c r="FG142" s="667"/>
      <c r="FH142" s="667"/>
      <c r="FI142" s="667"/>
      <c r="FJ142" s="667"/>
      <c r="FK142" s="667"/>
      <c r="FL142" s="667"/>
      <c r="FM142" s="667"/>
      <c r="FN142" s="667"/>
      <c r="FO142" s="667"/>
      <c r="FP142" s="667"/>
      <c r="FQ142" s="667"/>
      <c r="FR142" s="667"/>
      <c r="FS142" s="667"/>
      <c r="FT142" s="667"/>
      <c r="FU142" s="667"/>
      <c r="FV142" s="667"/>
      <c r="FW142" s="667"/>
      <c r="FX142" s="667"/>
      <c r="FY142" s="667"/>
      <c r="FZ142" s="667"/>
      <c r="GA142" s="667"/>
      <c r="GB142" s="667"/>
      <c r="GC142" s="667"/>
      <c r="GD142" s="667"/>
      <c r="GE142" s="667"/>
      <c r="GF142" s="667"/>
      <c r="GG142" s="667"/>
      <c r="GH142" s="667"/>
      <c r="GI142" s="667"/>
      <c r="GJ142" s="667"/>
      <c r="GK142" s="667"/>
      <c r="GL142" s="667"/>
      <c r="GM142" s="667"/>
      <c r="GN142" s="667"/>
      <c r="GO142" s="667"/>
      <c r="GP142" s="667">
        <v>5000000000</v>
      </c>
      <c r="GQ142" s="667"/>
      <c r="GR142" s="667"/>
      <c r="GS142" s="667"/>
      <c r="GT142" s="667"/>
      <c r="GU142" s="708">
        <f>FB142+FG142+FL142+FQ142+FV142+GA142+GF142+GK142+GP142</f>
        <v>5000000000</v>
      </c>
      <c r="GV142" s="708">
        <f t="shared" si="281"/>
        <v>0</v>
      </c>
      <c r="GW142" s="708">
        <f t="shared" si="281"/>
        <v>0</v>
      </c>
      <c r="GX142" s="708">
        <f t="shared" si="281"/>
        <v>0</v>
      </c>
      <c r="GY142" s="709">
        <f t="shared" si="281"/>
        <v>0</v>
      </c>
      <c r="GZ142" s="710">
        <f>BM142+DE142+EW142+GU142</f>
        <v>17000000000</v>
      </c>
    </row>
    <row r="143" spans="1:208" s="711" customFormat="1" ht="78.75" customHeight="1" x14ac:dyDescent="0.2">
      <c r="A143" s="703"/>
      <c r="B143" s="703"/>
      <c r="C143" s="621">
        <v>18</v>
      </c>
      <c r="D143" s="676" t="s">
        <v>303</v>
      </c>
      <c r="E143" s="682">
        <v>6</v>
      </c>
      <c r="F143" s="682">
        <v>12</v>
      </c>
      <c r="G143" s="684">
        <v>101</v>
      </c>
      <c r="H143" s="676" t="s">
        <v>357</v>
      </c>
      <c r="I143" s="859" t="s">
        <v>358</v>
      </c>
      <c r="J143" s="677" t="s">
        <v>266</v>
      </c>
      <c r="K143" s="680">
        <v>1</v>
      </c>
      <c r="L143" s="679" t="s">
        <v>58</v>
      </c>
      <c r="M143" s="680">
        <v>0</v>
      </c>
      <c r="N143" s="678">
        <v>54</v>
      </c>
      <c r="O143" s="678">
        <v>54</v>
      </c>
      <c r="P143" s="850">
        <v>24</v>
      </c>
      <c r="Q143" s="678">
        <v>54</v>
      </c>
      <c r="R143" s="814"/>
      <c r="S143" s="851">
        <v>0</v>
      </c>
      <c r="T143" s="678">
        <v>54</v>
      </c>
      <c r="U143" s="678"/>
      <c r="V143" s="850">
        <v>54</v>
      </c>
      <c r="W143" s="683">
        <v>54</v>
      </c>
      <c r="X143" s="679"/>
      <c r="Y143" s="635">
        <v>0</v>
      </c>
      <c r="Z143" s="852">
        <f>BM143/$BM$139</f>
        <v>8.5365853658536592E-3</v>
      </c>
      <c r="AA143" s="682">
        <v>4</v>
      </c>
      <c r="AB143" s="848" t="s">
        <v>114</v>
      </c>
      <c r="AC143" s="830"/>
      <c r="AD143" s="831"/>
      <c r="AE143" s="818"/>
      <c r="AF143" s="818"/>
      <c r="AG143" s="830"/>
      <c r="AH143" s="831"/>
      <c r="AI143" s="831"/>
      <c r="AJ143" s="831"/>
      <c r="AK143" s="830"/>
      <c r="AL143" s="831"/>
      <c r="AM143" s="831"/>
      <c r="AN143" s="831"/>
      <c r="AO143" s="830"/>
      <c r="AP143" s="831"/>
      <c r="AQ143" s="831"/>
      <c r="AR143" s="831"/>
      <c r="AS143" s="830"/>
      <c r="AT143" s="831"/>
      <c r="AU143" s="818"/>
      <c r="AV143" s="818"/>
      <c r="AW143" s="830"/>
      <c r="AX143" s="831"/>
      <c r="AY143" s="831"/>
      <c r="AZ143" s="831"/>
      <c r="BA143" s="830">
        <v>35000000</v>
      </c>
      <c r="BB143" s="831">
        <v>72500000</v>
      </c>
      <c r="BC143" s="831">
        <v>66693139</v>
      </c>
      <c r="BD143" s="831">
        <v>62000000</v>
      </c>
      <c r="BE143" s="830"/>
      <c r="BF143" s="831"/>
      <c r="BG143" s="818"/>
      <c r="BH143" s="818"/>
      <c r="BI143" s="830"/>
      <c r="BJ143" s="831"/>
      <c r="BK143" s="831"/>
      <c r="BL143" s="831"/>
      <c r="BM143" s="817">
        <f>+AC143+AG143+AK143+AO143+AS143+AW143+BA143+BE143+BI143</f>
        <v>35000000</v>
      </c>
      <c r="BN143" s="818">
        <f t="shared" si="277"/>
        <v>72500000</v>
      </c>
      <c r="BO143" s="818">
        <f t="shared" si="277"/>
        <v>66693139</v>
      </c>
      <c r="BP143" s="818">
        <f t="shared" si="277"/>
        <v>62000000</v>
      </c>
      <c r="BQ143" s="667"/>
      <c r="BR143" s="667"/>
      <c r="BS143" s="667"/>
      <c r="BT143" s="667"/>
      <c r="BU143" s="667"/>
      <c r="BV143" s="667"/>
      <c r="BW143" s="667"/>
      <c r="BX143" s="667"/>
      <c r="BY143" s="667"/>
      <c r="BZ143" s="667"/>
      <c r="CA143" s="667"/>
      <c r="CB143" s="667"/>
      <c r="CC143" s="667"/>
      <c r="CD143" s="667"/>
      <c r="CE143" s="667"/>
      <c r="CF143" s="667"/>
      <c r="CG143" s="667"/>
      <c r="CH143" s="667"/>
      <c r="CI143" s="667"/>
      <c r="CJ143" s="667"/>
      <c r="CK143" s="667"/>
      <c r="CL143" s="667"/>
      <c r="CM143" s="667"/>
      <c r="CN143" s="667"/>
      <c r="CO143" s="667"/>
      <c r="CP143" s="667"/>
      <c r="CQ143" s="667">
        <v>36050000</v>
      </c>
      <c r="CR143" s="667"/>
      <c r="CS143" s="667"/>
      <c r="CT143" s="667"/>
      <c r="CU143" s="667"/>
      <c r="CV143" s="667"/>
      <c r="CW143" s="667"/>
      <c r="CX143" s="667"/>
      <c r="CY143" s="667"/>
      <c r="CZ143" s="667"/>
      <c r="DA143" s="667"/>
      <c r="DB143" s="667"/>
      <c r="DC143" s="667"/>
      <c r="DD143" s="667"/>
      <c r="DE143" s="708">
        <f t="shared" si="278"/>
        <v>36050000</v>
      </c>
      <c r="DF143" s="708">
        <f t="shared" si="278"/>
        <v>0</v>
      </c>
      <c r="DG143" s="708">
        <f t="shared" si="278"/>
        <v>0</v>
      </c>
      <c r="DH143" s="708">
        <f t="shared" si="278"/>
        <v>0</v>
      </c>
      <c r="DI143" s="708"/>
      <c r="DJ143" s="667"/>
      <c r="DK143" s="667"/>
      <c r="DL143" s="667"/>
      <c r="DM143" s="667"/>
      <c r="DN143" s="667"/>
      <c r="DO143" s="667"/>
      <c r="DP143" s="667"/>
      <c r="DQ143" s="667"/>
      <c r="DR143" s="667"/>
      <c r="DS143" s="667"/>
      <c r="DT143" s="667"/>
      <c r="DU143" s="667"/>
      <c r="DV143" s="667"/>
      <c r="DW143" s="667"/>
      <c r="DX143" s="667"/>
      <c r="DY143" s="667"/>
      <c r="DZ143" s="667"/>
      <c r="EA143" s="667"/>
      <c r="EB143" s="667"/>
      <c r="EC143" s="667"/>
      <c r="ED143" s="667"/>
      <c r="EE143" s="667"/>
      <c r="EF143" s="667"/>
      <c r="EG143" s="667"/>
      <c r="EH143" s="667"/>
      <c r="EI143" s="667"/>
      <c r="EJ143" s="667">
        <v>37000000</v>
      </c>
      <c r="EK143" s="667"/>
      <c r="EL143" s="667"/>
      <c r="EM143" s="667"/>
      <c r="EN143" s="667"/>
      <c r="EO143" s="667"/>
      <c r="EP143" s="667"/>
      <c r="EQ143" s="667"/>
      <c r="ER143" s="667"/>
      <c r="ES143" s="667"/>
      <c r="ET143" s="667"/>
      <c r="EU143" s="667"/>
      <c r="EV143" s="667"/>
      <c r="EW143" s="708">
        <f t="shared" si="279"/>
        <v>37000000</v>
      </c>
      <c r="EX143" s="819">
        <f t="shared" si="279"/>
        <v>0</v>
      </c>
      <c r="EY143" s="819">
        <f t="shared" si="280"/>
        <v>0</v>
      </c>
      <c r="EZ143" s="819">
        <f t="shared" si="280"/>
        <v>0</v>
      </c>
      <c r="FA143" s="820"/>
      <c r="FB143" s="667"/>
      <c r="FC143" s="706"/>
      <c r="FD143" s="706"/>
      <c r="FE143" s="706"/>
      <c r="FF143" s="707"/>
      <c r="FG143" s="667"/>
      <c r="FH143" s="667"/>
      <c r="FI143" s="667"/>
      <c r="FJ143" s="667"/>
      <c r="FK143" s="667"/>
      <c r="FL143" s="667"/>
      <c r="FM143" s="667"/>
      <c r="FN143" s="667"/>
      <c r="FO143" s="667"/>
      <c r="FP143" s="667"/>
      <c r="FQ143" s="667"/>
      <c r="FR143" s="667"/>
      <c r="FS143" s="667"/>
      <c r="FT143" s="667"/>
      <c r="FU143" s="667"/>
      <c r="FV143" s="667"/>
      <c r="FW143" s="667"/>
      <c r="FX143" s="667"/>
      <c r="FY143" s="667"/>
      <c r="FZ143" s="667"/>
      <c r="GA143" s="667"/>
      <c r="GB143" s="667"/>
      <c r="GC143" s="667"/>
      <c r="GD143" s="667"/>
      <c r="GE143" s="667"/>
      <c r="GF143" s="667">
        <v>38245000</v>
      </c>
      <c r="GG143" s="667"/>
      <c r="GH143" s="667"/>
      <c r="GI143" s="667"/>
      <c r="GJ143" s="667"/>
      <c r="GK143" s="667"/>
      <c r="GL143" s="667"/>
      <c r="GM143" s="667"/>
      <c r="GN143" s="667"/>
      <c r="GO143" s="667"/>
      <c r="GP143" s="667"/>
      <c r="GQ143" s="667"/>
      <c r="GR143" s="667"/>
      <c r="GS143" s="667"/>
      <c r="GT143" s="667"/>
      <c r="GU143" s="708">
        <f>FB143+FG143+FL143+FQ143+FV143+GA143+GF143+GK143+GP143</f>
        <v>38245000</v>
      </c>
      <c r="GV143" s="708">
        <f t="shared" si="281"/>
        <v>0</v>
      </c>
      <c r="GW143" s="708">
        <f t="shared" si="281"/>
        <v>0</v>
      </c>
      <c r="GX143" s="708">
        <f t="shared" si="281"/>
        <v>0</v>
      </c>
      <c r="GY143" s="709">
        <f t="shared" si="281"/>
        <v>0</v>
      </c>
      <c r="GZ143" s="710">
        <f>BM143+DE143+EW143+GU143</f>
        <v>146295000</v>
      </c>
    </row>
    <row r="144" spans="1:208" s="711" customFormat="1" ht="78.75" customHeight="1" x14ac:dyDescent="0.2">
      <c r="A144" s="703"/>
      <c r="B144" s="703"/>
      <c r="C144" s="715">
        <v>19</v>
      </c>
      <c r="D144" s="685" t="s">
        <v>306</v>
      </c>
      <c r="E144" s="827" t="s">
        <v>307</v>
      </c>
      <c r="F144" s="840" t="s">
        <v>308</v>
      </c>
      <c r="G144" s="684">
        <v>102</v>
      </c>
      <c r="H144" s="676" t="s">
        <v>359</v>
      </c>
      <c r="I144" s="859" t="s">
        <v>360</v>
      </c>
      <c r="J144" s="677" t="s">
        <v>266</v>
      </c>
      <c r="K144" s="680">
        <v>1</v>
      </c>
      <c r="L144" s="679" t="s">
        <v>73</v>
      </c>
      <c r="M144" s="680">
        <v>0</v>
      </c>
      <c r="N144" s="678">
        <v>7</v>
      </c>
      <c r="O144" s="678">
        <v>1</v>
      </c>
      <c r="P144" s="850">
        <v>1</v>
      </c>
      <c r="Q144" s="678">
        <v>4</v>
      </c>
      <c r="R144" s="863">
        <v>3</v>
      </c>
      <c r="S144" s="851">
        <v>7</v>
      </c>
      <c r="T144" s="678">
        <v>6</v>
      </c>
      <c r="U144" s="678">
        <v>2</v>
      </c>
      <c r="V144" s="850">
        <v>2</v>
      </c>
      <c r="W144" s="683">
        <v>7</v>
      </c>
      <c r="X144" s="679">
        <v>1</v>
      </c>
      <c r="Y144" s="635">
        <v>0</v>
      </c>
      <c r="Z144" s="852">
        <f>BM144/$BM$139</f>
        <v>1.2195121951219512E-3</v>
      </c>
      <c r="AA144" s="682">
        <v>4</v>
      </c>
      <c r="AB144" s="848" t="s">
        <v>114</v>
      </c>
      <c r="AC144" s="830"/>
      <c r="AD144" s="831"/>
      <c r="AE144" s="818"/>
      <c r="AF144" s="818"/>
      <c r="AG144" s="830"/>
      <c r="AH144" s="831"/>
      <c r="AI144" s="831"/>
      <c r="AJ144" s="831"/>
      <c r="AK144" s="830"/>
      <c r="AL144" s="831"/>
      <c r="AM144" s="831"/>
      <c r="AN144" s="831"/>
      <c r="AO144" s="830"/>
      <c r="AP144" s="831"/>
      <c r="AQ144" s="831"/>
      <c r="AR144" s="831"/>
      <c r="AS144" s="830"/>
      <c r="AT144" s="831"/>
      <c r="AU144" s="818"/>
      <c r="AV144" s="818"/>
      <c r="AW144" s="830"/>
      <c r="AX144" s="831"/>
      <c r="AY144" s="831"/>
      <c r="AZ144" s="831"/>
      <c r="BA144" s="830">
        <v>5000000</v>
      </c>
      <c r="BB144" s="831">
        <v>10000000</v>
      </c>
      <c r="BC144" s="831">
        <v>10000000</v>
      </c>
      <c r="BD144" s="831">
        <v>10000000</v>
      </c>
      <c r="BE144" s="830"/>
      <c r="BF144" s="831"/>
      <c r="BG144" s="818"/>
      <c r="BH144" s="818"/>
      <c r="BI144" s="830"/>
      <c r="BJ144" s="831"/>
      <c r="BK144" s="831"/>
      <c r="BL144" s="831"/>
      <c r="BM144" s="817">
        <f>+AC144+AG144+AK144+AO144+AS144+AW144+BA144+BE144+BI144</f>
        <v>5000000</v>
      </c>
      <c r="BN144" s="818">
        <f t="shared" si="277"/>
        <v>10000000</v>
      </c>
      <c r="BO144" s="818">
        <f t="shared" si="277"/>
        <v>10000000</v>
      </c>
      <c r="BP144" s="818">
        <f t="shared" si="277"/>
        <v>10000000</v>
      </c>
      <c r="BQ144" s="667"/>
      <c r="BR144" s="667"/>
      <c r="BS144" s="667"/>
      <c r="BT144" s="667"/>
      <c r="BU144" s="667"/>
      <c r="BV144" s="667"/>
      <c r="BW144" s="667"/>
      <c r="BX144" s="667"/>
      <c r="BY144" s="667"/>
      <c r="BZ144" s="667"/>
      <c r="CA144" s="667">
        <v>15150000</v>
      </c>
      <c r="CB144" s="667">
        <v>15150000</v>
      </c>
      <c r="CC144" s="667">
        <v>15150000</v>
      </c>
      <c r="CD144" s="667"/>
      <c r="CE144" s="667"/>
      <c r="CF144" s="667"/>
      <c r="CG144" s="667"/>
      <c r="CH144" s="667"/>
      <c r="CI144" s="667"/>
      <c r="CJ144" s="667"/>
      <c r="CK144" s="667"/>
      <c r="CL144" s="667"/>
      <c r="CM144" s="667"/>
      <c r="CN144" s="667"/>
      <c r="CO144" s="667"/>
      <c r="CP144" s="667"/>
      <c r="CQ144" s="667">
        <v>5150000</v>
      </c>
      <c r="CR144" s="667"/>
      <c r="CS144" s="667"/>
      <c r="CT144" s="667"/>
      <c r="CU144" s="667"/>
      <c r="CV144" s="667"/>
      <c r="CW144" s="667"/>
      <c r="CX144" s="667"/>
      <c r="CY144" s="667"/>
      <c r="CZ144" s="667"/>
      <c r="DA144" s="667"/>
      <c r="DB144" s="667"/>
      <c r="DC144" s="667"/>
      <c r="DD144" s="667"/>
      <c r="DE144" s="708">
        <f t="shared" si="278"/>
        <v>5150000</v>
      </c>
      <c r="DF144" s="708">
        <f t="shared" si="278"/>
        <v>15150000</v>
      </c>
      <c r="DG144" s="708">
        <f t="shared" si="278"/>
        <v>15150000</v>
      </c>
      <c r="DH144" s="708">
        <f t="shared" si="278"/>
        <v>15150000</v>
      </c>
      <c r="DI144" s="708"/>
      <c r="DJ144" s="667"/>
      <c r="DK144" s="667"/>
      <c r="DL144" s="667"/>
      <c r="DM144" s="667"/>
      <c r="DN144" s="667"/>
      <c r="DO144" s="667">
        <v>20000000</v>
      </c>
      <c r="DP144" s="667">
        <v>20000000</v>
      </c>
      <c r="DQ144" s="667">
        <v>20000000</v>
      </c>
      <c r="DR144" s="667"/>
      <c r="DS144" s="667"/>
      <c r="DT144" s="667"/>
      <c r="DU144" s="667"/>
      <c r="DV144" s="667"/>
      <c r="DW144" s="667"/>
      <c r="DX144" s="667"/>
      <c r="DY144" s="667"/>
      <c r="DZ144" s="667"/>
      <c r="EA144" s="667"/>
      <c r="EB144" s="667"/>
      <c r="EC144" s="667"/>
      <c r="ED144" s="667"/>
      <c r="EE144" s="667"/>
      <c r="EF144" s="667"/>
      <c r="EG144" s="667"/>
      <c r="EH144" s="667"/>
      <c r="EI144" s="667"/>
      <c r="EJ144" s="667">
        <v>5490000</v>
      </c>
      <c r="EK144" s="667"/>
      <c r="EL144" s="667"/>
      <c r="EM144" s="667"/>
      <c r="EN144" s="667"/>
      <c r="EO144" s="667"/>
      <c r="EP144" s="667"/>
      <c r="EQ144" s="667"/>
      <c r="ER144" s="667"/>
      <c r="ES144" s="667"/>
      <c r="ET144" s="667"/>
      <c r="EU144" s="667"/>
      <c r="EV144" s="667"/>
      <c r="EW144" s="708">
        <f t="shared" si="279"/>
        <v>5490000</v>
      </c>
      <c r="EX144" s="819">
        <f t="shared" si="279"/>
        <v>20000000</v>
      </c>
      <c r="EY144" s="819">
        <f t="shared" si="280"/>
        <v>20000000</v>
      </c>
      <c r="EZ144" s="819">
        <f t="shared" si="280"/>
        <v>20000000</v>
      </c>
      <c r="FA144" s="820"/>
      <c r="FB144" s="667"/>
      <c r="FC144" s="706"/>
      <c r="FD144" s="706"/>
      <c r="FE144" s="706"/>
      <c r="FF144" s="707"/>
      <c r="FG144" s="667"/>
      <c r="FH144" s="667"/>
      <c r="FI144" s="667"/>
      <c r="FJ144" s="667"/>
      <c r="FK144" s="667"/>
      <c r="FL144" s="667"/>
      <c r="FM144" s="667"/>
      <c r="FN144" s="667"/>
      <c r="FO144" s="667"/>
      <c r="FP144" s="667"/>
      <c r="FQ144" s="667"/>
      <c r="FR144" s="667"/>
      <c r="FS144" s="667"/>
      <c r="FT144" s="667"/>
      <c r="FU144" s="667"/>
      <c r="FV144" s="667"/>
      <c r="FW144" s="667"/>
      <c r="FX144" s="667"/>
      <c r="FY144" s="667"/>
      <c r="FZ144" s="667"/>
      <c r="GA144" s="667"/>
      <c r="GB144" s="667"/>
      <c r="GC144" s="667"/>
      <c r="GD144" s="667"/>
      <c r="GE144" s="667"/>
      <c r="GF144" s="667">
        <v>5477700</v>
      </c>
      <c r="GG144" s="667"/>
      <c r="GH144" s="667"/>
      <c r="GI144" s="667"/>
      <c r="GJ144" s="667"/>
      <c r="GK144" s="667"/>
      <c r="GL144" s="667"/>
      <c r="GM144" s="667"/>
      <c r="GN144" s="667"/>
      <c r="GO144" s="667"/>
      <c r="GP144" s="667"/>
      <c r="GQ144" s="667"/>
      <c r="GR144" s="667"/>
      <c r="GS144" s="667"/>
      <c r="GT144" s="667"/>
      <c r="GU144" s="708">
        <f>FB144+FG144+FL144+FQ144+FV144+GA144+GF144+GK144+GP144</f>
        <v>5477700</v>
      </c>
      <c r="GV144" s="708">
        <f t="shared" si="281"/>
        <v>0</v>
      </c>
      <c r="GW144" s="708">
        <f t="shared" si="281"/>
        <v>0</v>
      </c>
      <c r="GX144" s="708">
        <f t="shared" si="281"/>
        <v>0</v>
      </c>
      <c r="GY144" s="709">
        <f t="shared" si="281"/>
        <v>0</v>
      </c>
      <c r="GZ144" s="710">
        <f>BM144+DE144+EW144+GU144</f>
        <v>21117700</v>
      </c>
    </row>
    <row r="145" spans="1:208" ht="24.75" customHeight="1" x14ac:dyDescent="0.2">
      <c r="A145" s="326"/>
      <c r="B145" s="326"/>
      <c r="C145" s="246">
        <v>24</v>
      </c>
      <c r="D145" s="293" t="s">
        <v>361</v>
      </c>
      <c r="E145" s="313"/>
      <c r="F145" s="295"/>
      <c r="G145" s="249"/>
      <c r="H145" s="249"/>
      <c r="I145" s="249"/>
      <c r="J145" s="249"/>
      <c r="K145" s="249"/>
      <c r="L145" s="249"/>
      <c r="M145" s="249"/>
      <c r="N145" s="249"/>
      <c r="O145" s="249"/>
      <c r="P145" s="249"/>
      <c r="Q145" s="249"/>
      <c r="R145" s="249"/>
      <c r="S145" s="249"/>
      <c r="T145" s="249"/>
      <c r="U145" s="249"/>
      <c r="V145" s="249"/>
      <c r="W145" s="249"/>
      <c r="X145" s="249"/>
      <c r="Y145" s="296"/>
      <c r="Z145" s="249"/>
      <c r="AA145" s="249"/>
      <c r="AB145" s="249"/>
      <c r="AC145" s="189">
        <f t="shared" ref="AC145:BL145" si="282">SUM(AC146:AC150)</f>
        <v>0</v>
      </c>
      <c r="AD145" s="189">
        <f t="shared" si="282"/>
        <v>0</v>
      </c>
      <c r="AE145" s="189">
        <f t="shared" si="282"/>
        <v>0</v>
      </c>
      <c r="AF145" s="189">
        <f t="shared" si="282"/>
        <v>0</v>
      </c>
      <c r="AG145" s="189">
        <f t="shared" si="282"/>
        <v>0</v>
      </c>
      <c r="AH145" s="189">
        <f t="shared" si="282"/>
        <v>0</v>
      </c>
      <c r="AI145" s="189">
        <f t="shared" si="282"/>
        <v>0</v>
      </c>
      <c r="AJ145" s="189">
        <f t="shared" si="282"/>
        <v>0</v>
      </c>
      <c r="AK145" s="189">
        <f t="shared" si="282"/>
        <v>80000000</v>
      </c>
      <c r="AL145" s="189">
        <f t="shared" si="282"/>
        <v>80000000</v>
      </c>
      <c r="AM145" s="189">
        <f t="shared" si="282"/>
        <v>988000</v>
      </c>
      <c r="AN145" s="189">
        <f t="shared" si="282"/>
        <v>988000</v>
      </c>
      <c r="AO145" s="189">
        <f t="shared" si="282"/>
        <v>0</v>
      </c>
      <c r="AP145" s="189">
        <f t="shared" si="282"/>
        <v>0</v>
      </c>
      <c r="AQ145" s="189">
        <f t="shared" si="282"/>
        <v>0</v>
      </c>
      <c r="AR145" s="189">
        <f t="shared" si="282"/>
        <v>0</v>
      </c>
      <c r="AS145" s="189">
        <f t="shared" si="282"/>
        <v>0</v>
      </c>
      <c r="AT145" s="189">
        <f t="shared" si="282"/>
        <v>0</v>
      </c>
      <c r="AU145" s="189">
        <f t="shared" si="282"/>
        <v>0</v>
      </c>
      <c r="AV145" s="189">
        <f t="shared" si="282"/>
        <v>0</v>
      </c>
      <c r="AW145" s="189">
        <f t="shared" si="282"/>
        <v>0</v>
      </c>
      <c r="AX145" s="189">
        <f t="shared" si="282"/>
        <v>0</v>
      </c>
      <c r="AY145" s="189">
        <f t="shared" si="282"/>
        <v>0</v>
      </c>
      <c r="AZ145" s="189">
        <f t="shared" si="282"/>
        <v>0</v>
      </c>
      <c r="BA145" s="189">
        <f t="shared" si="282"/>
        <v>100000000</v>
      </c>
      <c r="BB145" s="189">
        <f t="shared" si="282"/>
        <v>100000000</v>
      </c>
      <c r="BC145" s="189">
        <f t="shared" si="282"/>
        <v>30000000</v>
      </c>
      <c r="BD145" s="189">
        <f t="shared" si="282"/>
        <v>10000000</v>
      </c>
      <c r="BE145" s="189">
        <f t="shared" si="282"/>
        <v>0</v>
      </c>
      <c r="BF145" s="189">
        <f t="shared" si="282"/>
        <v>0</v>
      </c>
      <c r="BG145" s="189">
        <f t="shared" si="282"/>
        <v>0</v>
      </c>
      <c r="BH145" s="189">
        <f t="shared" si="282"/>
        <v>0</v>
      </c>
      <c r="BI145" s="189">
        <f t="shared" si="282"/>
        <v>0</v>
      </c>
      <c r="BJ145" s="189">
        <f t="shared" si="282"/>
        <v>0</v>
      </c>
      <c r="BK145" s="189">
        <f t="shared" si="282"/>
        <v>0</v>
      </c>
      <c r="BL145" s="189">
        <f t="shared" si="282"/>
        <v>0</v>
      </c>
      <c r="BM145" s="189">
        <f t="shared" ref="BM145:DX145" si="283">SUM(BM146:BM150)</f>
        <v>180000000</v>
      </c>
      <c r="BN145" s="189">
        <f t="shared" si="283"/>
        <v>180000000</v>
      </c>
      <c r="BO145" s="189">
        <f t="shared" si="283"/>
        <v>30988000</v>
      </c>
      <c r="BP145" s="189">
        <f t="shared" si="283"/>
        <v>10988000</v>
      </c>
      <c r="BQ145" s="189">
        <f t="shared" si="283"/>
        <v>0</v>
      </c>
      <c r="BR145" s="189">
        <f t="shared" si="283"/>
        <v>0</v>
      </c>
      <c r="BS145" s="189">
        <f t="shared" si="283"/>
        <v>0</v>
      </c>
      <c r="BT145" s="189">
        <f t="shared" si="283"/>
        <v>0</v>
      </c>
      <c r="BU145" s="189">
        <f t="shared" si="283"/>
        <v>0</v>
      </c>
      <c r="BV145" s="189">
        <f t="shared" si="283"/>
        <v>0</v>
      </c>
      <c r="BW145" s="189">
        <f t="shared" si="283"/>
        <v>0</v>
      </c>
      <c r="BX145" s="189">
        <f t="shared" si="283"/>
        <v>0</v>
      </c>
      <c r="BY145" s="189">
        <f t="shared" si="283"/>
        <v>0</v>
      </c>
      <c r="BZ145" s="189">
        <f t="shared" si="283"/>
        <v>90000000</v>
      </c>
      <c r="CA145" s="189">
        <f t="shared" si="283"/>
        <v>339118585</v>
      </c>
      <c r="CB145" s="189">
        <f t="shared" si="283"/>
        <v>108309945</v>
      </c>
      <c r="CC145" s="189">
        <f t="shared" si="283"/>
        <v>108309945</v>
      </c>
      <c r="CD145" s="189">
        <f t="shared" si="283"/>
        <v>0</v>
      </c>
      <c r="CE145" s="189">
        <f t="shared" si="283"/>
        <v>0</v>
      </c>
      <c r="CF145" s="189">
        <f t="shared" si="283"/>
        <v>0</v>
      </c>
      <c r="CG145" s="189">
        <f t="shared" si="283"/>
        <v>0</v>
      </c>
      <c r="CH145" s="189">
        <f t="shared" si="283"/>
        <v>0</v>
      </c>
      <c r="CI145" s="189">
        <f t="shared" si="283"/>
        <v>0</v>
      </c>
      <c r="CJ145" s="189">
        <f t="shared" si="283"/>
        <v>0</v>
      </c>
      <c r="CK145" s="189">
        <f t="shared" si="283"/>
        <v>0</v>
      </c>
      <c r="CL145" s="189">
        <f t="shared" si="283"/>
        <v>0</v>
      </c>
      <c r="CM145" s="189">
        <f t="shared" si="283"/>
        <v>0</v>
      </c>
      <c r="CN145" s="189">
        <f t="shared" si="283"/>
        <v>0</v>
      </c>
      <c r="CO145" s="189">
        <f t="shared" si="283"/>
        <v>0</v>
      </c>
      <c r="CP145" s="189">
        <f t="shared" si="283"/>
        <v>0</v>
      </c>
      <c r="CQ145" s="189">
        <f t="shared" si="283"/>
        <v>103000000</v>
      </c>
      <c r="CR145" s="189">
        <f t="shared" si="283"/>
        <v>0</v>
      </c>
      <c r="CS145" s="189">
        <f t="shared" si="283"/>
        <v>0</v>
      </c>
      <c r="CT145" s="189">
        <f t="shared" si="283"/>
        <v>0</v>
      </c>
      <c r="CU145" s="189">
        <f t="shared" si="283"/>
        <v>20000000</v>
      </c>
      <c r="CV145" s="189">
        <f t="shared" si="283"/>
        <v>0</v>
      </c>
      <c r="CW145" s="189">
        <f t="shared" si="283"/>
        <v>0</v>
      </c>
      <c r="CX145" s="189">
        <f t="shared" si="283"/>
        <v>0</v>
      </c>
      <c r="CY145" s="189">
        <f t="shared" si="283"/>
        <v>0</v>
      </c>
      <c r="CZ145" s="189">
        <f t="shared" si="283"/>
        <v>0</v>
      </c>
      <c r="DA145" s="189">
        <f t="shared" si="283"/>
        <v>0</v>
      </c>
      <c r="DB145" s="189">
        <f t="shared" si="283"/>
        <v>0</v>
      </c>
      <c r="DC145" s="189">
        <f t="shared" si="283"/>
        <v>0</v>
      </c>
      <c r="DD145" s="189">
        <f t="shared" si="283"/>
        <v>0</v>
      </c>
      <c r="DE145" s="189">
        <f t="shared" si="283"/>
        <v>193000000</v>
      </c>
      <c r="DF145" s="189">
        <f t="shared" si="283"/>
        <v>339118585</v>
      </c>
      <c r="DG145" s="189">
        <f t="shared" si="283"/>
        <v>108309945</v>
      </c>
      <c r="DH145" s="189">
        <f t="shared" si="283"/>
        <v>108309945</v>
      </c>
      <c r="DI145" s="189">
        <f t="shared" si="283"/>
        <v>20000000</v>
      </c>
      <c r="DJ145" s="189">
        <f t="shared" si="283"/>
        <v>0</v>
      </c>
      <c r="DK145" s="189">
        <f t="shared" si="283"/>
        <v>0</v>
      </c>
      <c r="DL145" s="189">
        <f t="shared" si="283"/>
        <v>0</v>
      </c>
      <c r="DM145" s="189">
        <f t="shared" si="283"/>
        <v>0</v>
      </c>
      <c r="DN145" s="189">
        <f t="shared" si="283"/>
        <v>0</v>
      </c>
      <c r="DO145" s="189">
        <f t="shared" si="283"/>
        <v>1394752352</v>
      </c>
      <c r="DP145" s="189">
        <f t="shared" si="283"/>
        <v>1367398664</v>
      </c>
      <c r="DQ145" s="189">
        <f t="shared" si="283"/>
        <v>1367398664</v>
      </c>
      <c r="DR145" s="189">
        <f t="shared" si="283"/>
        <v>0</v>
      </c>
      <c r="DS145" s="189">
        <f t="shared" si="283"/>
        <v>40000000</v>
      </c>
      <c r="DT145" s="189">
        <f t="shared" si="283"/>
        <v>202511175</v>
      </c>
      <c r="DU145" s="189">
        <f t="shared" si="283"/>
        <v>175998664</v>
      </c>
      <c r="DV145" s="189">
        <f t="shared" si="283"/>
        <v>175998664</v>
      </c>
      <c r="DW145" s="189">
        <f t="shared" si="283"/>
        <v>0</v>
      </c>
      <c r="DX145" s="189">
        <f t="shared" si="283"/>
        <v>0</v>
      </c>
      <c r="DY145" s="189">
        <f t="shared" ref="DY145:EW145" si="284">SUM(DY146:DY150)</f>
        <v>0</v>
      </c>
      <c r="DZ145" s="189">
        <f t="shared" si="284"/>
        <v>0</v>
      </c>
      <c r="EA145" s="189">
        <f t="shared" si="284"/>
        <v>0</v>
      </c>
      <c r="EB145" s="189">
        <f t="shared" si="284"/>
        <v>0</v>
      </c>
      <c r="EC145" s="189">
        <f t="shared" si="284"/>
        <v>0</v>
      </c>
      <c r="ED145" s="189">
        <f t="shared" si="284"/>
        <v>0</v>
      </c>
      <c r="EE145" s="189">
        <f t="shared" si="284"/>
        <v>0</v>
      </c>
      <c r="EF145" s="189">
        <f t="shared" si="284"/>
        <v>0</v>
      </c>
      <c r="EG145" s="189">
        <f t="shared" si="284"/>
        <v>0</v>
      </c>
      <c r="EH145" s="189">
        <f t="shared" si="284"/>
        <v>0</v>
      </c>
      <c r="EI145" s="189">
        <f t="shared" si="284"/>
        <v>0</v>
      </c>
      <c r="EJ145" s="189">
        <f t="shared" si="284"/>
        <v>106090000</v>
      </c>
      <c r="EK145" s="189">
        <f t="shared" si="284"/>
        <v>0</v>
      </c>
      <c r="EL145" s="189">
        <f t="shared" si="284"/>
        <v>0</v>
      </c>
      <c r="EM145" s="189">
        <f t="shared" si="284"/>
        <v>0</v>
      </c>
      <c r="EN145" s="189">
        <f t="shared" si="284"/>
        <v>0</v>
      </c>
      <c r="EO145" s="189">
        <f t="shared" si="284"/>
        <v>0</v>
      </c>
      <c r="EP145" s="189">
        <f t="shared" si="284"/>
        <v>0</v>
      </c>
      <c r="EQ145" s="189">
        <f t="shared" si="284"/>
        <v>0</v>
      </c>
      <c r="ER145" s="189">
        <f t="shared" si="284"/>
        <v>0</v>
      </c>
      <c r="ES145" s="189">
        <f t="shared" si="284"/>
        <v>0</v>
      </c>
      <c r="ET145" s="189">
        <f t="shared" si="284"/>
        <v>0</v>
      </c>
      <c r="EU145" s="189">
        <f t="shared" si="284"/>
        <v>0</v>
      </c>
      <c r="EV145" s="189">
        <f t="shared" si="284"/>
        <v>0</v>
      </c>
      <c r="EW145" s="189">
        <f t="shared" si="284"/>
        <v>146090000</v>
      </c>
      <c r="EX145" s="189">
        <f t="shared" ref="EX145:GZ145" si="285">SUM(EX146:EX150)</f>
        <v>1597263527</v>
      </c>
      <c r="EY145" s="189">
        <f t="shared" si="285"/>
        <v>1543397328</v>
      </c>
      <c r="EZ145" s="189">
        <f t="shared" si="285"/>
        <v>1543397328</v>
      </c>
      <c r="FA145" s="189">
        <f t="shared" si="285"/>
        <v>0</v>
      </c>
      <c r="FB145" s="189">
        <f t="shared" si="285"/>
        <v>0</v>
      </c>
      <c r="FC145" s="189">
        <f t="shared" si="285"/>
        <v>0</v>
      </c>
      <c r="FD145" s="189">
        <f t="shared" si="285"/>
        <v>0</v>
      </c>
      <c r="FE145" s="189">
        <f t="shared" si="285"/>
        <v>0</v>
      </c>
      <c r="FF145" s="189">
        <f t="shared" si="285"/>
        <v>0</v>
      </c>
      <c r="FG145" s="189">
        <f t="shared" si="285"/>
        <v>0</v>
      </c>
      <c r="FH145" s="189">
        <f t="shared" si="285"/>
        <v>1664261887</v>
      </c>
      <c r="FI145" s="189">
        <f t="shared" si="285"/>
        <v>1498300520</v>
      </c>
      <c r="FJ145" s="189">
        <f t="shared" si="285"/>
        <v>1232100260</v>
      </c>
      <c r="FK145" s="189">
        <f t="shared" si="285"/>
        <v>0</v>
      </c>
      <c r="FL145" s="189">
        <f t="shared" si="285"/>
        <v>20000000</v>
      </c>
      <c r="FM145" s="189">
        <f t="shared" si="285"/>
        <v>190428884</v>
      </c>
      <c r="FN145" s="189">
        <f t="shared" si="285"/>
        <v>124160250</v>
      </c>
      <c r="FO145" s="189">
        <f t="shared" si="285"/>
        <v>109924250</v>
      </c>
      <c r="FP145" s="189">
        <f t="shared" si="285"/>
        <v>0</v>
      </c>
      <c r="FQ145" s="189">
        <f t="shared" si="285"/>
        <v>0</v>
      </c>
      <c r="FR145" s="189">
        <f t="shared" si="285"/>
        <v>150000000</v>
      </c>
      <c r="FS145" s="189">
        <f t="shared" si="285"/>
        <v>43960526</v>
      </c>
      <c r="FT145" s="189">
        <f t="shared" si="285"/>
        <v>43960526</v>
      </c>
      <c r="FU145" s="189">
        <f t="shared" si="285"/>
        <v>0</v>
      </c>
      <c r="FV145" s="189">
        <f t="shared" si="285"/>
        <v>0</v>
      </c>
      <c r="FW145" s="189">
        <f t="shared" si="285"/>
        <v>0</v>
      </c>
      <c r="FX145" s="189">
        <f t="shared" si="285"/>
        <v>0</v>
      </c>
      <c r="FY145" s="189">
        <f t="shared" si="285"/>
        <v>0</v>
      </c>
      <c r="FZ145" s="189">
        <f t="shared" si="285"/>
        <v>0</v>
      </c>
      <c r="GA145" s="189">
        <f t="shared" si="285"/>
        <v>0</v>
      </c>
      <c r="GB145" s="189">
        <f t="shared" si="285"/>
        <v>0</v>
      </c>
      <c r="GC145" s="189">
        <f t="shared" si="285"/>
        <v>0</v>
      </c>
      <c r="GD145" s="189">
        <f t="shared" si="285"/>
        <v>0</v>
      </c>
      <c r="GE145" s="189">
        <f t="shared" si="285"/>
        <v>0</v>
      </c>
      <c r="GF145" s="189">
        <f t="shared" si="285"/>
        <v>109272700.0033333</v>
      </c>
      <c r="GG145" s="189">
        <f t="shared" si="285"/>
        <v>0</v>
      </c>
      <c r="GH145" s="189">
        <f t="shared" si="285"/>
        <v>0</v>
      </c>
      <c r="GI145" s="189">
        <f t="shared" si="285"/>
        <v>0</v>
      </c>
      <c r="GJ145" s="189">
        <f t="shared" si="285"/>
        <v>0</v>
      </c>
      <c r="GK145" s="189">
        <f t="shared" si="285"/>
        <v>0</v>
      </c>
      <c r="GL145" s="189">
        <f t="shared" si="285"/>
        <v>0</v>
      </c>
      <c r="GM145" s="189">
        <f t="shared" si="285"/>
        <v>0</v>
      </c>
      <c r="GN145" s="189">
        <f t="shared" si="285"/>
        <v>0</v>
      </c>
      <c r="GO145" s="189">
        <f t="shared" si="285"/>
        <v>0</v>
      </c>
      <c r="GP145" s="189">
        <f t="shared" si="285"/>
        <v>0</v>
      </c>
      <c r="GQ145" s="189">
        <f t="shared" si="285"/>
        <v>0</v>
      </c>
      <c r="GR145" s="189">
        <f t="shared" si="285"/>
        <v>0</v>
      </c>
      <c r="GS145" s="189">
        <f t="shared" si="285"/>
        <v>0</v>
      </c>
      <c r="GT145" s="189">
        <f t="shared" si="285"/>
        <v>0</v>
      </c>
      <c r="GU145" s="189">
        <f t="shared" si="285"/>
        <v>129272700.0033333</v>
      </c>
      <c r="GV145" s="189">
        <f t="shared" si="285"/>
        <v>2004690771</v>
      </c>
      <c r="GW145" s="189">
        <f t="shared" si="285"/>
        <v>1666421296</v>
      </c>
      <c r="GX145" s="189">
        <f t="shared" si="285"/>
        <v>1385985036</v>
      </c>
      <c r="GY145" s="189">
        <f t="shared" si="285"/>
        <v>0</v>
      </c>
      <c r="GZ145" s="604">
        <f t="shared" si="285"/>
        <v>648362700.00333333</v>
      </c>
    </row>
    <row r="146" spans="1:208" s="711" customFormat="1" ht="99.75" customHeight="1" x14ac:dyDescent="0.2">
      <c r="A146" s="703"/>
      <c r="B146" s="703"/>
      <c r="C146" s="621">
        <v>16</v>
      </c>
      <c r="D146" s="676" t="s">
        <v>337</v>
      </c>
      <c r="E146" s="682">
        <v>45</v>
      </c>
      <c r="F146" s="682">
        <v>90</v>
      </c>
      <c r="G146" s="682">
        <v>103</v>
      </c>
      <c r="H146" s="676" t="s">
        <v>362</v>
      </c>
      <c r="I146" s="859" t="s">
        <v>363</v>
      </c>
      <c r="J146" s="677" t="s">
        <v>266</v>
      </c>
      <c r="K146" s="680">
        <v>1</v>
      </c>
      <c r="L146" s="679" t="s">
        <v>73</v>
      </c>
      <c r="M146" s="680">
        <v>3</v>
      </c>
      <c r="N146" s="678">
        <v>12</v>
      </c>
      <c r="O146" s="678">
        <v>4</v>
      </c>
      <c r="P146" s="850">
        <v>4</v>
      </c>
      <c r="Q146" s="874">
        <v>3</v>
      </c>
      <c r="R146" s="863">
        <v>4</v>
      </c>
      <c r="S146" s="851">
        <v>6</v>
      </c>
      <c r="T146" s="678">
        <v>3</v>
      </c>
      <c r="U146" s="678">
        <v>3</v>
      </c>
      <c r="V146" s="850">
        <v>8</v>
      </c>
      <c r="W146" s="683">
        <v>2</v>
      </c>
      <c r="X146" s="679">
        <v>1</v>
      </c>
      <c r="Y146" s="635">
        <v>5</v>
      </c>
      <c r="Z146" s="852">
        <f>BM146/$BM$139</f>
        <v>4.8780487804878049E-3</v>
      </c>
      <c r="AA146" s="682">
        <v>4</v>
      </c>
      <c r="AB146" s="848" t="s">
        <v>114</v>
      </c>
      <c r="AC146" s="830"/>
      <c r="AD146" s="831"/>
      <c r="AE146" s="818"/>
      <c r="AF146" s="818"/>
      <c r="AG146" s="830"/>
      <c r="AH146" s="831"/>
      <c r="AI146" s="831"/>
      <c r="AJ146" s="831"/>
      <c r="AK146" s="830"/>
      <c r="AL146" s="831"/>
      <c r="AM146" s="831"/>
      <c r="AN146" s="831"/>
      <c r="AO146" s="830"/>
      <c r="AP146" s="831"/>
      <c r="AQ146" s="831"/>
      <c r="AR146" s="831"/>
      <c r="AS146" s="830"/>
      <c r="AT146" s="831"/>
      <c r="AU146" s="818"/>
      <c r="AV146" s="818"/>
      <c r="AW146" s="830"/>
      <c r="AX146" s="831"/>
      <c r="AY146" s="831"/>
      <c r="AZ146" s="831"/>
      <c r="BA146" s="830">
        <v>20000000</v>
      </c>
      <c r="BB146" s="831">
        <v>20000000</v>
      </c>
      <c r="BC146" s="831"/>
      <c r="BD146" s="831"/>
      <c r="BE146" s="830"/>
      <c r="BF146" s="831"/>
      <c r="BG146" s="818"/>
      <c r="BH146" s="818"/>
      <c r="BI146" s="830"/>
      <c r="BJ146" s="831"/>
      <c r="BK146" s="831"/>
      <c r="BL146" s="831"/>
      <c r="BM146" s="817">
        <f>+AC146+AG146+AK146+AO146+AS146+AW146+BA146+BE146+BI146</f>
        <v>20000000</v>
      </c>
      <c r="BN146" s="818">
        <f t="shared" ref="BN146:BP150" si="286">AD146+AH146+AL146+AP146+AT146+AX146+BB146+BF146+BJ146</f>
        <v>20000000</v>
      </c>
      <c r="BO146" s="818">
        <f t="shared" si="286"/>
        <v>0</v>
      </c>
      <c r="BP146" s="818">
        <f t="shared" si="286"/>
        <v>0</v>
      </c>
      <c r="BQ146" s="667"/>
      <c r="BR146" s="667"/>
      <c r="BS146" s="667"/>
      <c r="BT146" s="667"/>
      <c r="BU146" s="667"/>
      <c r="BV146" s="667"/>
      <c r="BW146" s="667"/>
      <c r="BX146" s="667"/>
      <c r="BY146" s="667"/>
      <c r="BZ146" s="667"/>
      <c r="CA146" s="667">
        <v>21400000</v>
      </c>
      <c r="CB146" s="667">
        <v>20000000</v>
      </c>
      <c r="CC146" s="667">
        <v>20000000</v>
      </c>
      <c r="CD146" s="667"/>
      <c r="CE146" s="667"/>
      <c r="CF146" s="667"/>
      <c r="CG146" s="667"/>
      <c r="CH146" s="667"/>
      <c r="CI146" s="667"/>
      <c r="CJ146" s="667"/>
      <c r="CK146" s="667"/>
      <c r="CL146" s="667"/>
      <c r="CM146" s="667"/>
      <c r="CN146" s="667"/>
      <c r="CO146" s="667"/>
      <c r="CP146" s="667"/>
      <c r="CQ146" s="667">
        <v>21400000</v>
      </c>
      <c r="CR146" s="667"/>
      <c r="CS146" s="667"/>
      <c r="CT146" s="667"/>
      <c r="CU146" s="667"/>
      <c r="CV146" s="667"/>
      <c r="CW146" s="667"/>
      <c r="CX146" s="667"/>
      <c r="CY146" s="667"/>
      <c r="CZ146" s="667"/>
      <c r="DA146" s="667"/>
      <c r="DB146" s="667"/>
      <c r="DC146" s="667"/>
      <c r="DD146" s="667"/>
      <c r="DE146" s="708">
        <f t="shared" ref="DE146:DH150" si="287">BQ146+BU146+BZ146+CE146+CI146+CM146+CQ146+CV146+DA146</f>
        <v>21400000</v>
      </c>
      <c r="DF146" s="708">
        <f t="shared" si="287"/>
        <v>21400000</v>
      </c>
      <c r="DG146" s="708">
        <f t="shared" si="287"/>
        <v>20000000</v>
      </c>
      <c r="DH146" s="708">
        <f t="shared" si="287"/>
        <v>20000000</v>
      </c>
      <c r="DI146" s="708"/>
      <c r="DJ146" s="667"/>
      <c r="DK146" s="667"/>
      <c r="DL146" s="667"/>
      <c r="DM146" s="667"/>
      <c r="DN146" s="667"/>
      <c r="DO146" s="667"/>
      <c r="DP146" s="667"/>
      <c r="DQ146" s="667"/>
      <c r="DR146" s="667"/>
      <c r="DS146" s="667"/>
      <c r="DT146" s="667">
        <v>10000000</v>
      </c>
      <c r="DU146" s="667">
        <v>10000000</v>
      </c>
      <c r="DV146" s="667">
        <v>10000000</v>
      </c>
      <c r="DW146" s="667"/>
      <c r="DX146" s="667"/>
      <c r="DY146" s="667"/>
      <c r="DZ146" s="667"/>
      <c r="EA146" s="667"/>
      <c r="EB146" s="667"/>
      <c r="EC146" s="667"/>
      <c r="ED146" s="667"/>
      <c r="EE146" s="667"/>
      <c r="EF146" s="667"/>
      <c r="EG146" s="667"/>
      <c r="EH146" s="667"/>
      <c r="EI146" s="667"/>
      <c r="EJ146" s="667">
        <v>16200000</v>
      </c>
      <c r="EK146" s="667"/>
      <c r="EL146" s="667"/>
      <c r="EM146" s="667"/>
      <c r="EN146" s="667"/>
      <c r="EO146" s="667"/>
      <c r="EP146" s="667"/>
      <c r="EQ146" s="667"/>
      <c r="ER146" s="667"/>
      <c r="ES146" s="667"/>
      <c r="ET146" s="667"/>
      <c r="EU146" s="667"/>
      <c r="EV146" s="667"/>
      <c r="EW146" s="708">
        <f t="shared" ref="EW146:EX150" si="288">DJ146+DN146+DS146+DX146+EB146+EF146+EJ146+EN146+ES146</f>
        <v>16200000</v>
      </c>
      <c r="EX146" s="819">
        <f t="shared" si="288"/>
        <v>10000000</v>
      </c>
      <c r="EY146" s="819">
        <f t="shared" ref="EY146:EZ150" si="289">DL146+DP146+DU146+DZ146+ED146+EH146+EL146+EP146+EU146</f>
        <v>10000000</v>
      </c>
      <c r="EZ146" s="819">
        <f t="shared" si="289"/>
        <v>10000000</v>
      </c>
      <c r="FA146" s="820"/>
      <c r="FB146" s="667"/>
      <c r="FC146" s="706"/>
      <c r="FD146" s="706"/>
      <c r="FE146" s="706"/>
      <c r="FF146" s="707"/>
      <c r="FG146" s="667"/>
      <c r="FH146" s="667"/>
      <c r="FI146" s="667"/>
      <c r="FJ146" s="667"/>
      <c r="FK146" s="667"/>
      <c r="FL146" s="667"/>
      <c r="FM146" s="667">
        <v>9937000</v>
      </c>
      <c r="FN146" s="667"/>
      <c r="FO146" s="667"/>
      <c r="FP146" s="667"/>
      <c r="FQ146" s="667"/>
      <c r="FR146" s="667"/>
      <c r="FS146" s="667"/>
      <c r="FT146" s="667"/>
      <c r="FU146" s="667"/>
      <c r="FV146" s="667"/>
      <c r="FW146" s="667"/>
      <c r="FX146" s="667"/>
      <c r="FY146" s="667"/>
      <c r="FZ146" s="667"/>
      <c r="GA146" s="667"/>
      <c r="GB146" s="667"/>
      <c r="GC146" s="667"/>
      <c r="GD146" s="667"/>
      <c r="GE146" s="667"/>
      <c r="GF146" s="667">
        <v>14300000</v>
      </c>
      <c r="GG146" s="667"/>
      <c r="GH146" s="667"/>
      <c r="GI146" s="667"/>
      <c r="GJ146" s="667"/>
      <c r="GK146" s="667"/>
      <c r="GL146" s="667"/>
      <c r="GM146" s="667"/>
      <c r="GN146" s="667"/>
      <c r="GO146" s="667"/>
      <c r="GP146" s="667"/>
      <c r="GQ146" s="667"/>
      <c r="GR146" s="667"/>
      <c r="GS146" s="667"/>
      <c r="GT146" s="667"/>
      <c r="GU146" s="708">
        <f>FB146+FG146+FL146+FQ146+FV146+GA146+GF146+GK146+GP146</f>
        <v>14300000</v>
      </c>
      <c r="GV146" s="708">
        <f t="shared" ref="GV146:GY150" si="290">GQ146+GL146+GG146+GB146+FW146+FR146+FM146+FH146+FC146</f>
        <v>9937000</v>
      </c>
      <c r="GW146" s="708">
        <f t="shared" si="290"/>
        <v>0</v>
      </c>
      <c r="GX146" s="708">
        <f t="shared" si="290"/>
        <v>0</v>
      </c>
      <c r="GY146" s="709">
        <f t="shared" si="290"/>
        <v>0</v>
      </c>
      <c r="GZ146" s="710">
        <f>BM146+DE146+EW146+GU146</f>
        <v>71900000</v>
      </c>
    </row>
    <row r="147" spans="1:208" s="711" customFormat="1" ht="120.75" customHeight="1" x14ac:dyDescent="0.2">
      <c r="A147" s="703"/>
      <c r="B147" s="703"/>
      <c r="C147" s="822"/>
      <c r="D147" s="685"/>
      <c r="E147" s="823"/>
      <c r="F147" s="823"/>
      <c r="G147" s="682">
        <v>104</v>
      </c>
      <c r="H147" s="676" t="s">
        <v>364</v>
      </c>
      <c r="I147" s="859" t="s">
        <v>365</v>
      </c>
      <c r="J147" s="677" t="s">
        <v>266</v>
      </c>
      <c r="K147" s="680">
        <v>1</v>
      </c>
      <c r="L147" s="679" t="s">
        <v>73</v>
      </c>
      <c r="M147" s="680">
        <v>4</v>
      </c>
      <c r="N147" s="678">
        <v>50</v>
      </c>
      <c r="O147" s="678">
        <v>10</v>
      </c>
      <c r="P147" s="850">
        <v>10</v>
      </c>
      <c r="Q147" s="678">
        <v>27</v>
      </c>
      <c r="R147" s="814"/>
      <c r="S147" s="851">
        <v>48</v>
      </c>
      <c r="T147" s="678">
        <v>44</v>
      </c>
      <c r="U147" s="678"/>
      <c r="V147" s="850">
        <v>54</v>
      </c>
      <c r="W147" s="683">
        <v>50</v>
      </c>
      <c r="X147" s="679"/>
      <c r="Y147" s="635">
        <v>54</v>
      </c>
      <c r="Z147" s="852">
        <f>BM147/$BM$139</f>
        <v>7.3170731707317077E-3</v>
      </c>
      <c r="AA147" s="682">
        <v>4</v>
      </c>
      <c r="AB147" s="848" t="s">
        <v>114</v>
      </c>
      <c r="AC147" s="830"/>
      <c r="AD147" s="831"/>
      <c r="AE147" s="818"/>
      <c r="AF147" s="818"/>
      <c r="AG147" s="830"/>
      <c r="AH147" s="831"/>
      <c r="AI147" s="831"/>
      <c r="AJ147" s="831"/>
      <c r="AK147" s="830"/>
      <c r="AL147" s="831"/>
      <c r="AM147" s="831"/>
      <c r="AN147" s="831"/>
      <c r="AO147" s="830"/>
      <c r="AP147" s="831"/>
      <c r="AQ147" s="831"/>
      <c r="AR147" s="831"/>
      <c r="AS147" s="830"/>
      <c r="AT147" s="831"/>
      <c r="AU147" s="818"/>
      <c r="AV147" s="818"/>
      <c r="AW147" s="830"/>
      <c r="AX147" s="831"/>
      <c r="AY147" s="831"/>
      <c r="AZ147" s="831"/>
      <c r="BA147" s="830">
        <v>30000000</v>
      </c>
      <c r="BB147" s="831">
        <v>30000000</v>
      </c>
      <c r="BC147" s="831">
        <v>30000000</v>
      </c>
      <c r="BD147" s="831">
        <v>10000000</v>
      </c>
      <c r="BE147" s="830"/>
      <c r="BF147" s="831"/>
      <c r="BG147" s="818"/>
      <c r="BH147" s="818"/>
      <c r="BI147" s="830"/>
      <c r="BJ147" s="831"/>
      <c r="BK147" s="831"/>
      <c r="BL147" s="831"/>
      <c r="BM147" s="817">
        <f>+AC147+AG147+AK147+AO147+AS147+AW147+BA147+BE147+BI147</f>
        <v>30000000</v>
      </c>
      <c r="BN147" s="818">
        <f t="shared" si="286"/>
        <v>30000000</v>
      </c>
      <c r="BO147" s="818">
        <f t="shared" si="286"/>
        <v>30000000</v>
      </c>
      <c r="BP147" s="818">
        <f t="shared" si="286"/>
        <v>10000000</v>
      </c>
      <c r="BQ147" s="667"/>
      <c r="BR147" s="667"/>
      <c r="BS147" s="667"/>
      <c r="BT147" s="667"/>
      <c r="BU147" s="667"/>
      <c r="BV147" s="667"/>
      <c r="BW147" s="667"/>
      <c r="BX147" s="667"/>
      <c r="BY147" s="667"/>
      <c r="BZ147" s="667"/>
      <c r="CA147" s="667">
        <v>5000000</v>
      </c>
      <c r="CB147" s="667">
        <v>5000000</v>
      </c>
      <c r="CC147" s="667">
        <v>5000000</v>
      </c>
      <c r="CD147" s="667"/>
      <c r="CE147" s="667"/>
      <c r="CF147" s="667"/>
      <c r="CG147" s="667"/>
      <c r="CH147" s="667"/>
      <c r="CI147" s="667"/>
      <c r="CJ147" s="667"/>
      <c r="CK147" s="667"/>
      <c r="CL147" s="667"/>
      <c r="CM147" s="667"/>
      <c r="CN147" s="667"/>
      <c r="CO147" s="667"/>
      <c r="CP147" s="667"/>
      <c r="CQ147" s="667">
        <v>32100000</v>
      </c>
      <c r="CR147" s="667"/>
      <c r="CS147" s="667"/>
      <c r="CT147" s="667"/>
      <c r="CU147" s="667">
        <v>20000000</v>
      </c>
      <c r="CV147" s="667"/>
      <c r="CW147" s="667"/>
      <c r="CX147" s="667"/>
      <c r="CY147" s="667"/>
      <c r="CZ147" s="667"/>
      <c r="DA147" s="667"/>
      <c r="DB147" s="667"/>
      <c r="DC147" s="667"/>
      <c r="DD147" s="667"/>
      <c r="DE147" s="708">
        <f t="shared" si="287"/>
        <v>32100000</v>
      </c>
      <c r="DF147" s="708">
        <f t="shared" si="287"/>
        <v>5000000</v>
      </c>
      <c r="DG147" s="708">
        <f t="shared" si="287"/>
        <v>5000000</v>
      </c>
      <c r="DH147" s="708">
        <f t="shared" si="287"/>
        <v>5000000</v>
      </c>
      <c r="DI147" s="708">
        <f>CU147</f>
        <v>20000000</v>
      </c>
      <c r="DJ147" s="667"/>
      <c r="DK147" s="667"/>
      <c r="DL147" s="667"/>
      <c r="DM147" s="667"/>
      <c r="DN147" s="667"/>
      <c r="DO147" s="667"/>
      <c r="DP147" s="667"/>
      <c r="DQ147" s="667"/>
      <c r="DR147" s="667"/>
      <c r="DS147" s="667"/>
      <c r="DT147" s="667">
        <v>10000000</v>
      </c>
      <c r="DU147" s="667">
        <v>10000000</v>
      </c>
      <c r="DV147" s="667">
        <v>10000000</v>
      </c>
      <c r="DW147" s="667"/>
      <c r="DX147" s="667"/>
      <c r="DY147" s="667"/>
      <c r="DZ147" s="667"/>
      <c r="EA147" s="667"/>
      <c r="EB147" s="667"/>
      <c r="EC147" s="667"/>
      <c r="ED147" s="667"/>
      <c r="EE147" s="667"/>
      <c r="EF147" s="667"/>
      <c r="EG147" s="667"/>
      <c r="EH147" s="667"/>
      <c r="EI147" s="667"/>
      <c r="EJ147" s="667">
        <v>24300000</v>
      </c>
      <c r="EK147" s="667"/>
      <c r="EL147" s="667"/>
      <c r="EM147" s="667"/>
      <c r="EN147" s="667"/>
      <c r="EO147" s="667"/>
      <c r="EP147" s="667"/>
      <c r="EQ147" s="667"/>
      <c r="ER147" s="667"/>
      <c r="ES147" s="667"/>
      <c r="ET147" s="667"/>
      <c r="EU147" s="667"/>
      <c r="EV147" s="667"/>
      <c r="EW147" s="708">
        <f t="shared" si="288"/>
        <v>24300000</v>
      </c>
      <c r="EX147" s="819">
        <f t="shared" si="288"/>
        <v>10000000</v>
      </c>
      <c r="EY147" s="819">
        <f t="shared" si="289"/>
        <v>10000000</v>
      </c>
      <c r="EZ147" s="819">
        <f t="shared" si="289"/>
        <v>10000000</v>
      </c>
      <c r="FA147" s="820"/>
      <c r="FB147" s="667"/>
      <c r="FC147" s="706"/>
      <c r="FD147" s="706"/>
      <c r="FE147" s="706"/>
      <c r="FF147" s="707"/>
      <c r="FG147" s="667"/>
      <c r="FH147" s="667">
        <v>18417000</v>
      </c>
      <c r="FI147" s="667"/>
      <c r="FJ147" s="667"/>
      <c r="FK147" s="667"/>
      <c r="FL147" s="667"/>
      <c r="FM147" s="667">
        <v>9937000</v>
      </c>
      <c r="FN147" s="667">
        <v>9924250</v>
      </c>
      <c r="FO147" s="667">
        <v>9924250</v>
      </c>
      <c r="FP147" s="667"/>
      <c r="FQ147" s="667"/>
      <c r="FR147" s="667"/>
      <c r="FS147" s="667"/>
      <c r="FT147" s="667"/>
      <c r="FU147" s="667"/>
      <c r="FV147" s="667"/>
      <c r="FW147" s="667"/>
      <c r="FX147" s="667"/>
      <c r="FY147" s="667"/>
      <c r="FZ147" s="667"/>
      <c r="GA147" s="667"/>
      <c r="GB147" s="667"/>
      <c r="GC147" s="667"/>
      <c r="GD147" s="667"/>
      <c r="GE147" s="667"/>
      <c r="GF147" s="667">
        <v>21500000</v>
      </c>
      <c r="GG147" s="667"/>
      <c r="GH147" s="667"/>
      <c r="GI147" s="667"/>
      <c r="GJ147" s="667"/>
      <c r="GK147" s="667"/>
      <c r="GL147" s="667"/>
      <c r="GM147" s="667"/>
      <c r="GN147" s="667"/>
      <c r="GO147" s="667"/>
      <c r="GP147" s="667"/>
      <c r="GQ147" s="667"/>
      <c r="GR147" s="667"/>
      <c r="GS147" s="667"/>
      <c r="GT147" s="667"/>
      <c r="GU147" s="708">
        <f>FB147+FG147+FL147+FQ147+FV147+GA147+GF147+GK147+GP147</f>
        <v>21500000</v>
      </c>
      <c r="GV147" s="708">
        <f t="shared" si="290"/>
        <v>28354000</v>
      </c>
      <c r="GW147" s="708">
        <f t="shared" si="290"/>
        <v>9924250</v>
      </c>
      <c r="GX147" s="708">
        <f t="shared" si="290"/>
        <v>9924250</v>
      </c>
      <c r="GY147" s="709">
        <f t="shared" si="290"/>
        <v>0</v>
      </c>
      <c r="GZ147" s="710">
        <f>BM147+DE147+EW147+GU147</f>
        <v>107900000</v>
      </c>
    </row>
    <row r="148" spans="1:208" s="711" customFormat="1" ht="62.25" customHeight="1" x14ac:dyDescent="0.2">
      <c r="A148" s="703"/>
      <c r="B148" s="703"/>
      <c r="C148" s="715">
        <v>17</v>
      </c>
      <c r="D148" s="826" t="s">
        <v>299</v>
      </c>
      <c r="E148" s="856" t="s">
        <v>300</v>
      </c>
      <c r="F148" s="843">
        <v>0.5</v>
      </c>
      <c r="G148" s="682">
        <v>105</v>
      </c>
      <c r="H148" s="676" t="s">
        <v>366</v>
      </c>
      <c r="I148" s="859" t="s">
        <v>365</v>
      </c>
      <c r="J148" s="677" t="s">
        <v>266</v>
      </c>
      <c r="K148" s="680">
        <v>1</v>
      </c>
      <c r="L148" s="679" t="s">
        <v>58</v>
      </c>
      <c r="M148" s="680">
        <v>43</v>
      </c>
      <c r="N148" s="678">
        <v>47</v>
      </c>
      <c r="O148" s="678">
        <v>47</v>
      </c>
      <c r="P148" s="850">
        <v>45</v>
      </c>
      <c r="Q148" s="678">
        <v>47</v>
      </c>
      <c r="R148" s="814"/>
      <c r="S148" s="851">
        <v>48</v>
      </c>
      <c r="T148" s="678">
        <v>47</v>
      </c>
      <c r="U148" s="678"/>
      <c r="V148" s="850">
        <v>49</v>
      </c>
      <c r="W148" s="683">
        <v>47</v>
      </c>
      <c r="X148" s="679"/>
      <c r="Y148" s="635">
        <v>49</v>
      </c>
      <c r="Z148" s="852">
        <f>BM148/$BM$139</f>
        <v>7.3170731707317077E-3</v>
      </c>
      <c r="AA148" s="682">
        <v>4</v>
      </c>
      <c r="AB148" s="848" t="s">
        <v>114</v>
      </c>
      <c r="AC148" s="830"/>
      <c r="AD148" s="831"/>
      <c r="AE148" s="818"/>
      <c r="AF148" s="818"/>
      <c r="AG148" s="830"/>
      <c r="AH148" s="831"/>
      <c r="AI148" s="831"/>
      <c r="AJ148" s="831"/>
      <c r="AK148" s="830">
        <v>30000000</v>
      </c>
      <c r="AL148" s="831">
        <v>0</v>
      </c>
      <c r="AM148" s="831"/>
      <c r="AN148" s="831"/>
      <c r="AO148" s="830"/>
      <c r="AP148" s="831"/>
      <c r="AQ148" s="831"/>
      <c r="AR148" s="831"/>
      <c r="AS148" s="830"/>
      <c r="AT148" s="831"/>
      <c r="AU148" s="818"/>
      <c r="AV148" s="818"/>
      <c r="AW148" s="830"/>
      <c r="AX148" s="831"/>
      <c r="AY148" s="831"/>
      <c r="AZ148" s="831"/>
      <c r="BA148" s="830"/>
      <c r="BB148" s="831"/>
      <c r="BC148" s="831"/>
      <c r="BD148" s="831"/>
      <c r="BE148" s="830"/>
      <c r="BF148" s="831"/>
      <c r="BG148" s="818"/>
      <c r="BH148" s="818"/>
      <c r="BI148" s="830"/>
      <c r="BJ148" s="831"/>
      <c r="BK148" s="831"/>
      <c r="BL148" s="831"/>
      <c r="BM148" s="817">
        <f>+AC148+AG148+AK148+AO148+AS148+AW148+BA148+BE148+BI148</f>
        <v>30000000</v>
      </c>
      <c r="BN148" s="818">
        <f t="shared" si="286"/>
        <v>0</v>
      </c>
      <c r="BO148" s="818">
        <f t="shared" si="286"/>
        <v>0</v>
      </c>
      <c r="BP148" s="818">
        <f t="shared" si="286"/>
        <v>0</v>
      </c>
      <c r="BQ148" s="667"/>
      <c r="BR148" s="667"/>
      <c r="BS148" s="667"/>
      <c r="BT148" s="667"/>
      <c r="BU148" s="667"/>
      <c r="BV148" s="667"/>
      <c r="BW148" s="667"/>
      <c r="BX148" s="667"/>
      <c r="BY148" s="667"/>
      <c r="BZ148" s="667">
        <v>32100000</v>
      </c>
      <c r="CA148" s="667">
        <f>123718585+32100000</f>
        <v>155818585</v>
      </c>
      <c r="CB148" s="667">
        <v>15600000</v>
      </c>
      <c r="CC148" s="667">
        <v>15600000</v>
      </c>
      <c r="CD148" s="667"/>
      <c r="CE148" s="667"/>
      <c r="CF148" s="667"/>
      <c r="CG148" s="667"/>
      <c r="CH148" s="667"/>
      <c r="CI148" s="667"/>
      <c r="CJ148" s="667"/>
      <c r="CK148" s="667"/>
      <c r="CL148" s="667"/>
      <c r="CM148" s="667"/>
      <c r="CN148" s="667"/>
      <c r="CO148" s="667"/>
      <c r="CP148" s="667"/>
      <c r="CQ148" s="667"/>
      <c r="CR148" s="667"/>
      <c r="CS148" s="667"/>
      <c r="CT148" s="667"/>
      <c r="CU148" s="667"/>
      <c r="CV148" s="667"/>
      <c r="CW148" s="667"/>
      <c r="CX148" s="667"/>
      <c r="CY148" s="667"/>
      <c r="CZ148" s="667"/>
      <c r="DA148" s="667"/>
      <c r="DB148" s="667"/>
      <c r="DC148" s="667"/>
      <c r="DD148" s="667"/>
      <c r="DE148" s="708">
        <f t="shared" si="287"/>
        <v>32100000</v>
      </c>
      <c r="DF148" s="708">
        <f t="shared" si="287"/>
        <v>155818585</v>
      </c>
      <c r="DG148" s="708">
        <f t="shared" si="287"/>
        <v>15600000</v>
      </c>
      <c r="DH148" s="708">
        <f t="shared" si="287"/>
        <v>15600000</v>
      </c>
      <c r="DI148" s="708"/>
      <c r="DJ148" s="667"/>
      <c r="DK148" s="667"/>
      <c r="DL148" s="667"/>
      <c r="DM148" s="667"/>
      <c r="DN148" s="667"/>
      <c r="DO148" s="667">
        <v>320000000</v>
      </c>
      <c r="DP148" s="667">
        <v>296585872</v>
      </c>
      <c r="DQ148" s="667">
        <v>296585872</v>
      </c>
      <c r="DR148" s="667"/>
      <c r="DS148" s="667"/>
      <c r="DT148" s="667">
        <v>121511175</v>
      </c>
      <c r="DU148" s="667">
        <v>99766288</v>
      </c>
      <c r="DV148" s="667">
        <v>99766288</v>
      </c>
      <c r="DW148" s="875"/>
      <c r="DX148" s="667"/>
      <c r="DY148" s="667"/>
      <c r="DZ148" s="667"/>
      <c r="EA148" s="667"/>
      <c r="EB148" s="667"/>
      <c r="EC148" s="667"/>
      <c r="ED148" s="667"/>
      <c r="EE148" s="667"/>
      <c r="EF148" s="667"/>
      <c r="EG148" s="667"/>
      <c r="EH148" s="667"/>
      <c r="EI148" s="667"/>
      <c r="EJ148" s="667">
        <v>24300000</v>
      </c>
      <c r="EK148" s="667"/>
      <c r="EL148" s="667"/>
      <c r="EM148" s="667"/>
      <c r="EN148" s="667"/>
      <c r="EO148" s="667"/>
      <c r="EP148" s="667"/>
      <c r="EQ148" s="667"/>
      <c r="ER148" s="667"/>
      <c r="ES148" s="667"/>
      <c r="ET148" s="667"/>
      <c r="EU148" s="667"/>
      <c r="EV148" s="667"/>
      <c r="EW148" s="708">
        <f t="shared" si="288"/>
        <v>24300000</v>
      </c>
      <c r="EX148" s="819">
        <f t="shared" si="288"/>
        <v>441511175</v>
      </c>
      <c r="EY148" s="819">
        <f t="shared" si="289"/>
        <v>396352160</v>
      </c>
      <c r="EZ148" s="819">
        <f t="shared" si="289"/>
        <v>396352160</v>
      </c>
      <c r="FA148" s="820"/>
      <c r="FB148" s="667"/>
      <c r="FC148" s="706"/>
      <c r="FD148" s="706"/>
      <c r="FE148" s="706"/>
      <c r="FF148" s="707"/>
      <c r="FG148" s="667"/>
      <c r="FH148" s="667">
        <v>611744887</v>
      </c>
      <c r="FI148" s="667">
        <v>464200520</v>
      </c>
      <c r="FJ148" s="667">
        <v>232100260</v>
      </c>
      <c r="FK148" s="667"/>
      <c r="FL148" s="667"/>
      <c r="FM148" s="667">
        <v>9937000</v>
      </c>
      <c r="FN148" s="667"/>
      <c r="FO148" s="667"/>
      <c r="FP148" s="667"/>
      <c r="FQ148" s="667"/>
      <c r="FR148" s="667"/>
      <c r="FS148" s="667"/>
      <c r="FT148" s="667"/>
      <c r="FU148" s="667"/>
      <c r="FV148" s="667"/>
      <c r="FW148" s="667"/>
      <c r="FX148" s="667"/>
      <c r="FY148" s="667"/>
      <c r="FZ148" s="667"/>
      <c r="GA148" s="667"/>
      <c r="GB148" s="667"/>
      <c r="GC148" s="667"/>
      <c r="GD148" s="667"/>
      <c r="GE148" s="667"/>
      <c r="GF148" s="667">
        <v>21500000</v>
      </c>
      <c r="GG148" s="667"/>
      <c r="GH148" s="667"/>
      <c r="GI148" s="667"/>
      <c r="GJ148" s="667"/>
      <c r="GK148" s="667"/>
      <c r="GL148" s="667"/>
      <c r="GM148" s="667"/>
      <c r="GN148" s="667"/>
      <c r="GO148" s="667"/>
      <c r="GP148" s="667"/>
      <c r="GQ148" s="667"/>
      <c r="GR148" s="667"/>
      <c r="GS148" s="667"/>
      <c r="GT148" s="667"/>
      <c r="GU148" s="708">
        <f>FB148+FG148+FL148+FQ148+FV148+GA148+GF148+GK148+GP148</f>
        <v>21500000</v>
      </c>
      <c r="GV148" s="708">
        <f t="shared" si="290"/>
        <v>621681887</v>
      </c>
      <c r="GW148" s="708">
        <f t="shared" si="290"/>
        <v>464200520</v>
      </c>
      <c r="GX148" s="708">
        <f t="shared" si="290"/>
        <v>232100260</v>
      </c>
      <c r="GY148" s="709">
        <f t="shared" si="290"/>
        <v>0</v>
      </c>
      <c r="GZ148" s="710">
        <f>BM148+DE148+EW148+GU148</f>
        <v>107900000</v>
      </c>
    </row>
    <row r="149" spans="1:208" ht="92.25" customHeight="1" x14ac:dyDescent="0.2">
      <c r="A149" s="326"/>
      <c r="B149" s="326"/>
      <c r="C149" s="288">
        <v>18</v>
      </c>
      <c r="D149" s="258" t="s">
        <v>303</v>
      </c>
      <c r="E149" s="264">
        <v>6</v>
      </c>
      <c r="F149" s="264">
        <v>12</v>
      </c>
      <c r="G149" s="265">
        <v>106</v>
      </c>
      <c r="H149" s="261" t="s">
        <v>367</v>
      </c>
      <c r="I149" s="408" t="s">
        <v>368</v>
      </c>
      <c r="J149" s="386" t="s">
        <v>266</v>
      </c>
      <c r="K149" s="398">
        <v>1</v>
      </c>
      <c r="L149" s="391" t="s">
        <v>58</v>
      </c>
      <c r="M149" s="398">
        <v>0</v>
      </c>
      <c r="N149" s="392">
        <v>1</v>
      </c>
      <c r="O149" s="392">
        <v>1</v>
      </c>
      <c r="P149" s="393">
        <v>0</v>
      </c>
      <c r="Q149" s="392">
        <v>1</v>
      </c>
      <c r="R149" s="268"/>
      <c r="S149" s="394">
        <v>1</v>
      </c>
      <c r="T149" s="392">
        <v>1</v>
      </c>
      <c r="U149" s="392"/>
      <c r="V149" s="393">
        <v>1</v>
      </c>
      <c r="W149" s="409">
        <v>1</v>
      </c>
      <c r="X149" s="391"/>
      <c r="Y149" s="675">
        <v>0.5</v>
      </c>
      <c r="Z149" s="390">
        <f>BM149/$BM$139</f>
        <v>1.2195121951219513E-2</v>
      </c>
      <c r="AA149" s="265">
        <v>4</v>
      </c>
      <c r="AB149" s="327" t="s">
        <v>114</v>
      </c>
      <c r="AC149" s="56"/>
      <c r="AD149" s="55"/>
      <c r="AE149" s="54"/>
      <c r="AF149" s="54"/>
      <c r="AG149" s="56"/>
      <c r="AH149" s="55"/>
      <c r="AI149" s="55"/>
      <c r="AJ149" s="55"/>
      <c r="AK149" s="56">
        <v>50000000</v>
      </c>
      <c r="AL149" s="55">
        <v>0</v>
      </c>
      <c r="AM149" s="55"/>
      <c r="AN149" s="55"/>
      <c r="AO149" s="56"/>
      <c r="AP149" s="55"/>
      <c r="AQ149" s="55"/>
      <c r="AR149" s="55"/>
      <c r="AS149" s="56"/>
      <c r="AT149" s="55"/>
      <c r="AU149" s="54"/>
      <c r="AV149" s="54"/>
      <c r="AW149" s="56"/>
      <c r="AX149" s="55"/>
      <c r="AY149" s="55"/>
      <c r="AZ149" s="55"/>
      <c r="BA149" s="56"/>
      <c r="BB149" s="55"/>
      <c r="BC149" s="55"/>
      <c r="BD149" s="55"/>
      <c r="BE149" s="56"/>
      <c r="BF149" s="55"/>
      <c r="BG149" s="54"/>
      <c r="BH149" s="54"/>
      <c r="BI149" s="56"/>
      <c r="BJ149" s="55"/>
      <c r="BK149" s="55"/>
      <c r="BL149" s="55"/>
      <c r="BM149" s="53">
        <f>+AC149+AG149+AK149+AO149+AS149+AW149+BA149+BE149+BI149</f>
        <v>50000000</v>
      </c>
      <c r="BN149" s="54">
        <f t="shared" si="286"/>
        <v>0</v>
      </c>
      <c r="BO149" s="54">
        <f t="shared" si="286"/>
        <v>0</v>
      </c>
      <c r="BP149" s="54">
        <f t="shared" si="286"/>
        <v>0</v>
      </c>
      <c r="BQ149" s="83"/>
      <c r="BR149" s="83"/>
      <c r="BS149" s="83"/>
      <c r="BT149" s="83"/>
      <c r="BU149" s="83"/>
      <c r="BV149" s="83"/>
      <c r="BW149" s="83"/>
      <c r="BX149" s="83"/>
      <c r="BY149" s="83"/>
      <c r="BZ149" s="83">
        <v>53600000</v>
      </c>
      <c r="CA149" s="83">
        <f>53600000+49500000</f>
        <v>103100000</v>
      </c>
      <c r="CB149" s="83">
        <v>34359000</v>
      </c>
      <c r="CC149" s="83">
        <v>34359000</v>
      </c>
      <c r="CD149" s="83"/>
      <c r="CE149" s="83"/>
      <c r="CF149" s="82"/>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1">
        <f t="shared" si="287"/>
        <v>53600000</v>
      </c>
      <c r="DF149" s="95">
        <f t="shared" si="287"/>
        <v>103100000</v>
      </c>
      <c r="DG149" s="95">
        <f t="shared" si="287"/>
        <v>34359000</v>
      </c>
      <c r="DH149" s="95">
        <f t="shared" si="287"/>
        <v>34359000</v>
      </c>
      <c r="DI149" s="95"/>
      <c r="DJ149" s="83"/>
      <c r="DK149" s="82"/>
      <c r="DL149" s="83"/>
      <c r="DM149" s="83"/>
      <c r="DN149" s="83"/>
      <c r="DO149" s="83">
        <v>30000000</v>
      </c>
      <c r="DP149" s="83">
        <v>29997250</v>
      </c>
      <c r="DQ149" s="83">
        <v>29997250</v>
      </c>
      <c r="DR149" s="83"/>
      <c r="DS149" s="83"/>
      <c r="DT149" s="83">
        <v>16000000</v>
      </c>
      <c r="DU149" s="83">
        <v>16000000</v>
      </c>
      <c r="DV149" s="83">
        <v>16000000</v>
      </c>
      <c r="DW149" s="83"/>
      <c r="DX149" s="83"/>
      <c r="DY149" s="83"/>
      <c r="DZ149" s="83"/>
      <c r="EA149" s="83"/>
      <c r="EB149" s="83"/>
      <c r="EC149" s="83"/>
      <c r="ED149" s="83"/>
      <c r="EE149" s="83"/>
      <c r="EF149" s="83"/>
      <c r="EG149" s="83"/>
      <c r="EH149" s="83"/>
      <c r="EI149" s="83"/>
      <c r="EJ149" s="83">
        <v>40500000</v>
      </c>
      <c r="EK149" s="83"/>
      <c r="EL149" s="83"/>
      <c r="EM149" s="83"/>
      <c r="EN149" s="83"/>
      <c r="EO149" s="83"/>
      <c r="EP149" s="83"/>
      <c r="EQ149" s="83"/>
      <c r="ER149" s="83"/>
      <c r="ES149" s="83"/>
      <c r="ET149" s="83"/>
      <c r="EU149" s="83"/>
      <c r="EV149" s="83"/>
      <c r="EW149" s="81">
        <f t="shared" si="288"/>
        <v>40500000</v>
      </c>
      <c r="EX149" s="86">
        <f t="shared" si="288"/>
        <v>46000000</v>
      </c>
      <c r="EY149" s="86">
        <f t="shared" si="289"/>
        <v>45997250</v>
      </c>
      <c r="EZ149" s="86">
        <f t="shared" si="289"/>
        <v>45997250</v>
      </c>
      <c r="FA149" s="176"/>
      <c r="FB149" s="83"/>
      <c r="FC149" s="84"/>
      <c r="FD149" s="84"/>
      <c r="FE149" s="84"/>
      <c r="FF149" s="140"/>
      <c r="FG149" s="83"/>
      <c r="FH149" s="83">
        <v>34100000</v>
      </c>
      <c r="FI149" s="83">
        <v>34100000</v>
      </c>
      <c r="FJ149" s="83"/>
      <c r="FK149" s="83"/>
      <c r="FL149" s="83"/>
      <c r="FM149" s="83">
        <v>15900000</v>
      </c>
      <c r="FN149" s="83">
        <v>14236000</v>
      </c>
      <c r="FO149" s="83"/>
      <c r="FP149" s="83"/>
      <c r="FQ149" s="83"/>
      <c r="FR149" s="83"/>
      <c r="FS149" s="83"/>
      <c r="FT149" s="83"/>
      <c r="FU149" s="83"/>
      <c r="FV149" s="83"/>
      <c r="FW149" s="83"/>
      <c r="FX149" s="83"/>
      <c r="FY149" s="83"/>
      <c r="FZ149" s="83"/>
      <c r="GA149" s="83"/>
      <c r="GB149" s="83"/>
      <c r="GC149" s="83"/>
      <c r="GD149" s="83"/>
      <c r="GE149" s="83"/>
      <c r="GF149" s="83">
        <v>35900000</v>
      </c>
      <c r="GG149" s="83"/>
      <c r="GH149" s="83"/>
      <c r="GI149" s="83"/>
      <c r="GJ149" s="83"/>
      <c r="GK149" s="83"/>
      <c r="GL149" s="83"/>
      <c r="GM149" s="83"/>
      <c r="GN149" s="83"/>
      <c r="GO149" s="83"/>
      <c r="GP149" s="83"/>
      <c r="GQ149" s="83"/>
      <c r="GR149" s="83"/>
      <c r="GS149" s="83"/>
      <c r="GT149" s="83"/>
      <c r="GU149" s="81">
        <f>FB149+FG149+FL149+FQ149+FV149+GA149+GF149+GK149+GP149</f>
        <v>35900000</v>
      </c>
      <c r="GV149" s="81">
        <f t="shared" si="290"/>
        <v>50000000</v>
      </c>
      <c r="GW149" s="81">
        <f t="shared" si="290"/>
        <v>48336000</v>
      </c>
      <c r="GX149" s="81">
        <f t="shared" si="290"/>
        <v>0</v>
      </c>
      <c r="GY149" s="673">
        <f t="shared" si="290"/>
        <v>0</v>
      </c>
      <c r="GZ149" s="67">
        <f>BM149+DE149+EW149+GU149</f>
        <v>180000000</v>
      </c>
    </row>
    <row r="150" spans="1:208" ht="92.25" customHeight="1" x14ac:dyDescent="0.2">
      <c r="A150" s="326"/>
      <c r="B150" s="372"/>
      <c r="C150" s="277">
        <v>19</v>
      </c>
      <c r="D150" s="722" t="s">
        <v>306</v>
      </c>
      <c r="E150" s="724" t="s">
        <v>307</v>
      </c>
      <c r="F150" s="378" t="s">
        <v>308</v>
      </c>
      <c r="G150" s="260">
        <v>107</v>
      </c>
      <c r="H150" s="261" t="s">
        <v>369</v>
      </c>
      <c r="I150" s="258" t="s">
        <v>370</v>
      </c>
      <c r="J150" s="386" t="s">
        <v>266</v>
      </c>
      <c r="K150" s="398">
        <v>1</v>
      </c>
      <c r="L150" s="415" t="s">
        <v>58</v>
      </c>
      <c r="M150" s="265">
        <v>1</v>
      </c>
      <c r="N150" s="265">
        <v>1</v>
      </c>
      <c r="O150" s="259">
        <v>1</v>
      </c>
      <c r="P150" s="387">
        <v>1</v>
      </c>
      <c r="Q150" s="392">
        <v>1</v>
      </c>
      <c r="R150" s="268"/>
      <c r="S150" s="394">
        <v>1</v>
      </c>
      <c r="T150" s="259">
        <v>1</v>
      </c>
      <c r="U150" s="259"/>
      <c r="V150" s="393">
        <v>1</v>
      </c>
      <c r="W150" s="374">
        <v>1</v>
      </c>
      <c r="X150" s="415"/>
      <c r="Y150" s="636">
        <v>0.5</v>
      </c>
      <c r="Z150" s="416">
        <f>BM150/$BM$145</f>
        <v>0.27777777777777779</v>
      </c>
      <c r="AA150" s="265">
        <v>4</v>
      </c>
      <c r="AB150" s="327" t="s">
        <v>114</v>
      </c>
      <c r="AC150" s="56"/>
      <c r="AD150" s="55"/>
      <c r="AE150" s="54"/>
      <c r="AF150" s="54"/>
      <c r="AG150" s="56"/>
      <c r="AH150" s="55"/>
      <c r="AI150" s="55"/>
      <c r="AJ150" s="55"/>
      <c r="AK150" s="56"/>
      <c r="AL150" s="55">
        <v>80000000</v>
      </c>
      <c r="AM150" s="55">
        <v>988000</v>
      </c>
      <c r="AN150" s="55">
        <v>988000</v>
      </c>
      <c r="AO150" s="56"/>
      <c r="AP150" s="55"/>
      <c r="AQ150" s="55"/>
      <c r="AR150" s="55"/>
      <c r="AS150" s="56"/>
      <c r="AT150" s="55"/>
      <c r="AU150" s="54"/>
      <c r="AV150" s="54"/>
      <c r="AW150" s="56"/>
      <c r="AX150" s="55"/>
      <c r="AY150" s="55"/>
      <c r="AZ150" s="55"/>
      <c r="BA150" s="56">
        <v>50000000</v>
      </c>
      <c r="BB150" s="55">
        <v>50000000</v>
      </c>
      <c r="BC150" s="55"/>
      <c r="BD150" s="55"/>
      <c r="BE150" s="56"/>
      <c r="BF150" s="55"/>
      <c r="BG150" s="54"/>
      <c r="BH150" s="54"/>
      <c r="BI150" s="56"/>
      <c r="BJ150" s="55"/>
      <c r="BK150" s="55"/>
      <c r="BL150" s="55"/>
      <c r="BM150" s="53">
        <f>+AC150+AG150+AK150+AO150+AS150+AW150+BA150+BE150+BI150</f>
        <v>50000000</v>
      </c>
      <c r="BN150" s="54">
        <f t="shared" si="286"/>
        <v>130000000</v>
      </c>
      <c r="BO150" s="54">
        <f t="shared" si="286"/>
        <v>988000</v>
      </c>
      <c r="BP150" s="54">
        <f t="shared" si="286"/>
        <v>988000</v>
      </c>
      <c r="BQ150" s="83"/>
      <c r="BR150" s="83"/>
      <c r="BS150" s="83"/>
      <c r="BT150" s="83"/>
      <c r="BU150" s="83"/>
      <c r="BV150" s="83"/>
      <c r="BW150" s="83"/>
      <c r="BX150" s="83"/>
      <c r="BY150" s="83"/>
      <c r="BZ150" s="83">
        <v>4300000</v>
      </c>
      <c r="CA150" s="82">
        <v>53800000</v>
      </c>
      <c r="CB150" s="83">
        <v>33350945</v>
      </c>
      <c r="CC150" s="83">
        <v>33350945</v>
      </c>
      <c r="CD150" s="83"/>
      <c r="CE150" s="83"/>
      <c r="CF150" s="82"/>
      <c r="CG150" s="83"/>
      <c r="CH150" s="83"/>
      <c r="CI150" s="83"/>
      <c r="CJ150" s="83"/>
      <c r="CK150" s="83"/>
      <c r="CL150" s="83"/>
      <c r="CM150" s="83"/>
      <c r="CN150" s="83"/>
      <c r="CO150" s="83"/>
      <c r="CP150" s="83"/>
      <c r="CQ150" s="83">
        <f>53800000-4300000</f>
        <v>49500000</v>
      </c>
      <c r="CR150" s="83"/>
      <c r="CS150" s="83"/>
      <c r="CT150" s="83"/>
      <c r="CU150" s="83"/>
      <c r="CV150" s="83"/>
      <c r="CW150" s="83"/>
      <c r="CX150" s="83"/>
      <c r="CY150" s="83"/>
      <c r="CZ150" s="83"/>
      <c r="DA150" s="83"/>
      <c r="DB150" s="83"/>
      <c r="DC150" s="83"/>
      <c r="DD150" s="83"/>
      <c r="DE150" s="81">
        <f t="shared" si="287"/>
        <v>53800000</v>
      </c>
      <c r="DF150" s="95">
        <f t="shared" si="287"/>
        <v>53800000</v>
      </c>
      <c r="DG150" s="95">
        <f t="shared" si="287"/>
        <v>33350945</v>
      </c>
      <c r="DH150" s="95">
        <f t="shared" si="287"/>
        <v>33350945</v>
      </c>
      <c r="DI150" s="95"/>
      <c r="DJ150" s="83"/>
      <c r="DK150" s="82"/>
      <c r="DL150" s="83"/>
      <c r="DM150" s="83"/>
      <c r="DN150" s="83"/>
      <c r="DO150" s="83">
        <v>1044752352</v>
      </c>
      <c r="DP150" s="83">
        <v>1040815542</v>
      </c>
      <c r="DQ150" s="83">
        <v>1040815542</v>
      </c>
      <c r="DR150" s="83"/>
      <c r="DS150" s="83">
        <v>40000000</v>
      </c>
      <c r="DT150" s="83">
        <v>45000000</v>
      </c>
      <c r="DU150" s="83">
        <v>40232376</v>
      </c>
      <c r="DV150" s="83">
        <v>40232376</v>
      </c>
      <c r="DW150" s="83"/>
      <c r="DX150" s="83"/>
      <c r="DY150" s="83"/>
      <c r="DZ150" s="83"/>
      <c r="EA150" s="83"/>
      <c r="EB150" s="83"/>
      <c r="EC150" s="83"/>
      <c r="ED150" s="83"/>
      <c r="EE150" s="83"/>
      <c r="EF150" s="83"/>
      <c r="EG150" s="83"/>
      <c r="EH150" s="83"/>
      <c r="EI150" s="83"/>
      <c r="EJ150" s="83">
        <v>790000</v>
      </c>
      <c r="EK150" s="83"/>
      <c r="EL150" s="83"/>
      <c r="EM150" s="83"/>
      <c r="EN150" s="83"/>
      <c r="EO150" s="83"/>
      <c r="EP150" s="83"/>
      <c r="EQ150" s="83"/>
      <c r="ER150" s="83"/>
      <c r="ES150" s="83"/>
      <c r="ET150" s="83"/>
      <c r="EU150" s="83"/>
      <c r="EV150" s="83"/>
      <c r="EW150" s="81">
        <f t="shared" si="288"/>
        <v>40790000</v>
      </c>
      <c r="EX150" s="86">
        <f t="shared" si="288"/>
        <v>1089752352</v>
      </c>
      <c r="EY150" s="86">
        <f t="shared" si="289"/>
        <v>1081047918</v>
      </c>
      <c r="EZ150" s="86">
        <f t="shared" si="289"/>
        <v>1081047918</v>
      </c>
      <c r="FA150" s="176"/>
      <c r="FB150" s="83"/>
      <c r="FC150" s="84"/>
      <c r="FD150" s="84"/>
      <c r="FE150" s="84"/>
      <c r="FF150" s="140"/>
      <c r="FG150" s="83"/>
      <c r="FH150" s="83">
        <v>1000000000</v>
      </c>
      <c r="FI150" s="83">
        <v>1000000000</v>
      </c>
      <c r="FJ150" s="83">
        <v>1000000000</v>
      </c>
      <c r="FK150" s="83"/>
      <c r="FL150" s="83">
        <v>20000000</v>
      </c>
      <c r="FM150" s="667">
        <v>144717884</v>
      </c>
      <c r="FN150" s="667">
        <v>100000000</v>
      </c>
      <c r="FO150" s="667">
        <v>100000000</v>
      </c>
      <c r="FP150" s="83"/>
      <c r="FQ150" s="83"/>
      <c r="FR150" s="667">
        <v>150000000</v>
      </c>
      <c r="FS150" s="83">
        <v>43960526</v>
      </c>
      <c r="FT150" s="83">
        <v>43960526</v>
      </c>
      <c r="FU150" s="83"/>
      <c r="FV150" s="83"/>
      <c r="FW150" s="83"/>
      <c r="FX150" s="83"/>
      <c r="FY150" s="83"/>
      <c r="FZ150" s="83"/>
      <c r="GA150" s="83"/>
      <c r="GB150" s="83"/>
      <c r="GC150" s="83"/>
      <c r="GD150" s="83"/>
      <c r="GE150" s="83"/>
      <c r="GF150" s="83">
        <v>16072700.0033333</v>
      </c>
      <c r="GG150" s="83"/>
      <c r="GH150" s="83"/>
      <c r="GI150" s="83"/>
      <c r="GJ150" s="83"/>
      <c r="GK150" s="83"/>
      <c r="GL150" s="83"/>
      <c r="GM150" s="83"/>
      <c r="GN150" s="83"/>
      <c r="GO150" s="83"/>
      <c r="GP150" s="83"/>
      <c r="GQ150" s="83"/>
      <c r="GR150" s="83"/>
      <c r="GS150" s="83"/>
      <c r="GT150" s="83"/>
      <c r="GU150" s="81">
        <f>FB150+FG150+FL150+FQ150+FV150+GA150+GF150+GK150+GP150</f>
        <v>36072700.0033333</v>
      </c>
      <c r="GV150" s="81">
        <f t="shared" si="290"/>
        <v>1294717884</v>
      </c>
      <c r="GW150" s="81">
        <f t="shared" si="290"/>
        <v>1143960526</v>
      </c>
      <c r="GX150" s="81">
        <f t="shared" si="290"/>
        <v>1143960526</v>
      </c>
      <c r="GY150" s="673">
        <f t="shared" si="290"/>
        <v>0</v>
      </c>
      <c r="GZ150" s="67">
        <f>BM150+DE150+EW150+GU150</f>
        <v>180662700.0033333</v>
      </c>
    </row>
    <row r="151" spans="1:208" ht="24.75" customHeight="1" x14ac:dyDescent="0.2">
      <c r="A151" s="326"/>
      <c r="B151" s="234">
        <v>8</v>
      </c>
      <c r="C151" s="324" t="s">
        <v>371</v>
      </c>
      <c r="D151" s="237"/>
      <c r="E151" s="237"/>
      <c r="F151" s="237"/>
      <c r="G151" s="238"/>
      <c r="H151" s="238"/>
      <c r="I151" s="238"/>
      <c r="J151" s="238"/>
      <c r="K151" s="238"/>
      <c r="L151" s="238"/>
      <c r="M151" s="238"/>
      <c r="N151" s="238"/>
      <c r="O151" s="238"/>
      <c r="P151" s="238"/>
      <c r="Q151" s="238"/>
      <c r="R151" s="238"/>
      <c r="S151" s="238"/>
      <c r="T151" s="238"/>
      <c r="U151" s="238"/>
      <c r="V151" s="238"/>
      <c r="W151" s="238"/>
      <c r="X151" s="238"/>
      <c r="Y151" s="241"/>
      <c r="Z151" s="238"/>
      <c r="AA151" s="238"/>
      <c r="AB151" s="238"/>
      <c r="AC151" s="190">
        <f t="shared" ref="AC151:CN151" si="291">AC152+AC155+AC157+AC159</f>
        <v>0</v>
      </c>
      <c r="AD151" s="190">
        <f t="shared" si="291"/>
        <v>0</v>
      </c>
      <c r="AE151" s="190">
        <f t="shared" si="291"/>
        <v>0</v>
      </c>
      <c r="AF151" s="190">
        <f t="shared" si="291"/>
        <v>0</v>
      </c>
      <c r="AG151" s="190">
        <f t="shared" si="291"/>
        <v>0</v>
      </c>
      <c r="AH151" s="190">
        <f t="shared" si="291"/>
        <v>48879475.450000003</v>
      </c>
      <c r="AI151" s="190">
        <f t="shared" si="291"/>
        <v>0</v>
      </c>
      <c r="AJ151" s="190">
        <f t="shared" si="291"/>
        <v>0</v>
      </c>
      <c r="AK151" s="190">
        <f t="shared" si="291"/>
        <v>110000000</v>
      </c>
      <c r="AL151" s="190">
        <f t="shared" si="291"/>
        <v>110000000</v>
      </c>
      <c r="AM151" s="190">
        <f t="shared" si="291"/>
        <v>19020160</v>
      </c>
      <c r="AN151" s="190">
        <f t="shared" si="291"/>
        <v>19020160</v>
      </c>
      <c r="AO151" s="190">
        <f t="shared" si="291"/>
        <v>0</v>
      </c>
      <c r="AP151" s="190">
        <f t="shared" si="291"/>
        <v>0</v>
      </c>
      <c r="AQ151" s="190">
        <f t="shared" si="291"/>
        <v>0</v>
      </c>
      <c r="AR151" s="190">
        <f t="shared" si="291"/>
        <v>0</v>
      </c>
      <c r="AS151" s="190">
        <f t="shared" si="291"/>
        <v>0</v>
      </c>
      <c r="AT151" s="190">
        <f t="shared" si="291"/>
        <v>0</v>
      </c>
      <c r="AU151" s="190">
        <f t="shared" si="291"/>
        <v>0</v>
      </c>
      <c r="AV151" s="190">
        <f t="shared" si="291"/>
        <v>0</v>
      </c>
      <c r="AW151" s="190">
        <f t="shared" si="291"/>
        <v>0</v>
      </c>
      <c r="AX151" s="190">
        <f t="shared" si="291"/>
        <v>0</v>
      </c>
      <c r="AY151" s="190">
        <f t="shared" si="291"/>
        <v>0</v>
      </c>
      <c r="AZ151" s="190">
        <f t="shared" si="291"/>
        <v>0</v>
      </c>
      <c r="BA151" s="190">
        <f t="shared" si="291"/>
        <v>13358299770</v>
      </c>
      <c r="BB151" s="190">
        <f t="shared" si="291"/>
        <v>15728481280</v>
      </c>
      <c r="BC151" s="190">
        <f t="shared" si="291"/>
        <v>14854768864.15</v>
      </c>
      <c r="BD151" s="190">
        <f t="shared" si="291"/>
        <v>14852568863.15</v>
      </c>
      <c r="BE151" s="190">
        <f t="shared" si="291"/>
        <v>0</v>
      </c>
      <c r="BF151" s="190">
        <f t="shared" si="291"/>
        <v>0</v>
      </c>
      <c r="BG151" s="190">
        <f t="shared" si="291"/>
        <v>0</v>
      </c>
      <c r="BH151" s="190">
        <f t="shared" si="291"/>
        <v>0</v>
      </c>
      <c r="BI151" s="190">
        <f t="shared" si="291"/>
        <v>0</v>
      </c>
      <c r="BJ151" s="190">
        <f t="shared" si="291"/>
        <v>0</v>
      </c>
      <c r="BK151" s="190">
        <f t="shared" si="291"/>
        <v>0</v>
      </c>
      <c r="BL151" s="190">
        <f t="shared" si="291"/>
        <v>0</v>
      </c>
      <c r="BM151" s="190">
        <f t="shared" si="291"/>
        <v>13468299770</v>
      </c>
      <c r="BN151" s="190">
        <f t="shared" si="291"/>
        <v>15887360755.450001</v>
      </c>
      <c r="BO151" s="190">
        <f t="shared" si="291"/>
        <v>14873789024.15</v>
      </c>
      <c r="BP151" s="190">
        <f t="shared" si="291"/>
        <v>14871589023.15</v>
      </c>
      <c r="BQ151" s="190">
        <f t="shared" si="291"/>
        <v>0</v>
      </c>
      <c r="BR151" s="190">
        <f t="shared" si="291"/>
        <v>0</v>
      </c>
      <c r="BS151" s="190">
        <f t="shared" si="291"/>
        <v>0</v>
      </c>
      <c r="BT151" s="190">
        <f t="shared" si="291"/>
        <v>0</v>
      </c>
      <c r="BU151" s="190">
        <f t="shared" si="291"/>
        <v>0</v>
      </c>
      <c r="BV151" s="190">
        <f t="shared" si="291"/>
        <v>0</v>
      </c>
      <c r="BW151" s="190">
        <f t="shared" si="291"/>
        <v>0</v>
      </c>
      <c r="BX151" s="190">
        <f t="shared" si="291"/>
        <v>0</v>
      </c>
      <c r="BY151" s="190">
        <f t="shared" si="291"/>
        <v>0</v>
      </c>
      <c r="BZ151" s="190">
        <f t="shared" si="291"/>
        <v>110000000</v>
      </c>
      <c r="CA151" s="190">
        <f t="shared" si="291"/>
        <v>122600000</v>
      </c>
      <c r="CB151" s="190">
        <f t="shared" si="291"/>
        <v>44275867</v>
      </c>
      <c r="CC151" s="190">
        <f t="shared" si="291"/>
        <v>44275867</v>
      </c>
      <c r="CD151" s="190">
        <f t="shared" si="291"/>
        <v>0</v>
      </c>
      <c r="CE151" s="190">
        <f t="shared" si="291"/>
        <v>0</v>
      </c>
      <c r="CF151" s="190">
        <f t="shared" si="291"/>
        <v>0</v>
      </c>
      <c r="CG151" s="190">
        <f t="shared" si="291"/>
        <v>0</v>
      </c>
      <c r="CH151" s="190">
        <f t="shared" si="291"/>
        <v>0</v>
      </c>
      <c r="CI151" s="190">
        <f t="shared" si="291"/>
        <v>0</v>
      </c>
      <c r="CJ151" s="190">
        <f t="shared" si="291"/>
        <v>0</v>
      </c>
      <c r="CK151" s="190">
        <f t="shared" si="291"/>
        <v>0</v>
      </c>
      <c r="CL151" s="190">
        <f t="shared" si="291"/>
        <v>0</v>
      </c>
      <c r="CM151" s="190">
        <f t="shared" si="291"/>
        <v>0</v>
      </c>
      <c r="CN151" s="190">
        <f t="shared" si="291"/>
        <v>0</v>
      </c>
      <c r="CO151" s="190">
        <f t="shared" ref="CO151:EV151" si="292">CO152+CO155+CO157+CO159</f>
        <v>0</v>
      </c>
      <c r="CP151" s="190">
        <f t="shared" si="292"/>
        <v>0</v>
      </c>
      <c r="CQ151" s="190">
        <f t="shared" si="292"/>
        <v>13708702903.85</v>
      </c>
      <c r="CR151" s="190">
        <f t="shared" si="292"/>
        <v>19329811521</v>
      </c>
      <c r="CS151" s="190">
        <f t="shared" si="292"/>
        <v>19046710193</v>
      </c>
      <c r="CT151" s="190">
        <f t="shared" si="292"/>
        <v>19046710193</v>
      </c>
      <c r="CU151" s="190">
        <f t="shared" si="292"/>
        <v>0</v>
      </c>
      <c r="CV151" s="190">
        <f t="shared" si="292"/>
        <v>0</v>
      </c>
      <c r="CW151" s="190">
        <f t="shared" si="292"/>
        <v>0</v>
      </c>
      <c r="CX151" s="190">
        <f t="shared" si="292"/>
        <v>0</v>
      </c>
      <c r="CY151" s="190">
        <f t="shared" si="292"/>
        <v>0</v>
      </c>
      <c r="CZ151" s="190">
        <f t="shared" si="292"/>
        <v>0</v>
      </c>
      <c r="DA151" s="190">
        <f t="shared" si="292"/>
        <v>0</v>
      </c>
      <c r="DB151" s="190">
        <f t="shared" si="292"/>
        <v>0</v>
      </c>
      <c r="DC151" s="190">
        <f t="shared" si="292"/>
        <v>0</v>
      </c>
      <c r="DD151" s="190">
        <f t="shared" si="292"/>
        <v>0</v>
      </c>
      <c r="DE151" s="190">
        <f t="shared" si="292"/>
        <v>13818702903.85</v>
      </c>
      <c r="DF151" s="190">
        <f t="shared" si="292"/>
        <v>19452411521</v>
      </c>
      <c r="DG151" s="190">
        <f t="shared" si="292"/>
        <v>19090986060</v>
      </c>
      <c r="DH151" s="190">
        <f t="shared" si="292"/>
        <v>19090986060</v>
      </c>
      <c r="DI151" s="190">
        <f t="shared" si="292"/>
        <v>0</v>
      </c>
      <c r="DJ151" s="190">
        <f t="shared" si="292"/>
        <v>0</v>
      </c>
      <c r="DK151" s="190">
        <f t="shared" si="292"/>
        <v>0</v>
      </c>
      <c r="DL151" s="190">
        <f t="shared" si="292"/>
        <v>0</v>
      </c>
      <c r="DM151" s="190">
        <f t="shared" si="292"/>
        <v>0</v>
      </c>
      <c r="DN151" s="190">
        <f t="shared" si="292"/>
        <v>0</v>
      </c>
      <c r="DO151" s="190">
        <f t="shared" si="292"/>
        <v>245000000</v>
      </c>
      <c r="DP151" s="190">
        <f t="shared" si="292"/>
        <v>204133051</v>
      </c>
      <c r="DQ151" s="190">
        <f t="shared" si="292"/>
        <v>15125680</v>
      </c>
      <c r="DR151" s="190">
        <f t="shared" si="292"/>
        <v>0</v>
      </c>
      <c r="DS151" s="190">
        <f t="shared" si="292"/>
        <v>40000000</v>
      </c>
      <c r="DT151" s="190">
        <f t="shared" si="292"/>
        <v>130000000</v>
      </c>
      <c r="DU151" s="190">
        <f t="shared" si="292"/>
        <v>64959333</v>
      </c>
      <c r="DV151" s="190">
        <f t="shared" si="292"/>
        <v>64959333</v>
      </c>
      <c r="DW151" s="190">
        <f t="shared" si="292"/>
        <v>0</v>
      </c>
      <c r="DX151" s="190">
        <f t="shared" si="292"/>
        <v>0</v>
      </c>
      <c r="DY151" s="190">
        <f t="shared" si="292"/>
        <v>0</v>
      </c>
      <c r="DZ151" s="190">
        <f t="shared" si="292"/>
        <v>0</v>
      </c>
      <c r="EA151" s="190">
        <f t="shared" si="292"/>
        <v>0</v>
      </c>
      <c r="EB151" s="190">
        <f t="shared" si="292"/>
        <v>0</v>
      </c>
      <c r="EC151" s="190">
        <f t="shared" si="292"/>
        <v>0</v>
      </c>
      <c r="ED151" s="190">
        <f t="shared" si="292"/>
        <v>0</v>
      </c>
      <c r="EE151" s="190">
        <f t="shared" si="292"/>
        <v>0</v>
      </c>
      <c r="EF151" s="190">
        <f t="shared" si="292"/>
        <v>0</v>
      </c>
      <c r="EG151" s="190">
        <f t="shared" si="292"/>
        <v>0</v>
      </c>
      <c r="EH151" s="190">
        <f t="shared" si="292"/>
        <v>0</v>
      </c>
      <c r="EI151" s="190">
        <f t="shared" si="292"/>
        <v>0</v>
      </c>
      <c r="EJ151" s="190">
        <f t="shared" si="292"/>
        <v>14119963990.9655</v>
      </c>
      <c r="EK151" s="190">
        <f t="shared" si="292"/>
        <v>16423881861</v>
      </c>
      <c r="EL151" s="190">
        <f t="shared" si="292"/>
        <v>16288516576.469999</v>
      </c>
      <c r="EM151" s="190">
        <f t="shared" si="292"/>
        <v>16222443459.469999</v>
      </c>
      <c r="EN151" s="190">
        <f t="shared" si="292"/>
        <v>0</v>
      </c>
      <c r="EO151" s="190">
        <f t="shared" si="292"/>
        <v>0</v>
      </c>
      <c r="EP151" s="190">
        <f t="shared" si="292"/>
        <v>0</v>
      </c>
      <c r="EQ151" s="190">
        <f t="shared" si="292"/>
        <v>0</v>
      </c>
      <c r="ER151" s="190">
        <f t="shared" si="292"/>
        <v>0</v>
      </c>
      <c r="ES151" s="190">
        <f t="shared" si="292"/>
        <v>0</v>
      </c>
      <c r="ET151" s="190">
        <f t="shared" si="292"/>
        <v>0</v>
      </c>
      <c r="EU151" s="190">
        <f t="shared" si="292"/>
        <v>0</v>
      </c>
      <c r="EV151" s="190">
        <f t="shared" si="292"/>
        <v>0</v>
      </c>
      <c r="EW151" s="190">
        <f t="shared" ref="EW151" si="293">EW152+EW155+EW157+EW159</f>
        <v>14159963990.9655</v>
      </c>
      <c r="EX151" s="190">
        <f t="shared" ref="EX151:GZ151" si="294">EX152+EX155+EX157+EX159</f>
        <v>16798881861</v>
      </c>
      <c r="EY151" s="190">
        <f t="shared" si="294"/>
        <v>16557608960.469999</v>
      </c>
      <c r="EZ151" s="190">
        <f t="shared" si="294"/>
        <v>16302528472.469999</v>
      </c>
      <c r="FA151" s="190">
        <f t="shared" si="294"/>
        <v>0</v>
      </c>
      <c r="FB151" s="190">
        <f t="shared" si="294"/>
        <v>0</v>
      </c>
      <c r="FC151" s="190">
        <f t="shared" si="294"/>
        <v>0</v>
      </c>
      <c r="FD151" s="190">
        <f t="shared" si="294"/>
        <v>0</v>
      </c>
      <c r="FE151" s="190">
        <f t="shared" si="294"/>
        <v>0</v>
      </c>
      <c r="FF151" s="190">
        <f t="shared" si="294"/>
        <v>0</v>
      </c>
      <c r="FG151" s="190">
        <f t="shared" si="294"/>
        <v>0</v>
      </c>
      <c r="FH151" s="190">
        <f t="shared" si="294"/>
        <v>40000000</v>
      </c>
      <c r="FI151" s="190">
        <f t="shared" si="294"/>
        <v>20244000</v>
      </c>
      <c r="FJ151" s="190">
        <f t="shared" si="294"/>
        <v>0</v>
      </c>
      <c r="FK151" s="190">
        <f t="shared" si="294"/>
        <v>189007371</v>
      </c>
      <c r="FL151" s="190">
        <f t="shared" si="294"/>
        <v>30000000</v>
      </c>
      <c r="FM151" s="190">
        <f t="shared" si="294"/>
        <v>67573232</v>
      </c>
      <c r="FN151" s="190">
        <f t="shared" si="294"/>
        <v>30868204</v>
      </c>
      <c r="FO151" s="190">
        <f t="shared" si="294"/>
        <v>10000000</v>
      </c>
      <c r="FP151" s="190">
        <f t="shared" si="294"/>
        <v>0</v>
      </c>
      <c r="FQ151" s="190">
        <f t="shared" si="294"/>
        <v>0</v>
      </c>
      <c r="FR151" s="190">
        <f t="shared" si="294"/>
        <v>0</v>
      </c>
      <c r="FS151" s="190">
        <f t="shared" si="294"/>
        <v>0</v>
      </c>
      <c r="FT151" s="190">
        <f t="shared" si="294"/>
        <v>0</v>
      </c>
      <c r="FU151" s="190">
        <f t="shared" si="294"/>
        <v>0</v>
      </c>
      <c r="FV151" s="190">
        <f t="shared" si="294"/>
        <v>0</v>
      </c>
      <c r="FW151" s="190">
        <f t="shared" si="294"/>
        <v>0</v>
      </c>
      <c r="FX151" s="190">
        <f t="shared" si="294"/>
        <v>0</v>
      </c>
      <c r="FY151" s="190">
        <f t="shared" si="294"/>
        <v>0</v>
      </c>
      <c r="FZ151" s="190">
        <f t="shared" si="294"/>
        <v>0</v>
      </c>
      <c r="GA151" s="190">
        <f t="shared" si="294"/>
        <v>0</v>
      </c>
      <c r="GB151" s="190">
        <f t="shared" si="294"/>
        <v>0</v>
      </c>
      <c r="GC151" s="190">
        <f t="shared" si="294"/>
        <v>0</v>
      </c>
      <c r="GD151" s="190">
        <f t="shared" si="294"/>
        <v>0</v>
      </c>
      <c r="GE151" s="190">
        <f t="shared" si="294"/>
        <v>0</v>
      </c>
      <c r="GF151" s="190">
        <f t="shared" si="294"/>
        <v>14543562910.694469</v>
      </c>
      <c r="GG151" s="190">
        <f t="shared" si="294"/>
        <v>4159195624</v>
      </c>
      <c r="GH151" s="190">
        <f t="shared" si="294"/>
        <v>1252381745</v>
      </c>
      <c r="GI151" s="190">
        <f t="shared" si="294"/>
        <v>925522951</v>
      </c>
      <c r="GJ151" s="190">
        <f t="shared" si="294"/>
        <v>59349419</v>
      </c>
      <c r="GK151" s="190">
        <f t="shared" si="294"/>
        <v>0</v>
      </c>
      <c r="GL151" s="190">
        <f t="shared" si="294"/>
        <v>0</v>
      </c>
      <c r="GM151" s="190">
        <f t="shared" si="294"/>
        <v>0</v>
      </c>
      <c r="GN151" s="190">
        <f t="shared" si="294"/>
        <v>0</v>
      </c>
      <c r="GO151" s="190">
        <f t="shared" si="294"/>
        <v>0</v>
      </c>
      <c r="GP151" s="190">
        <f t="shared" si="294"/>
        <v>0</v>
      </c>
      <c r="GQ151" s="190">
        <f t="shared" si="294"/>
        <v>0</v>
      </c>
      <c r="GR151" s="190">
        <f t="shared" si="294"/>
        <v>0</v>
      </c>
      <c r="GS151" s="190">
        <f t="shared" si="294"/>
        <v>0</v>
      </c>
      <c r="GT151" s="190">
        <f t="shared" si="294"/>
        <v>0</v>
      </c>
      <c r="GU151" s="190">
        <f t="shared" si="294"/>
        <v>14573562910.694469</v>
      </c>
      <c r="GV151" s="190">
        <f t="shared" si="294"/>
        <v>4266768856</v>
      </c>
      <c r="GW151" s="190">
        <f t="shared" si="294"/>
        <v>1303493949</v>
      </c>
      <c r="GX151" s="190">
        <f t="shared" si="294"/>
        <v>935522951</v>
      </c>
      <c r="GY151" s="190">
        <f t="shared" si="294"/>
        <v>248356790</v>
      </c>
      <c r="GZ151" s="190">
        <f t="shared" si="294"/>
        <v>56020529575.509972</v>
      </c>
    </row>
    <row r="152" spans="1:208" ht="24.75" customHeight="1" x14ac:dyDescent="0.2">
      <c r="A152" s="326"/>
      <c r="B152" s="993"/>
      <c r="C152" s="246">
        <v>25</v>
      </c>
      <c r="D152" s="247" t="s">
        <v>372</v>
      </c>
      <c r="E152" s="1019"/>
      <c r="F152" s="1020"/>
      <c r="G152" s="249"/>
      <c r="H152" s="249"/>
      <c r="I152" s="249"/>
      <c r="J152" s="249"/>
      <c r="K152" s="249"/>
      <c r="L152" s="249"/>
      <c r="M152" s="249"/>
      <c r="N152" s="249"/>
      <c r="O152" s="249"/>
      <c r="P152" s="249"/>
      <c r="Q152" s="249"/>
      <c r="R152" s="249"/>
      <c r="S152" s="249"/>
      <c r="T152" s="249"/>
      <c r="U152" s="249"/>
      <c r="V152" s="249"/>
      <c r="W152" s="249"/>
      <c r="X152" s="249"/>
      <c r="Y152" s="296"/>
      <c r="Z152" s="249"/>
      <c r="AA152" s="249"/>
      <c r="AB152" s="249"/>
      <c r="AC152" s="51">
        <f t="shared" ref="AC152:BL152" si="295">SUM(AC153:AC154)</f>
        <v>0</v>
      </c>
      <c r="AD152" s="51">
        <f t="shared" si="295"/>
        <v>0</v>
      </c>
      <c r="AE152" s="51">
        <f t="shared" si="295"/>
        <v>0</v>
      </c>
      <c r="AF152" s="51">
        <f t="shared" si="295"/>
        <v>0</v>
      </c>
      <c r="AG152" s="51">
        <f t="shared" si="295"/>
        <v>0</v>
      </c>
      <c r="AH152" s="51">
        <f t="shared" si="295"/>
        <v>0</v>
      </c>
      <c r="AI152" s="51">
        <f t="shared" si="295"/>
        <v>0</v>
      </c>
      <c r="AJ152" s="51">
        <f t="shared" si="295"/>
        <v>0</v>
      </c>
      <c r="AK152" s="51">
        <f t="shared" si="295"/>
        <v>80000000</v>
      </c>
      <c r="AL152" s="51">
        <f t="shared" si="295"/>
        <v>80000000</v>
      </c>
      <c r="AM152" s="51">
        <f t="shared" si="295"/>
        <v>9120160</v>
      </c>
      <c r="AN152" s="51">
        <f t="shared" si="295"/>
        <v>9120160</v>
      </c>
      <c r="AO152" s="51">
        <f t="shared" si="295"/>
        <v>0</v>
      </c>
      <c r="AP152" s="51">
        <f t="shared" si="295"/>
        <v>0</v>
      </c>
      <c r="AQ152" s="51">
        <f t="shared" si="295"/>
        <v>0</v>
      </c>
      <c r="AR152" s="51">
        <f t="shared" si="295"/>
        <v>0</v>
      </c>
      <c r="AS152" s="51">
        <f t="shared" si="295"/>
        <v>0</v>
      </c>
      <c r="AT152" s="51">
        <f t="shared" si="295"/>
        <v>0</v>
      </c>
      <c r="AU152" s="51">
        <f t="shared" si="295"/>
        <v>0</v>
      </c>
      <c r="AV152" s="51">
        <f t="shared" si="295"/>
        <v>0</v>
      </c>
      <c r="AW152" s="51">
        <f t="shared" si="295"/>
        <v>0</v>
      </c>
      <c r="AX152" s="51">
        <f t="shared" si="295"/>
        <v>0</v>
      </c>
      <c r="AY152" s="51">
        <f t="shared" si="295"/>
        <v>0</v>
      </c>
      <c r="AZ152" s="51">
        <f t="shared" si="295"/>
        <v>0</v>
      </c>
      <c r="BA152" s="51">
        <f t="shared" si="295"/>
        <v>0</v>
      </c>
      <c r="BB152" s="51">
        <f t="shared" si="295"/>
        <v>0</v>
      </c>
      <c r="BC152" s="51">
        <f t="shared" si="295"/>
        <v>0</v>
      </c>
      <c r="BD152" s="51">
        <f t="shared" si="295"/>
        <v>0</v>
      </c>
      <c r="BE152" s="51">
        <f t="shared" si="295"/>
        <v>0</v>
      </c>
      <c r="BF152" s="51">
        <f t="shared" si="295"/>
        <v>0</v>
      </c>
      <c r="BG152" s="51">
        <f t="shared" si="295"/>
        <v>0</v>
      </c>
      <c r="BH152" s="51">
        <f t="shared" si="295"/>
        <v>0</v>
      </c>
      <c r="BI152" s="51">
        <f t="shared" si="295"/>
        <v>0</v>
      </c>
      <c r="BJ152" s="51">
        <f t="shared" si="295"/>
        <v>0</v>
      </c>
      <c r="BK152" s="51">
        <f t="shared" si="295"/>
        <v>0</v>
      </c>
      <c r="BL152" s="51">
        <f t="shared" si="295"/>
        <v>0</v>
      </c>
      <c r="BM152" s="51">
        <f t="shared" ref="BM152:DX152" si="296">SUM(BM153:BM154)</f>
        <v>80000000</v>
      </c>
      <c r="BN152" s="51">
        <f t="shared" si="296"/>
        <v>80000000</v>
      </c>
      <c r="BO152" s="51">
        <f t="shared" si="296"/>
        <v>9120160</v>
      </c>
      <c r="BP152" s="51">
        <f t="shared" si="296"/>
        <v>9120160</v>
      </c>
      <c r="BQ152" s="51">
        <f t="shared" si="296"/>
        <v>0</v>
      </c>
      <c r="BR152" s="51">
        <f t="shared" si="296"/>
        <v>0</v>
      </c>
      <c r="BS152" s="51">
        <f t="shared" si="296"/>
        <v>0</v>
      </c>
      <c r="BT152" s="51">
        <f t="shared" si="296"/>
        <v>0</v>
      </c>
      <c r="BU152" s="51">
        <f t="shared" si="296"/>
        <v>0</v>
      </c>
      <c r="BV152" s="51">
        <f t="shared" si="296"/>
        <v>0</v>
      </c>
      <c r="BW152" s="51">
        <f t="shared" si="296"/>
        <v>0</v>
      </c>
      <c r="BX152" s="51">
        <f t="shared" si="296"/>
        <v>0</v>
      </c>
      <c r="BY152" s="51">
        <f t="shared" si="296"/>
        <v>0</v>
      </c>
      <c r="BZ152" s="51">
        <f t="shared" si="296"/>
        <v>80000000</v>
      </c>
      <c r="CA152" s="51">
        <f t="shared" si="296"/>
        <v>80000000</v>
      </c>
      <c r="CB152" s="51">
        <f t="shared" si="296"/>
        <v>27782003</v>
      </c>
      <c r="CC152" s="51">
        <f t="shared" si="296"/>
        <v>27782003</v>
      </c>
      <c r="CD152" s="51">
        <f t="shared" si="296"/>
        <v>0</v>
      </c>
      <c r="CE152" s="51">
        <f t="shared" si="296"/>
        <v>0</v>
      </c>
      <c r="CF152" s="51">
        <f t="shared" si="296"/>
        <v>0</v>
      </c>
      <c r="CG152" s="51">
        <f t="shared" si="296"/>
        <v>0</v>
      </c>
      <c r="CH152" s="51">
        <f t="shared" si="296"/>
        <v>0</v>
      </c>
      <c r="CI152" s="51">
        <f t="shared" si="296"/>
        <v>0</v>
      </c>
      <c r="CJ152" s="51">
        <f t="shared" si="296"/>
        <v>0</v>
      </c>
      <c r="CK152" s="51">
        <f t="shared" si="296"/>
        <v>0</v>
      </c>
      <c r="CL152" s="51">
        <f t="shared" si="296"/>
        <v>0</v>
      </c>
      <c r="CM152" s="51">
        <f t="shared" si="296"/>
        <v>0</v>
      </c>
      <c r="CN152" s="51">
        <f t="shared" si="296"/>
        <v>0</v>
      </c>
      <c r="CO152" s="51">
        <f t="shared" si="296"/>
        <v>0</v>
      </c>
      <c r="CP152" s="51">
        <f t="shared" si="296"/>
        <v>0</v>
      </c>
      <c r="CQ152" s="51">
        <f t="shared" si="296"/>
        <v>0</v>
      </c>
      <c r="CR152" s="51">
        <f t="shared" si="296"/>
        <v>0</v>
      </c>
      <c r="CS152" s="51">
        <f t="shared" si="296"/>
        <v>0</v>
      </c>
      <c r="CT152" s="51">
        <f t="shared" si="296"/>
        <v>0</v>
      </c>
      <c r="CU152" s="51">
        <f t="shared" si="296"/>
        <v>0</v>
      </c>
      <c r="CV152" s="51">
        <f t="shared" si="296"/>
        <v>0</v>
      </c>
      <c r="CW152" s="51">
        <f t="shared" si="296"/>
        <v>0</v>
      </c>
      <c r="CX152" s="51">
        <f t="shared" si="296"/>
        <v>0</v>
      </c>
      <c r="CY152" s="51">
        <f t="shared" si="296"/>
        <v>0</v>
      </c>
      <c r="CZ152" s="51">
        <f t="shared" si="296"/>
        <v>0</v>
      </c>
      <c r="DA152" s="51">
        <f t="shared" si="296"/>
        <v>0</v>
      </c>
      <c r="DB152" s="51">
        <f t="shared" si="296"/>
        <v>0</v>
      </c>
      <c r="DC152" s="51">
        <f t="shared" si="296"/>
        <v>0</v>
      </c>
      <c r="DD152" s="51">
        <f t="shared" si="296"/>
        <v>0</v>
      </c>
      <c r="DE152" s="51">
        <f t="shared" si="296"/>
        <v>80000000</v>
      </c>
      <c r="DF152" s="51">
        <f t="shared" si="296"/>
        <v>80000000</v>
      </c>
      <c r="DG152" s="51">
        <f t="shared" si="296"/>
        <v>27782003</v>
      </c>
      <c r="DH152" s="51">
        <f t="shared" si="296"/>
        <v>27782003</v>
      </c>
      <c r="DI152" s="51">
        <f t="shared" si="296"/>
        <v>0</v>
      </c>
      <c r="DJ152" s="51">
        <f t="shared" si="296"/>
        <v>0</v>
      </c>
      <c r="DK152" s="51">
        <f t="shared" si="296"/>
        <v>0</v>
      </c>
      <c r="DL152" s="51">
        <f t="shared" si="296"/>
        <v>0</v>
      </c>
      <c r="DM152" s="51">
        <f t="shared" si="296"/>
        <v>0</v>
      </c>
      <c r="DN152" s="51">
        <f t="shared" si="296"/>
        <v>0</v>
      </c>
      <c r="DO152" s="51">
        <f t="shared" si="296"/>
        <v>10000000</v>
      </c>
      <c r="DP152" s="51">
        <f t="shared" si="296"/>
        <v>8187680</v>
      </c>
      <c r="DQ152" s="51">
        <f t="shared" si="296"/>
        <v>8187680</v>
      </c>
      <c r="DR152" s="51">
        <f t="shared" si="296"/>
        <v>0</v>
      </c>
      <c r="DS152" s="51">
        <f t="shared" si="296"/>
        <v>30000000</v>
      </c>
      <c r="DT152" s="51">
        <f t="shared" si="296"/>
        <v>47000000</v>
      </c>
      <c r="DU152" s="51">
        <f t="shared" si="296"/>
        <v>36913333</v>
      </c>
      <c r="DV152" s="51">
        <f t="shared" si="296"/>
        <v>36913333</v>
      </c>
      <c r="DW152" s="51">
        <f t="shared" si="296"/>
        <v>0</v>
      </c>
      <c r="DX152" s="51">
        <f t="shared" si="296"/>
        <v>0</v>
      </c>
      <c r="DY152" s="51">
        <f t="shared" ref="DY152:EW152" si="297">SUM(DY153:DY154)</f>
        <v>0</v>
      </c>
      <c r="DZ152" s="51">
        <f t="shared" si="297"/>
        <v>0</v>
      </c>
      <c r="EA152" s="51">
        <f t="shared" si="297"/>
        <v>0</v>
      </c>
      <c r="EB152" s="51">
        <f t="shared" si="297"/>
        <v>0</v>
      </c>
      <c r="EC152" s="51">
        <f t="shared" si="297"/>
        <v>0</v>
      </c>
      <c r="ED152" s="51">
        <f t="shared" si="297"/>
        <v>0</v>
      </c>
      <c r="EE152" s="51">
        <f t="shared" si="297"/>
        <v>0</v>
      </c>
      <c r="EF152" s="51">
        <f t="shared" si="297"/>
        <v>0</v>
      </c>
      <c r="EG152" s="51">
        <f t="shared" si="297"/>
        <v>0</v>
      </c>
      <c r="EH152" s="51">
        <f t="shared" si="297"/>
        <v>0</v>
      </c>
      <c r="EI152" s="51">
        <f t="shared" si="297"/>
        <v>0</v>
      </c>
      <c r="EJ152" s="51">
        <f t="shared" si="297"/>
        <v>0</v>
      </c>
      <c r="EK152" s="51">
        <f t="shared" si="297"/>
        <v>0</v>
      </c>
      <c r="EL152" s="51">
        <f t="shared" si="297"/>
        <v>0</v>
      </c>
      <c r="EM152" s="51">
        <f t="shared" si="297"/>
        <v>0</v>
      </c>
      <c r="EN152" s="51">
        <f t="shared" si="297"/>
        <v>0</v>
      </c>
      <c r="EO152" s="51">
        <f t="shared" si="297"/>
        <v>0</v>
      </c>
      <c r="EP152" s="51">
        <f t="shared" si="297"/>
        <v>0</v>
      </c>
      <c r="EQ152" s="51">
        <f t="shared" si="297"/>
        <v>0</v>
      </c>
      <c r="ER152" s="51">
        <f t="shared" si="297"/>
        <v>0</v>
      </c>
      <c r="ES152" s="51">
        <f t="shared" si="297"/>
        <v>0</v>
      </c>
      <c r="ET152" s="51">
        <f t="shared" si="297"/>
        <v>0</v>
      </c>
      <c r="EU152" s="51">
        <f t="shared" si="297"/>
        <v>0</v>
      </c>
      <c r="EV152" s="51">
        <f t="shared" si="297"/>
        <v>0</v>
      </c>
      <c r="EW152" s="51">
        <f t="shared" si="297"/>
        <v>30000000</v>
      </c>
      <c r="EX152" s="51">
        <f t="shared" ref="EX152:GZ152" si="298">SUM(EX153:EX154)</f>
        <v>57000000</v>
      </c>
      <c r="EY152" s="51">
        <f t="shared" si="298"/>
        <v>45101013</v>
      </c>
      <c r="EZ152" s="51">
        <f t="shared" si="298"/>
        <v>45101013</v>
      </c>
      <c r="FA152" s="51">
        <f t="shared" si="298"/>
        <v>0</v>
      </c>
      <c r="FB152" s="51">
        <f t="shared" si="298"/>
        <v>0</v>
      </c>
      <c r="FC152" s="51">
        <f t="shared" si="298"/>
        <v>0</v>
      </c>
      <c r="FD152" s="51">
        <f t="shared" si="298"/>
        <v>0</v>
      </c>
      <c r="FE152" s="51">
        <f t="shared" si="298"/>
        <v>0</v>
      </c>
      <c r="FF152" s="51">
        <f t="shared" si="298"/>
        <v>0</v>
      </c>
      <c r="FG152" s="51">
        <f t="shared" si="298"/>
        <v>0</v>
      </c>
      <c r="FH152" s="51">
        <f t="shared" si="298"/>
        <v>0</v>
      </c>
      <c r="FI152" s="51">
        <f t="shared" si="298"/>
        <v>0</v>
      </c>
      <c r="FJ152" s="51">
        <f t="shared" si="298"/>
        <v>0</v>
      </c>
      <c r="FK152" s="51">
        <f t="shared" si="298"/>
        <v>0</v>
      </c>
      <c r="FL152" s="51">
        <f t="shared" si="298"/>
        <v>20000000</v>
      </c>
      <c r="FM152" s="51">
        <f t="shared" si="298"/>
        <v>36705028</v>
      </c>
      <c r="FN152" s="51">
        <f t="shared" si="298"/>
        <v>0</v>
      </c>
      <c r="FO152" s="51">
        <f t="shared" si="298"/>
        <v>0</v>
      </c>
      <c r="FP152" s="51">
        <f t="shared" si="298"/>
        <v>0</v>
      </c>
      <c r="FQ152" s="51">
        <f t="shared" si="298"/>
        <v>0</v>
      </c>
      <c r="FR152" s="51">
        <f t="shared" si="298"/>
        <v>0</v>
      </c>
      <c r="FS152" s="51">
        <f t="shared" si="298"/>
        <v>0</v>
      </c>
      <c r="FT152" s="51">
        <f t="shared" si="298"/>
        <v>0</v>
      </c>
      <c r="FU152" s="51">
        <f t="shared" si="298"/>
        <v>0</v>
      </c>
      <c r="FV152" s="51">
        <f t="shared" si="298"/>
        <v>0</v>
      </c>
      <c r="FW152" s="51">
        <f t="shared" si="298"/>
        <v>0</v>
      </c>
      <c r="FX152" s="51">
        <f t="shared" si="298"/>
        <v>0</v>
      </c>
      <c r="FY152" s="51">
        <f t="shared" si="298"/>
        <v>0</v>
      </c>
      <c r="FZ152" s="51">
        <f t="shared" si="298"/>
        <v>0</v>
      </c>
      <c r="GA152" s="51">
        <f t="shared" si="298"/>
        <v>0</v>
      </c>
      <c r="GB152" s="51">
        <f t="shared" si="298"/>
        <v>0</v>
      </c>
      <c r="GC152" s="51">
        <f t="shared" si="298"/>
        <v>0</v>
      </c>
      <c r="GD152" s="51">
        <f t="shared" si="298"/>
        <v>0</v>
      </c>
      <c r="GE152" s="51">
        <f t="shared" si="298"/>
        <v>0</v>
      </c>
      <c r="GF152" s="51">
        <f t="shared" si="298"/>
        <v>0</v>
      </c>
      <c r="GG152" s="51">
        <f t="shared" si="298"/>
        <v>0</v>
      </c>
      <c r="GH152" s="51">
        <f t="shared" si="298"/>
        <v>0</v>
      </c>
      <c r="GI152" s="51">
        <f t="shared" si="298"/>
        <v>0</v>
      </c>
      <c r="GJ152" s="51">
        <f t="shared" si="298"/>
        <v>0</v>
      </c>
      <c r="GK152" s="51">
        <f t="shared" si="298"/>
        <v>0</v>
      </c>
      <c r="GL152" s="51">
        <f t="shared" si="298"/>
        <v>0</v>
      </c>
      <c r="GM152" s="51">
        <f t="shared" si="298"/>
        <v>0</v>
      </c>
      <c r="GN152" s="51">
        <f t="shared" si="298"/>
        <v>0</v>
      </c>
      <c r="GO152" s="51">
        <f t="shared" si="298"/>
        <v>0</v>
      </c>
      <c r="GP152" s="51">
        <f t="shared" si="298"/>
        <v>0</v>
      </c>
      <c r="GQ152" s="51">
        <f t="shared" si="298"/>
        <v>0</v>
      </c>
      <c r="GR152" s="51">
        <f t="shared" si="298"/>
        <v>0</v>
      </c>
      <c r="GS152" s="51">
        <f t="shared" si="298"/>
        <v>0</v>
      </c>
      <c r="GT152" s="51">
        <f t="shared" si="298"/>
        <v>0</v>
      </c>
      <c r="GU152" s="51">
        <f t="shared" si="298"/>
        <v>20000000</v>
      </c>
      <c r="GV152" s="51">
        <f t="shared" si="298"/>
        <v>36705028</v>
      </c>
      <c r="GW152" s="51">
        <f t="shared" si="298"/>
        <v>0</v>
      </c>
      <c r="GX152" s="51">
        <f t="shared" si="298"/>
        <v>0</v>
      </c>
      <c r="GY152" s="51">
        <f t="shared" si="298"/>
        <v>0</v>
      </c>
      <c r="GZ152" s="51">
        <f t="shared" si="298"/>
        <v>210000000</v>
      </c>
    </row>
    <row r="153" spans="1:208" s="419" customFormat="1" ht="100.5" customHeight="1" x14ac:dyDescent="0.25">
      <c r="A153" s="326"/>
      <c r="B153" s="326"/>
      <c r="C153" s="288">
        <v>16</v>
      </c>
      <c r="D153" s="258" t="s">
        <v>373</v>
      </c>
      <c r="E153" s="288">
        <v>45</v>
      </c>
      <c r="F153" s="288">
        <v>90</v>
      </c>
      <c r="G153" s="265">
        <v>108</v>
      </c>
      <c r="H153" s="989" t="s">
        <v>374</v>
      </c>
      <c r="I153" s="989" t="s">
        <v>375</v>
      </c>
      <c r="J153" s="423" t="s">
        <v>266</v>
      </c>
      <c r="K153" s="423">
        <v>1</v>
      </c>
      <c r="L153" s="417" t="s">
        <v>58</v>
      </c>
      <c r="M153" s="423">
        <v>4</v>
      </c>
      <c r="N153" s="422">
        <v>4</v>
      </c>
      <c r="O153" s="417">
        <v>4</v>
      </c>
      <c r="P153" s="418">
        <v>4</v>
      </c>
      <c r="Q153" s="422">
        <v>4</v>
      </c>
      <c r="R153" s="268"/>
      <c r="S153" s="425">
        <v>4</v>
      </c>
      <c r="T153" s="417">
        <v>4</v>
      </c>
      <c r="U153" s="417"/>
      <c r="V153" s="418">
        <v>4</v>
      </c>
      <c r="W153" s="417">
        <v>4</v>
      </c>
      <c r="X153" s="417"/>
      <c r="Y153" s="418">
        <v>0</v>
      </c>
      <c r="Z153" s="426">
        <f>BM153/$BM$152</f>
        <v>0.125</v>
      </c>
      <c r="AA153" s="988">
        <v>16</v>
      </c>
      <c r="AB153" s="988" t="s">
        <v>376</v>
      </c>
      <c r="AC153" s="149"/>
      <c r="AD153" s="55"/>
      <c r="AE153" s="54"/>
      <c r="AF153" s="54"/>
      <c r="AG153" s="149"/>
      <c r="AH153" s="55"/>
      <c r="AI153" s="55"/>
      <c r="AJ153" s="55"/>
      <c r="AK153" s="149">
        <v>10000000</v>
      </c>
      <c r="AL153" s="55">
        <v>10000000</v>
      </c>
      <c r="AM153" s="55">
        <v>7120160</v>
      </c>
      <c r="AN153" s="55">
        <v>7120160</v>
      </c>
      <c r="AO153" s="149"/>
      <c r="AP153" s="55"/>
      <c r="AQ153" s="55"/>
      <c r="AR153" s="55"/>
      <c r="AS153" s="149"/>
      <c r="AT153" s="55"/>
      <c r="AU153" s="54"/>
      <c r="AV153" s="54"/>
      <c r="AW153" s="149"/>
      <c r="AX153" s="55"/>
      <c r="AY153" s="55"/>
      <c r="AZ153" s="55"/>
      <c r="BA153" s="149"/>
      <c r="BB153" s="55"/>
      <c r="BC153" s="55"/>
      <c r="BD153" s="55"/>
      <c r="BE153" s="149"/>
      <c r="BF153" s="55"/>
      <c r="BG153" s="54"/>
      <c r="BH153" s="54"/>
      <c r="BI153" s="149"/>
      <c r="BJ153" s="55"/>
      <c r="BK153" s="55"/>
      <c r="BL153" s="55"/>
      <c r="BM153" s="53">
        <f>+AC153+AG153+AK153+AO153+AS153+AW153+BA153+BE153+BI153</f>
        <v>10000000</v>
      </c>
      <c r="BN153" s="54">
        <f t="shared" ref="BN153:BP154" si="299">AD153+AH153+AL153+AP153+AT153+AX153+BB153+BF153+BJ153</f>
        <v>10000000</v>
      </c>
      <c r="BO153" s="54">
        <f t="shared" si="299"/>
        <v>7120160</v>
      </c>
      <c r="BP153" s="54">
        <f t="shared" si="299"/>
        <v>7120160</v>
      </c>
      <c r="BQ153" s="104"/>
      <c r="BR153" s="104"/>
      <c r="BS153" s="104"/>
      <c r="BT153" s="104"/>
      <c r="BU153" s="104"/>
      <c r="BV153" s="104"/>
      <c r="BW153" s="104"/>
      <c r="BX153" s="104"/>
      <c r="BY153" s="104"/>
      <c r="BZ153" s="104">
        <v>10000000</v>
      </c>
      <c r="CA153" s="104">
        <v>10000000</v>
      </c>
      <c r="CB153" s="104">
        <v>7856003</v>
      </c>
      <c r="CC153" s="104">
        <v>7856003</v>
      </c>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81">
        <f t="shared" ref="DE153:DH154" si="300">BQ153+BU153+BZ153+CE153+CI153+CM153+CQ153+CV153+DA153</f>
        <v>10000000</v>
      </c>
      <c r="DF153" s="95">
        <f t="shared" si="300"/>
        <v>10000000</v>
      </c>
      <c r="DG153" s="95">
        <f t="shared" si="300"/>
        <v>7856003</v>
      </c>
      <c r="DH153" s="95">
        <f t="shared" si="300"/>
        <v>7856003</v>
      </c>
      <c r="DI153" s="112"/>
      <c r="DJ153" s="104"/>
      <c r="DK153" s="105"/>
      <c r="DL153" s="104"/>
      <c r="DM153" s="104"/>
      <c r="DN153" s="104"/>
      <c r="DO153" s="104">
        <v>10000000</v>
      </c>
      <c r="DP153" s="104">
        <v>8187680</v>
      </c>
      <c r="DQ153" s="104">
        <v>8187680</v>
      </c>
      <c r="DR153" s="104"/>
      <c r="DS153" s="104">
        <v>10000000</v>
      </c>
      <c r="DT153" s="105">
        <v>8187680</v>
      </c>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11"/>
      <c r="EU153" s="111"/>
      <c r="EV153" s="111"/>
      <c r="EW153" s="81">
        <f t="shared" ref="EW153:EX154" si="301">DJ153+DN153+DS153+DX153+EB153+EF153+EJ153+EN153+ES153</f>
        <v>10000000</v>
      </c>
      <c r="EX153" s="86">
        <f t="shared" si="301"/>
        <v>18187680</v>
      </c>
      <c r="EY153" s="86">
        <f t="shared" ref="EY153:EZ154" si="302">DL153+DP153+DU153+DZ153+ED153+EH153+EL153+EP153+EU153</f>
        <v>8187680</v>
      </c>
      <c r="EZ153" s="86">
        <f t="shared" si="302"/>
        <v>8187680</v>
      </c>
      <c r="FA153" s="141"/>
      <c r="FB153" s="81"/>
      <c r="FC153" s="86"/>
      <c r="FD153" s="86"/>
      <c r="FE153" s="86"/>
      <c r="FF153" s="141"/>
      <c r="FG153" s="104"/>
      <c r="FH153" s="104"/>
      <c r="FI153" s="104"/>
      <c r="FJ153" s="104"/>
      <c r="FK153" s="104"/>
      <c r="FL153" s="104">
        <v>2500000</v>
      </c>
      <c r="FM153" s="104">
        <v>9937000</v>
      </c>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11"/>
      <c r="GR153" s="111"/>
      <c r="GS153" s="111"/>
      <c r="GT153" s="111"/>
      <c r="GU153" s="81">
        <f>FB153+FG153+FL153+FQ153+FV153+GA153+GF153+GK153+GP153</f>
        <v>2500000</v>
      </c>
      <c r="GV153" s="81">
        <f t="shared" ref="GV153:GY154" si="303">GQ153+GL153+GG153+GB153+FW153+FR153+FM153+FH153+FC153</f>
        <v>9937000</v>
      </c>
      <c r="GW153" s="81">
        <f t="shared" si="303"/>
        <v>0</v>
      </c>
      <c r="GX153" s="81">
        <f t="shared" si="303"/>
        <v>0</v>
      </c>
      <c r="GY153" s="673">
        <f t="shared" si="303"/>
        <v>0</v>
      </c>
      <c r="GZ153" s="67">
        <f>BM153+DE153+EW153+GU153</f>
        <v>32500000</v>
      </c>
    </row>
    <row r="154" spans="1:208" s="419" customFormat="1" ht="93" customHeight="1" x14ac:dyDescent="0.25">
      <c r="A154" s="326"/>
      <c r="B154" s="326"/>
      <c r="C154" s="279">
        <v>16</v>
      </c>
      <c r="D154" s="722" t="s">
        <v>373</v>
      </c>
      <c r="E154" s="279">
        <v>45</v>
      </c>
      <c r="F154" s="279">
        <v>90</v>
      </c>
      <c r="G154" s="265">
        <v>109</v>
      </c>
      <c r="H154" s="261" t="s">
        <v>377</v>
      </c>
      <c r="I154" s="421" t="s">
        <v>378</v>
      </c>
      <c r="J154" s="386" t="s">
        <v>266</v>
      </c>
      <c r="K154" s="398">
        <v>1</v>
      </c>
      <c r="L154" s="422" t="s">
        <v>58</v>
      </c>
      <c r="M154" s="423">
        <v>0</v>
      </c>
      <c r="N154" s="422">
        <v>52</v>
      </c>
      <c r="O154" s="422">
        <v>52</v>
      </c>
      <c r="P154" s="424">
        <v>52</v>
      </c>
      <c r="Q154" s="422">
        <v>52</v>
      </c>
      <c r="R154" s="268"/>
      <c r="S154" s="425">
        <v>54</v>
      </c>
      <c r="T154" s="422">
        <v>52</v>
      </c>
      <c r="U154" s="422"/>
      <c r="V154" s="424">
        <v>54</v>
      </c>
      <c r="W154" s="392">
        <v>52</v>
      </c>
      <c r="X154" s="392"/>
      <c r="Y154" s="393">
        <v>0</v>
      </c>
      <c r="Z154" s="426">
        <f>BM154/BM152</f>
        <v>0.875</v>
      </c>
      <c r="AA154" s="420">
        <v>16</v>
      </c>
      <c r="AB154" s="1021" t="s">
        <v>376</v>
      </c>
      <c r="AC154" s="120"/>
      <c r="AD154" s="149"/>
      <c r="AE154" s="150"/>
      <c r="AF154" s="150"/>
      <c r="AG154" s="120"/>
      <c r="AH154" s="149"/>
      <c r="AI154" s="149"/>
      <c r="AJ154" s="149"/>
      <c r="AK154" s="110">
        <v>70000000</v>
      </c>
      <c r="AL154" s="150">
        <v>70000000</v>
      </c>
      <c r="AM154" s="150">
        <v>2000000</v>
      </c>
      <c r="AN154" s="150">
        <v>2000000</v>
      </c>
      <c r="AO154" s="110"/>
      <c r="AP154" s="103"/>
      <c r="AQ154" s="103"/>
      <c r="AR154" s="149"/>
      <c r="AS154" s="120"/>
      <c r="AT154" s="149"/>
      <c r="AU154" s="150"/>
      <c r="AV154" s="150"/>
      <c r="AW154" s="120"/>
      <c r="AX154" s="149"/>
      <c r="AY154" s="149"/>
      <c r="AZ154" s="149"/>
      <c r="BA154" s="120"/>
      <c r="BB154" s="149"/>
      <c r="BC154" s="149"/>
      <c r="BD154" s="149"/>
      <c r="BE154" s="120"/>
      <c r="BF154" s="149"/>
      <c r="BG154" s="150"/>
      <c r="BH154" s="150"/>
      <c r="BI154" s="120"/>
      <c r="BJ154" s="149"/>
      <c r="BK154" s="149"/>
      <c r="BL154" s="149"/>
      <c r="BM154" s="151">
        <f>+AC154+AG154+AK154+AO154+AS154+AW154+BA154+BE154+BI154</f>
        <v>70000000</v>
      </c>
      <c r="BN154" s="150">
        <f t="shared" si="299"/>
        <v>70000000</v>
      </c>
      <c r="BO154" s="150">
        <f t="shared" si="299"/>
        <v>2000000</v>
      </c>
      <c r="BP154" s="150">
        <f t="shared" si="299"/>
        <v>2000000</v>
      </c>
      <c r="BQ154" s="111"/>
      <c r="BR154" s="111"/>
      <c r="BS154" s="111"/>
      <c r="BT154" s="111"/>
      <c r="BU154" s="111"/>
      <c r="BV154" s="111"/>
      <c r="BW154" s="111"/>
      <c r="BX154" s="111"/>
      <c r="BY154" s="111"/>
      <c r="BZ154" s="104">
        <v>70000000</v>
      </c>
      <c r="CA154" s="111">
        <v>70000000</v>
      </c>
      <c r="CB154" s="111">
        <v>19926000</v>
      </c>
      <c r="CC154" s="111">
        <v>19926000</v>
      </c>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f t="shared" si="300"/>
        <v>70000000</v>
      </c>
      <c r="DF154" s="112">
        <f t="shared" si="300"/>
        <v>70000000</v>
      </c>
      <c r="DG154" s="112">
        <f t="shared" si="300"/>
        <v>19926000</v>
      </c>
      <c r="DH154" s="112">
        <f t="shared" si="300"/>
        <v>19926000</v>
      </c>
      <c r="DI154" s="112"/>
      <c r="DJ154" s="104"/>
      <c r="DK154" s="105"/>
      <c r="DL154" s="104"/>
      <c r="DM154" s="104"/>
      <c r="DN154" s="104"/>
      <c r="DO154" s="104"/>
      <c r="DP154" s="104"/>
      <c r="DQ154" s="104"/>
      <c r="DR154" s="104"/>
      <c r="DS154" s="104">
        <v>20000000</v>
      </c>
      <c r="DT154" s="105">
        <v>38812320</v>
      </c>
      <c r="DU154" s="104">
        <v>36913333</v>
      </c>
      <c r="DV154" s="104">
        <v>36913333</v>
      </c>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11"/>
      <c r="EU154" s="111"/>
      <c r="EV154" s="111"/>
      <c r="EW154" s="111">
        <f t="shared" si="301"/>
        <v>20000000</v>
      </c>
      <c r="EX154" s="104">
        <f t="shared" si="301"/>
        <v>38812320</v>
      </c>
      <c r="EY154" s="104">
        <f t="shared" si="302"/>
        <v>36913333</v>
      </c>
      <c r="EZ154" s="104">
        <f t="shared" si="302"/>
        <v>36913333</v>
      </c>
      <c r="FA154" s="86"/>
      <c r="FB154" s="111"/>
      <c r="FC154" s="86"/>
      <c r="FD154" s="86"/>
      <c r="FE154" s="86"/>
      <c r="FF154" s="142"/>
      <c r="FG154" s="111"/>
      <c r="FH154" s="111"/>
      <c r="FI154" s="111"/>
      <c r="FJ154" s="111"/>
      <c r="FK154" s="111"/>
      <c r="FL154" s="111">
        <v>17500000</v>
      </c>
      <c r="FM154" s="111">
        <v>26768028</v>
      </c>
      <c r="FN154" s="111"/>
      <c r="FO154" s="111"/>
      <c r="FP154" s="111"/>
      <c r="FQ154" s="111"/>
      <c r="FR154" s="111"/>
      <c r="FS154" s="111"/>
      <c r="FT154" s="111"/>
      <c r="FU154" s="111"/>
      <c r="FV154" s="111"/>
      <c r="FW154" s="111"/>
      <c r="FX154" s="111"/>
      <c r="FY154" s="111"/>
      <c r="FZ154" s="111"/>
      <c r="GA154" s="111"/>
      <c r="GB154" s="111"/>
      <c r="GC154" s="111"/>
      <c r="GD154" s="111"/>
      <c r="GE154" s="111"/>
      <c r="GF154" s="111"/>
      <c r="GG154" s="111"/>
      <c r="GH154" s="111"/>
      <c r="GI154" s="111"/>
      <c r="GJ154" s="111"/>
      <c r="GK154" s="111"/>
      <c r="GL154" s="111"/>
      <c r="GM154" s="111"/>
      <c r="GN154" s="111"/>
      <c r="GO154" s="111"/>
      <c r="GP154" s="111"/>
      <c r="GQ154" s="111"/>
      <c r="GR154" s="111"/>
      <c r="GS154" s="111"/>
      <c r="GT154" s="111"/>
      <c r="GU154" s="111">
        <f>FB154+FG154+FL154+FQ154+FV154+GA154+GF154+GK154+GP154</f>
        <v>17500000</v>
      </c>
      <c r="GV154" s="81">
        <f t="shared" si="303"/>
        <v>26768028</v>
      </c>
      <c r="GW154" s="81">
        <f t="shared" si="303"/>
        <v>0</v>
      </c>
      <c r="GX154" s="81">
        <f t="shared" si="303"/>
        <v>0</v>
      </c>
      <c r="GY154" s="673">
        <f t="shared" si="303"/>
        <v>0</v>
      </c>
      <c r="GZ154" s="102">
        <f>BM154+DE154+EW154+GU154</f>
        <v>177500000</v>
      </c>
    </row>
    <row r="155" spans="1:208" s="427" customFormat="1" ht="23.25" customHeight="1" x14ac:dyDescent="0.25">
      <c r="A155" s="331"/>
      <c r="B155" s="1022"/>
      <c r="C155" s="1023">
        <v>26</v>
      </c>
      <c r="D155" s="1024" t="s">
        <v>379</v>
      </c>
      <c r="E155" s="1025"/>
      <c r="F155" s="1024"/>
      <c r="G155" s="313"/>
      <c r="H155" s="313"/>
      <c r="I155" s="313"/>
      <c r="J155" s="313"/>
      <c r="K155" s="313"/>
      <c r="L155" s="313"/>
      <c r="M155" s="313"/>
      <c r="N155" s="313"/>
      <c r="O155" s="313"/>
      <c r="P155" s="313"/>
      <c r="Q155" s="313"/>
      <c r="R155" s="313"/>
      <c r="S155" s="313"/>
      <c r="T155" s="313"/>
      <c r="U155" s="313"/>
      <c r="V155" s="313"/>
      <c r="W155" s="313"/>
      <c r="X155" s="313"/>
      <c r="Y155" s="623"/>
      <c r="Z155" s="313"/>
      <c r="AA155" s="313"/>
      <c r="AB155" s="313"/>
      <c r="AC155" s="51">
        <f t="shared" ref="AC155:BL155" si="304">SUM(AC156)</f>
        <v>0</v>
      </c>
      <c r="AD155" s="51">
        <f t="shared" si="304"/>
        <v>0</v>
      </c>
      <c r="AE155" s="51">
        <f t="shared" si="304"/>
        <v>0</v>
      </c>
      <c r="AF155" s="51">
        <f t="shared" si="304"/>
        <v>0</v>
      </c>
      <c r="AG155" s="51">
        <f t="shared" si="304"/>
        <v>0</v>
      </c>
      <c r="AH155" s="51">
        <f t="shared" si="304"/>
        <v>48879475.450000003</v>
      </c>
      <c r="AI155" s="51">
        <f t="shared" si="304"/>
        <v>0</v>
      </c>
      <c r="AJ155" s="51">
        <f t="shared" si="304"/>
        <v>0</v>
      </c>
      <c r="AK155" s="51">
        <f t="shared" si="304"/>
        <v>0</v>
      </c>
      <c r="AL155" s="51">
        <f t="shared" si="304"/>
        <v>0</v>
      </c>
      <c r="AM155" s="51">
        <f t="shared" si="304"/>
        <v>0</v>
      </c>
      <c r="AN155" s="51">
        <f t="shared" si="304"/>
        <v>0</v>
      </c>
      <c r="AO155" s="51">
        <f t="shared" si="304"/>
        <v>0</v>
      </c>
      <c r="AP155" s="51">
        <f t="shared" si="304"/>
        <v>0</v>
      </c>
      <c r="AQ155" s="51">
        <f t="shared" si="304"/>
        <v>0</v>
      </c>
      <c r="AR155" s="51">
        <f t="shared" si="304"/>
        <v>0</v>
      </c>
      <c r="AS155" s="51">
        <f t="shared" si="304"/>
        <v>0</v>
      </c>
      <c r="AT155" s="51">
        <f t="shared" si="304"/>
        <v>0</v>
      </c>
      <c r="AU155" s="51">
        <f t="shared" si="304"/>
        <v>0</v>
      </c>
      <c r="AV155" s="51">
        <f t="shared" si="304"/>
        <v>0</v>
      </c>
      <c r="AW155" s="51">
        <f t="shared" si="304"/>
        <v>0</v>
      </c>
      <c r="AX155" s="51">
        <f t="shared" si="304"/>
        <v>0</v>
      </c>
      <c r="AY155" s="51">
        <f t="shared" si="304"/>
        <v>0</v>
      </c>
      <c r="AZ155" s="51">
        <f t="shared" si="304"/>
        <v>0</v>
      </c>
      <c r="BA155" s="51">
        <f t="shared" si="304"/>
        <v>1238299770</v>
      </c>
      <c r="BB155" s="51">
        <f t="shared" si="304"/>
        <v>1465781955</v>
      </c>
      <c r="BC155" s="51">
        <f t="shared" si="304"/>
        <v>1088769251</v>
      </c>
      <c r="BD155" s="51">
        <f t="shared" si="304"/>
        <v>1088769251</v>
      </c>
      <c r="BE155" s="51">
        <f t="shared" si="304"/>
        <v>0</v>
      </c>
      <c r="BF155" s="51">
        <f t="shared" si="304"/>
        <v>0</v>
      </c>
      <c r="BG155" s="51">
        <f t="shared" si="304"/>
        <v>0</v>
      </c>
      <c r="BH155" s="51">
        <f t="shared" si="304"/>
        <v>0</v>
      </c>
      <c r="BI155" s="51">
        <f t="shared" si="304"/>
        <v>0</v>
      </c>
      <c r="BJ155" s="51">
        <f t="shared" si="304"/>
        <v>0</v>
      </c>
      <c r="BK155" s="51">
        <f t="shared" si="304"/>
        <v>0</v>
      </c>
      <c r="BL155" s="51">
        <f t="shared" si="304"/>
        <v>0</v>
      </c>
      <c r="BM155" s="51">
        <f t="shared" ref="BM155:DX155" si="305">SUM(BM156)</f>
        <v>1238299770</v>
      </c>
      <c r="BN155" s="51">
        <f t="shared" si="305"/>
        <v>1514661430.45</v>
      </c>
      <c r="BO155" s="51">
        <f t="shared" si="305"/>
        <v>1088769251</v>
      </c>
      <c r="BP155" s="51">
        <f t="shared" si="305"/>
        <v>1088769251</v>
      </c>
      <c r="BQ155" s="51">
        <f t="shared" si="305"/>
        <v>0</v>
      </c>
      <c r="BR155" s="51">
        <f t="shared" si="305"/>
        <v>0</v>
      </c>
      <c r="BS155" s="51">
        <f t="shared" si="305"/>
        <v>0</v>
      </c>
      <c r="BT155" s="51">
        <f t="shared" si="305"/>
        <v>0</v>
      </c>
      <c r="BU155" s="51">
        <f t="shared" si="305"/>
        <v>0</v>
      </c>
      <c r="BV155" s="51">
        <f t="shared" si="305"/>
        <v>0</v>
      </c>
      <c r="BW155" s="51">
        <f t="shared" si="305"/>
        <v>0</v>
      </c>
      <c r="BX155" s="51">
        <f t="shared" si="305"/>
        <v>0</v>
      </c>
      <c r="BY155" s="51">
        <f t="shared" si="305"/>
        <v>0</v>
      </c>
      <c r="BZ155" s="51">
        <f t="shared" si="305"/>
        <v>0</v>
      </c>
      <c r="CA155" s="51">
        <f t="shared" si="305"/>
        <v>0</v>
      </c>
      <c r="CB155" s="51">
        <f t="shared" si="305"/>
        <v>0</v>
      </c>
      <c r="CC155" s="51">
        <f t="shared" si="305"/>
        <v>0</v>
      </c>
      <c r="CD155" s="51">
        <f t="shared" si="305"/>
        <v>0</v>
      </c>
      <c r="CE155" s="51">
        <f t="shared" si="305"/>
        <v>0</v>
      </c>
      <c r="CF155" s="51">
        <f t="shared" si="305"/>
        <v>0</v>
      </c>
      <c r="CG155" s="51">
        <f t="shared" si="305"/>
        <v>0</v>
      </c>
      <c r="CH155" s="51">
        <f t="shared" si="305"/>
        <v>0</v>
      </c>
      <c r="CI155" s="51">
        <f t="shared" si="305"/>
        <v>0</v>
      </c>
      <c r="CJ155" s="51">
        <f t="shared" si="305"/>
        <v>0</v>
      </c>
      <c r="CK155" s="51">
        <f t="shared" si="305"/>
        <v>0</v>
      </c>
      <c r="CL155" s="51">
        <f t="shared" si="305"/>
        <v>0</v>
      </c>
      <c r="CM155" s="51">
        <f t="shared" si="305"/>
        <v>0</v>
      </c>
      <c r="CN155" s="51">
        <f t="shared" si="305"/>
        <v>0</v>
      </c>
      <c r="CO155" s="51">
        <f t="shared" si="305"/>
        <v>0</v>
      </c>
      <c r="CP155" s="51">
        <f t="shared" si="305"/>
        <v>0</v>
      </c>
      <c r="CQ155" s="51">
        <f t="shared" si="305"/>
        <v>1225102903.8499999</v>
      </c>
      <c r="CR155" s="51">
        <f t="shared" si="305"/>
        <v>488921512</v>
      </c>
      <c r="CS155" s="51">
        <f t="shared" si="305"/>
        <v>205820184</v>
      </c>
      <c r="CT155" s="51">
        <f t="shared" si="305"/>
        <v>205820184</v>
      </c>
      <c r="CU155" s="51">
        <f t="shared" si="305"/>
        <v>0</v>
      </c>
      <c r="CV155" s="51">
        <f t="shared" si="305"/>
        <v>0</v>
      </c>
      <c r="CW155" s="51">
        <f t="shared" si="305"/>
        <v>0</v>
      </c>
      <c r="CX155" s="51">
        <f t="shared" si="305"/>
        <v>0</v>
      </c>
      <c r="CY155" s="51">
        <f t="shared" si="305"/>
        <v>0</v>
      </c>
      <c r="CZ155" s="51">
        <f t="shared" si="305"/>
        <v>0</v>
      </c>
      <c r="DA155" s="51">
        <f t="shared" si="305"/>
        <v>0</v>
      </c>
      <c r="DB155" s="51">
        <f t="shared" si="305"/>
        <v>0</v>
      </c>
      <c r="DC155" s="51">
        <f t="shared" si="305"/>
        <v>0</v>
      </c>
      <c r="DD155" s="51">
        <f t="shared" si="305"/>
        <v>0</v>
      </c>
      <c r="DE155" s="51">
        <f t="shared" si="305"/>
        <v>1225102903.8499999</v>
      </c>
      <c r="DF155" s="51">
        <f t="shared" si="305"/>
        <v>488921512</v>
      </c>
      <c r="DG155" s="51">
        <f t="shared" si="305"/>
        <v>205820184</v>
      </c>
      <c r="DH155" s="51">
        <f t="shared" si="305"/>
        <v>205820184</v>
      </c>
      <c r="DI155" s="51">
        <f t="shared" si="305"/>
        <v>0</v>
      </c>
      <c r="DJ155" s="51">
        <f t="shared" si="305"/>
        <v>0</v>
      </c>
      <c r="DK155" s="51">
        <f t="shared" si="305"/>
        <v>0</v>
      </c>
      <c r="DL155" s="51">
        <f t="shared" si="305"/>
        <v>0</v>
      </c>
      <c r="DM155" s="51">
        <f t="shared" si="305"/>
        <v>0</v>
      </c>
      <c r="DN155" s="51">
        <f t="shared" si="305"/>
        <v>0</v>
      </c>
      <c r="DO155" s="51">
        <f t="shared" si="305"/>
        <v>0</v>
      </c>
      <c r="DP155" s="51">
        <f t="shared" si="305"/>
        <v>0</v>
      </c>
      <c r="DQ155" s="51">
        <f t="shared" si="305"/>
        <v>0</v>
      </c>
      <c r="DR155" s="51">
        <f t="shared" si="305"/>
        <v>0</v>
      </c>
      <c r="DS155" s="51">
        <f t="shared" si="305"/>
        <v>0</v>
      </c>
      <c r="DT155" s="51">
        <f t="shared" si="305"/>
        <v>62000000</v>
      </c>
      <c r="DU155" s="51">
        <f t="shared" si="305"/>
        <v>7380000</v>
      </c>
      <c r="DV155" s="51">
        <f t="shared" si="305"/>
        <v>7380000</v>
      </c>
      <c r="DW155" s="51">
        <f t="shared" si="305"/>
        <v>0</v>
      </c>
      <c r="DX155" s="51">
        <f t="shared" si="305"/>
        <v>0</v>
      </c>
      <c r="DY155" s="51">
        <f t="shared" ref="DY155:EW155" si="306">SUM(DY156)</f>
        <v>0</v>
      </c>
      <c r="DZ155" s="51">
        <f t="shared" si="306"/>
        <v>0</v>
      </c>
      <c r="EA155" s="51">
        <f t="shared" si="306"/>
        <v>0</v>
      </c>
      <c r="EB155" s="51">
        <f t="shared" si="306"/>
        <v>0</v>
      </c>
      <c r="EC155" s="51">
        <f t="shared" si="306"/>
        <v>0</v>
      </c>
      <c r="ED155" s="51">
        <f t="shared" si="306"/>
        <v>0</v>
      </c>
      <c r="EE155" s="51">
        <f t="shared" si="306"/>
        <v>0</v>
      </c>
      <c r="EF155" s="51">
        <f t="shared" si="306"/>
        <v>0</v>
      </c>
      <c r="EG155" s="51">
        <f t="shared" si="306"/>
        <v>0</v>
      </c>
      <c r="EH155" s="51">
        <f t="shared" si="306"/>
        <v>0</v>
      </c>
      <c r="EI155" s="51">
        <f t="shared" si="306"/>
        <v>0</v>
      </c>
      <c r="EJ155" s="51">
        <f t="shared" si="306"/>
        <v>1261855990.9655001</v>
      </c>
      <c r="EK155" s="51">
        <f t="shared" si="306"/>
        <v>473723491</v>
      </c>
      <c r="EL155" s="51">
        <f t="shared" si="306"/>
        <v>338359039.47000003</v>
      </c>
      <c r="EM155" s="51">
        <f t="shared" si="306"/>
        <v>338359039.47000003</v>
      </c>
      <c r="EN155" s="51">
        <f t="shared" si="306"/>
        <v>0</v>
      </c>
      <c r="EO155" s="51">
        <f t="shared" si="306"/>
        <v>0</v>
      </c>
      <c r="EP155" s="51">
        <f t="shared" si="306"/>
        <v>0</v>
      </c>
      <c r="EQ155" s="51">
        <f t="shared" si="306"/>
        <v>0</v>
      </c>
      <c r="ER155" s="51">
        <f t="shared" si="306"/>
        <v>0</v>
      </c>
      <c r="ES155" s="51">
        <f t="shared" si="306"/>
        <v>0</v>
      </c>
      <c r="ET155" s="51">
        <f t="shared" si="306"/>
        <v>0</v>
      </c>
      <c r="EU155" s="51">
        <f t="shared" si="306"/>
        <v>0</v>
      </c>
      <c r="EV155" s="51">
        <f t="shared" si="306"/>
        <v>0</v>
      </c>
      <c r="EW155" s="51">
        <f t="shared" si="306"/>
        <v>1261855990.9655001</v>
      </c>
      <c r="EX155" s="51">
        <f t="shared" ref="EX155:GZ155" si="307">SUM(EX156)</f>
        <v>535723491</v>
      </c>
      <c r="EY155" s="51">
        <f t="shared" si="307"/>
        <v>345739039.47000003</v>
      </c>
      <c r="EZ155" s="51">
        <f t="shared" si="307"/>
        <v>345739039.47000003</v>
      </c>
      <c r="FA155" s="51">
        <f t="shared" si="307"/>
        <v>0</v>
      </c>
      <c r="FB155" s="51">
        <f t="shared" si="307"/>
        <v>0</v>
      </c>
      <c r="FC155" s="51">
        <f t="shared" si="307"/>
        <v>0</v>
      </c>
      <c r="FD155" s="51">
        <f t="shared" si="307"/>
        <v>0</v>
      </c>
      <c r="FE155" s="51">
        <f t="shared" si="307"/>
        <v>0</v>
      </c>
      <c r="FF155" s="51">
        <f t="shared" si="307"/>
        <v>0</v>
      </c>
      <c r="FG155" s="51">
        <f t="shared" si="307"/>
        <v>0</v>
      </c>
      <c r="FH155" s="51">
        <f t="shared" si="307"/>
        <v>40000000</v>
      </c>
      <c r="FI155" s="51">
        <f t="shared" si="307"/>
        <v>20244000</v>
      </c>
      <c r="FJ155" s="51">
        <f t="shared" si="307"/>
        <v>0</v>
      </c>
      <c r="FK155" s="51">
        <f t="shared" si="307"/>
        <v>0</v>
      </c>
      <c r="FL155" s="51">
        <f t="shared" si="307"/>
        <v>0</v>
      </c>
      <c r="FM155" s="51">
        <f t="shared" si="307"/>
        <v>10000000</v>
      </c>
      <c r="FN155" s="51">
        <f t="shared" si="307"/>
        <v>10000000</v>
      </c>
      <c r="FO155" s="51">
        <f t="shared" si="307"/>
        <v>10000000</v>
      </c>
      <c r="FP155" s="51">
        <f t="shared" si="307"/>
        <v>0</v>
      </c>
      <c r="FQ155" s="51">
        <f t="shared" si="307"/>
        <v>0</v>
      </c>
      <c r="FR155" s="51">
        <f t="shared" si="307"/>
        <v>0</v>
      </c>
      <c r="FS155" s="51">
        <f t="shared" si="307"/>
        <v>0</v>
      </c>
      <c r="FT155" s="51">
        <f t="shared" si="307"/>
        <v>0</v>
      </c>
      <c r="FU155" s="51">
        <f t="shared" si="307"/>
        <v>0</v>
      </c>
      <c r="FV155" s="51">
        <f t="shared" si="307"/>
        <v>0</v>
      </c>
      <c r="FW155" s="51">
        <f t="shared" si="307"/>
        <v>0</v>
      </c>
      <c r="FX155" s="51">
        <f t="shared" si="307"/>
        <v>0</v>
      </c>
      <c r="FY155" s="51">
        <f t="shared" si="307"/>
        <v>0</v>
      </c>
      <c r="FZ155" s="51">
        <f t="shared" si="307"/>
        <v>0</v>
      </c>
      <c r="GA155" s="51">
        <f t="shared" si="307"/>
        <v>0</v>
      </c>
      <c r="GB155" s="51">
        <f t="shared" si="307"/>
        <v>0</v>
      </c>
      <c r="GC155" s="51">
        <f t="shared" si="307"/>
        <v>0</v>
      </c>
      <c r="GD155" s="51">
        <f t="shared" si="307"/>
        <v>0</v>
      </c>
      <c r="GE155" s="51">
        <f t="shared" si="307"/>
        <v>0</v>
      </c>
      <c r="GF155" s="51">
        <f t="shared" si="307"/>
        <v>1299711670.6944699</v>
      </c>
      <c r="GG155" s="51">
        <f t="shared" si="307"/>
        <v>656195624</v>
      </c>
      <c r="GH155" s="51">
        <f t="shared" si="307"/>
        <v>285612138</v>
      </c>
      <c r="GI155" s="51">
        <f t="shared" si="307"/>
        <v>0</v>
      </c>
      <c r="GJ155" s="51">
        <f t="shared" si="307"/>
        <v>0</v>
      </c>
      <c r="GK155" s="51">
        <f t="shared" si="307"/>
        <v>0</v>
      </c>
      <c r="GL155" s="51">
        <f t="shared" si="307"/>
        <v>0</v>
      </c>
      <c r="GM155" s="51">
        <f t="shared" si="307"/>
        <v>0</v>
      </c>
      <c r="GN155" s="51">
        <f t="shared" si="307"/>
        <v>0</v>
      </c>
      <c r="GO155" s="51">
        <f t="shared" si="307"/>
        <v>0</v>
      </c>
      <c r="GP155" s="51">
        <f t="shared" si="307"/>
        <v>0</v>
      </c>
      <c r="GQ155" s="51">
        <f t="shared" si="307"/>
        <v>0</v>
      </c>
      <c r="GR155" s="51">
        <f t="shared" si="307"/>
        <v>0</v>
      </c>
      <c r="GS155" s="51">
        <f t="shared" si="307"/>
        <v>0</v>
      </c>
      <c r="GT155" s="51">
        <f t="shared" si="307"/>
        <v>0</v>
      </c>
      <c r="GU155" s="51">
        <f t="shared" si="307"/>
        <v>1299711670.6944699</v>
      </c>
      <c r="GV155" s="51">
        <f t="shared" si="307"/>
        <v>706195624</v>
      </c>
      <c r="GW155" s="51">
        <f t="shared" si="307"/>
        <v>315856138</v>
      </c>
      <c r="GX155" s="51">
        <f t="shared" si="307"/>
        <v>10000000</v>
      </c>
      <c r="GY155" s="51">
        <f t="shared" si="307"/>
        <v>0</v>
      </c>
      <c r="GZ155" s="51">
        <f t="shared" si="307"/>
        <v>5024970335.5099697</v>
      </c>
    </row>
    <row r="156" spans="1:208" s="891" customFormat="1" ht="93.75" customHeight="1" x14ac:dyDescent="0.25">
      <c r="A156" s="703"/>
      <c r="B156" s="703"/>
      <c r="C156" s="715">
        <v>16</v>
      </c>
      <c r="D156" s="826" t="s">
        <v>373</v>
      </c>
      <c r="E156" s="715">
        <v>45</v>
      </c>
      <c r="F156" s="715">
        <v>90</v>
      </c>
      <c r="G156" s="823">
        <v>110</v>
      </c>
      <c r="H156" s="685" t="s">
        <v>380</v>
      </c>
      <c r="I156" s="876" t="s">
        <v>381</v>
      </c>
      <c r="J156" s="686" t="s">
        <v>266</v>
      </c>
      <c r="K156" s="680">
        <v>1</v>
      </c>
      <c r="L156" s="687" t="s">
        <v>58</v>
      </c>
      <c r="M156" s="686">
        <v>180</v>
      </c>
      <c r="N156" s="687">
        <v>200</v>
      </c>
      <c r="O156" s="687">
        <v>200</v>
      </c>
      <c r="P156" s="688">
        <v>175</v>
      </c>
      <c r="Q156" s="687">
        <v>200</v>
      </c>
      <c r="R156" s="877"/>
      <c r="S156" s="878">
        <v>268</v>
      </c>
      <c r="T156" s="687">
        <v>200</v>
      </c>
      <c r="U156" s="687"/>
      <c r="V156" s="688">
        <v>193</v>
      </c>
      <c r="W156" s="687">
        <v>200</v>
      </c>
      <c r="X156" s="687"/>
      <c r="Y156" s="688">
        <v>268</v>
      </c>
      <c r="Z156" s="879">
        <f>BM156/BM155</f>
        <v>1</v>
      </c>
      <c r="AA156" s="827">
        <v>4</v>
      </c>
      <c r="AB156" s="827" t="s">
        <v>114</v>
      </c>
      <c r="AC156" s="880"/>
      <c r="AD156" s="880"/>
      <c r="AE156" s="881"/>
      <c r="AF156" s="881"/>
      <c r="AG156" s="880"/>
      <c r="AH156" s="880">
        <v>48879475.450000003</v>
      </c>
      <c r="AI156" s="880"/>
      <c r="AJ156" s="880"/>
      <c r="AK156" s="880"/>
      <c r="AL156" s="880"/>
      <c r="AM156" s="880"/>
      <c r="AN156" s="880"/>
      <c r="AO156" s="880"/>
      <c r="AP156" s="880"/>
      <c r="AQ156" s="880"/>
      <c r="AR156" s="880"/>
      <c r="AS156" s="880"/>
      <c r="AT156" s="880"/>
      <c r="AU156" s="881"/>
      <c r="AV156" s="881"/>
      <c r="AW156" s="880"/>
      <c r="AX156" s="880"/>
      <c r="AY156" s="880"/>
      <c r="AZ156" s="880"/>
      <c r="BA156" s="880">
        <v>1238299770</v>
      </c>
      <c r="BB156" s="880">
        <v>1465781955</v>
      </c>
      <c r="BC156" s="880">
        <v>1088769251</v>
      </c>
      <c r="BD156" s="880">
        <v>1088769251</v>
      </c>
      <c r="BE156" s="880"/>
      <c r="BF156" s="880"/>
      <c r="BG156" s="881"/>
      <c r="BH156" s="881"/>
      <c r="BI156" s="880"/>
      <c r="BJ156" s="880"/>
      <c r="BK156" s="880"/>
      <c r="BL156" s="880"/>
      <c r="BM156" s="882">
        <f>+AC156+AG156+AK156+AO156+AS156+AW156+BA156+BE156+BI156</f>
        <v>1238299770</v>
      </c>
      <c r="BN156" s="881">
        <f>AD156+AH156+AL156+AP156+AT156+AX156+BB156+BF156+BJ156</f>
        <v>1514661430.45</v>
      </c>
      <c r="BO156" s="881">
        <f>AE156+AI156+AM156+AQ156+AU156+AY156+BC156+BG156+BK156</f>
        <v>1088769251</v>
      </c>
      <c r="BP156" s="881">
        <f>AF156+AJ156+AN156+AR156+AV156+AZ156+BD156+BH156+BL156</f>
        <v>1088769251</v>
      </c>
      <c r="BQ156" s="883"/>
      <c r="BR156" s="883"/>
      <c r="BS156" s="883"/>
      <c r="BT156" s="883"/>
      <c r="BU156" s="883"/>
      <c r="BV156" s="883"/>
      <c r="BW156" s="883"/>
      <c r="BX156" s="883"/>
      <c r="BY156" s="883"/>
      <c r="BZ156" s="883"/>
      <c r="CA156" s="883"/>
      <c r="CB156" s="883"/>
      <c r="CC156" s="883"/>
      <c r="CD156" s="883"/>
      <c r="CE156" s="883"/>
      <c r="CF156" s="883"/>
      <c r="CG156" s="883"/>
      <c r="CH156" s="883"/>
      <c r="CI156" s="883"/>
      <c r="CJ156" s="883"/>
      <c r="CK156" s="883"/>
      <c r="CL156" s="883"/>
      <c r="CM156" s="883"/>
      <c r="CN156" s="883"/>
      <c r="CO156" s="883"/>
      <c r="CP156" s="883"/>
      <c r="CQ156" s="884">
        <v>1225102903.8499999</v>
      </c>
      <c r="CR156" s="884">
        <v>488921512</v>
      </c>
      <c r="CS156" s="884">
        <v>205820184</v>
      </c>
      <c r="CT156" s="884">
        <v>205820184</v>
      </c>
      <c r="CU156" s="884"/>
      <c r="CV156" s="883"/>
      <c r="CW156" s="883"/>
      <c r="CX156" s="883"/>
      <c r="CY156" s="883"/>
      <c r="CZ156" s="883"/>
      <c r="DA156" s="883"/>
      <c r="DB156" s="883"/>
      <c r="DC156" s="883"/>
      <c r="DD156" s="883"/>
      <c r="DE156" s="885">
        <f>BQ156+BU156+BZ156+CE156+CI156+CM156+CQ156+CV156+DA156</f>
        <v>1225102903.8499999</v>
      </c>
      <c r="DF156" s="885">
        <f>BR156+BV156+CA156+CF156+CJ156+CN156+CR156+CW156+DB156</f>
        <v>488921512</v>
      </c>
      <c r="DG156" s="885">
        <f>BS156+BW156+CB156+CG156+CK156+CO156+CS156+CX156+DC156</f>
        <v>205820184</v>
      </c>
      <c r="DH156" s="885">
        <f>BT156+BX156+CC156+CH156+CL156+CP156+CT156+CY156+DD156</f>
        <v>205820184</v>
      </c>
      <c r="DI156" s="886"/>
      <c r="DJ156" s="884"/>
      <c r="DK156" s="884"/>
      <c r="DL156" s="884"/>
      <c r="DM156" s="884"/>
      <c r="DN156" s="884"/>
      <c r="DO156" s="884"/>
      <c r="DP156" s="884"/>
      <c r="DQ156" s="884"/>
      <c r="DR156" s="884"/>
      <c r="DS156" s="884"/>
      <c r="DT156" s="884">
        <v>62000000</v>
      </c>
      <c r="DU156" s="884">
        <v>7380000</v>
      </c>
      <c r="DV156" s="884">
        <v>7380000</v>
      </c>
      <c r="DW156" s="884"/>
      <c r="DX156" s="884"/>
      <c r="DY156" s="884"/>
      <c r="DZ156" s="884"/>
      <c r="EA156" s="884"/>
      <c r="EB156" s="884"/>
      <c r="EC156" s="884"/>
      <c r="ED156" s="884"/>
      <c r="EE156" s="884"/>
      <c r="EF156" s="884"/>
      <c r="EG156" s="884"/>
      <c r="EH156" s="884"/>
      <c r="EI156" s="884"/>
      <c r="EJ156" s="884">
        <v>1261855990.9655001</v>
      </c>
      <c r="EK156" s="884">
        <v>473723491</v>
      </c>
      <c r="EL156" s="884">
        <v>338359039.47000003</v>
      </c>
      <c r="EM156" s="884">
        <v>338359039.47000003</v>
      </c>
      <c r="EN156" s="884"/>
      <c r="EO156" s="884"/>
      <c r="EP156" s="884"/>
      <c r="EQ156" s="884"/>
      <c r="ER156" s="884"/>
      <c r="ES156" s="884"/>
      <c r="ET156" s="886"/>
      <c r="EU156" s="886"/>
      <c r="EV156" s="886"/>
      <c r="EW156" s="885">
        <f>DJ156+DN156+DS156+DX156+EB156+EF156+EJ156+EN156+ES156</f>
        <v>1261855990.9655001</v>
      </c>
      <c r="EX156" s="887">
        <f>DK156+DO156+DT156+DY156+EC156+EG156+EK156+EO156+ET156</f>
        <v>535723491</v>
      </c>
      <c r="EY156" s="887">
        <f>DL156+DP156+DU156+DZ156+ED156+EH156+EL156+EP156+EU156</f>
        <v>345739039.47000003</v>
      </c>
      <c r="EZ156" s="887">
        <f>DM156+DQ156+DV156+EA156+EE156+EI156+EM156+EQ156+EV156</f>
        <v>345739039.47000003</v>
      </c>
      <c r="FA156" s="888"/>
      <c r="FB156" s="886"/>
      <c r="FC156" s="819"/>
      <c r="FD156" s="819"/>
      <c r="FE156" s="819"/>
      <c r="FF156" s="819"/>
      <c r="FG156" s="884"/>
      <c r="FH156" s="819">
        <v>40000000</v>
      </c>
      <c r="FI156" s="819">
        <v>20244000</v>
      </c>
      <c r="FJ156" s="819"/>
      <c r="FK156" s="819"/>
      <c r="FL156" s="884"/>
      <c r="FM156" s="819">
        <v>10000000</v>
      </c>
      <c r="FN156" s="819">
        <v>10000000</v>
      </c>
      <c r="FO156" s="819">
        <v>10000000</v>
      </c>
      <c r="FP156" s="819"/>
      <c r="FQ156" s="884"/>
      <c r="FR156" s="819"/>
      <c r="FS156" s="819"/>
      <c r="FT156" s="819"/>
      <c r="FU156" s="819"/>
      <c r="FV156" s="884"/>
      <c r="FW156" s="819"/>
      <c r="FX156" s="819"/>
      <c r="FY156" s="819"/>
      <c r="FZ156" s="819"/>
      <c r="GA156" s="884"/>
      <c r="GB156" s="819"/>
      <c r="GC156" s="819"/>
      <c r="GD156" s="819"/>
      <c r="GE156" s="819"/>
      <c r="GF156" s="884">
        <v>1299711670.6944699</v>
      </c>
      <c r="GG156" s="819">
        <v>656195624</v>
      </c>
      <c r="GH156" s="819">
        <v>285612138</v>
      </c>
      <c r="GI156" s="819"/>
      <c r="GJ156" s="819"/>
      <c r="GK156" s="884"/>
      <c r="GL156" s="819"/>
      <c r="GM156" s="819"/>
      <c r="GN156" s="819"/>
      <c r="GO156" s="819"/>
      <c r="GP156" s="884"/>
      <c r="GQ156" s="819"/>
      <c r="GR156" s="819"/>
      <c r="GS156" s="819"/>
      <c r="GT156" s="819"/>
      <c r="GU156" s="885">
        <f>FB156+FG156+FL156+FQ156+FV156+GA156+GF156+GK156+GP156</f>
        <v>1299711670.6944699</v>
      </c>
      <c r="GV156" s="819">
        <f>GQ156+GL156+GG156+GB156+FW156+FR156+FM156+FH156+FC156</f>
        <v>706195624</v>
      </c>
      <c r="GW156" s="819">
        <f>GR156+GM156+GH156+GC156+FX156+FS156+FN156+FI156+FD156</f>
        <v>315856138</v>
      </c>
      <c r="GX156" s="819">
        <f>GS156+GN156+GI156+GD156+FY156+FT156+FO156+FJ156+FE156</f>
        <v>10000000</v>
      </c>
      <c r="GY156" s="889">
        <f>GT156+GO156+GJ156+GE156+FZ156+FU156+FP156+FK156+FF156</f>
        <v>0</v>
      </c>
      <c r="GZ156" s="890">
        <f>BM156+DE156+EW156+GU156</f>
        <v>5024970335.5099697</v>
      </c>
    </row>
    <row r="157" spans="1:208" s="419" customFormat="1" ht="24.75" customHeight="1" x14ac:dyDescent="0.25">
      <c r="A157" s="326"/>
      <c r="B157" s="326"/>
      <c r="C157" s="246">
        <v>27</v>
      </c>
      <c r="D157" s="247" t="s">
        <v>382</v>
      </c>
      <c r="E157" s="1026"/>
      <c r="F157" s="1020"/>
      <c r="G157" s="432"/>
      <c r="H157" s="432"/>
      <c r="I157" s="432"/>
      <c r="J157" s="432"/>
      <c r="K157" s="432"/>
      <c r="L157" s="432"/>
      <c r="M157" s="432"/>
      <c r="N157" s="432"/>
      <c r="O157" s="432"/>
      <c r="P157" s="432"/>
      <c r="Q157" s="432"/>
      <c r="R157" s="432"/>
      <c r="S157" s="432"/>
      <c r="T157" s="432"/>
      <c r="U157" s="432"/>
      <c r="V157" s="432"/>
      <c r="W157" s="432"/>
      <c r="X157" s="432"/>
      <c r="Y157" s="626"/>
      <c r="Z157" s="432"/>
      <c r="AA157" s="432"/>
      <c r="AB157" s="432"/>
      <c r="AC157" s="51">
        <f t="shared" ref="AC157:BL157" si="308">SUM(AC158)</f>
        <v>0</v>
      </c>
      <c r="AD157" s="51">
        <f t="shared" si="308"/>
        <v>0</v>
      </c>
      <c r="AE157" s="51">
        <f t="shared" si="308"/>
        <v>0</v>
      </c>
      <c r="AF157" s="51">
        <f t="shared" si="308"/>
        <v>0</v>
      </c>
      <c r="AG157" s="51">
        <f t="shared" si="308"/>
        <v>0</v>
      </c>
      <c r="AH157" s="51">
        <f t="shared" si="308"/>
        <v>0</v>
      </c>
      <c r="AI157" s="51">
        <f t="shared" si="308"/>
        <v>0</v>
      </c>
      <c r="AJ157" s="51">
        <f t="shared" si="308"/>
        <v>0</v>
      </c>
      <c r="AK157" s="51">
        <f t="shared" si="308"/>
        <v>0</v>
      </c>
      <c r="AL157" s="51">
        <f t="shared" si="308"/>
        <v>0</v>
      </c>
      <c r="AM157" s="51">
        <f t="shared" si="308"/>
        <v>0</v>
      </c>
      <c r="AN157" s="51">
        <f t="shared" si="308"/>
        <v>0</v>
      </c>
      <c r="AO157" s="51">
        <f t="shared" si="308"/>
        <v>0</v>
      </c>
      <c r="AP157" s="51">
        <f t="shared" si="308"/>
        <v>0</v>
      </c>
      <c r="AQ157" s="51">
        <f t="shared" si="308"/>
        <v>0</v>
      </c>
      <c r="AR157" s="51">
        <f t="shared" si="308"/>
        <v>0</v>
      </c>
      <c r="AS157" s="51">
        <f t="shared" si="308"/>
        <v>0</v>
      </c>
      <c r="AT157" s="51">
        <f t="shared" si="308"/>
        <v>0</v>
      </c>
      <c r="AU157" s="51">
        <f t="shared" si="308"/>
        <v>0</v>
      </c>
      <c r="AV157" s="51">
        <f t="shared" si="308"/>
        <v>0</v>
      </c>
      <c r="AW157" s="51">
        <f t="shared" si="308"/>
        <v>0</v>
      </c>
      <c r="AX157" s="51">
        <f t="shared" si="308"/>
        <v>0</v>
      </c>
      <c r="AY157" s="51">
        <f t="shared" si="308"/>
        <v>0</v>
      </c>
      <c r="AZ157" s="51">
        <f t="shared" si="308"/>
        <v>0</v>
      </c>
      <c r="BA157" s="51">
        <f t="shared" si="308"/>
        <v>12000000000</v>
      </c>
      <c r="BB157" s="51">
        <f t="shared" si="308"/>
        <v>14211556688</v>
      </c>
      <c r="BC157" s="51">
        <f t="shared" si="308"/>
        <v>13765999613.15</v>
      </c>
      <c r="BD157" s="51">
        <f t="shared" si="308"/>
        <v>13763799612.15</v>
      </c>
      <c r="BE157" s="51">
        <f t="shared" si="308"/>
        <v>0</v>
      </c>
      <c r="BF157" s="51">
        <f t="shared" si="308"/>
        <v>0</v>
      </c>
      <c r="BG157" s="51">
        <f t="shared" si="308"/>
        <v>0</v>
      </c>
      <c r="BH157" s="51">
        <f t="shared" si="308"/>
        <v>0</v>
      </c>
      <c r="BI157" s="51">
        <f t="shared" si="308"/>
        <v>0</v>
      </c>
      <c r="BJ157" s="51">
        <f t="shared" si="308"/>
        <v>0</v>
      </c>
      <c r="BK157" s="51">
        <f t="shared" si="308"/>
        <v>0</v>
      </c>
      <c r="BL157" s="51">
        <f t="shared" si="308"/>
        <v>0</v>
      </c>
      <c r="BM157" s="51">
        <f t="shared" ref="BM157:DX157" si="309">SUM(BM158)</f>
        <v>12000000000</v>
      </c>
      <c r="BN157" s="51">
        <f t="shared" si="309"/>
        <v>14211556688</v>
      </c>
      <c r="BO157" s="51">
        <f t="shared" si="309"/>
        <v>13765999613.15</v>
      </c>
      <c r="BP157" s="51">
        <f t="shared" si="309"/>
        <v>13763799612.15</v>
      </c>
      <c r="BQ157" s="51">
        <f t="shared" si="309"/>
        <v>0</v>
      </c>
      <c r="BR157" s="51">
        <f t="shared" si="309"/>
        <v>0</v>
      </c>
      <c r="BS157" s="51">
        <f t="shared" si="309"/>
        <v>0</v>
      </c>
      <c r="BT157" s="51">
        <f t="shared" si="309"/>
        <v>0</v>
      </c>
      <c r="BU157" s="51">
        <f t="shared" si="309"/>
        <v>0</v>
      </c>
      <c r="BV157" s="51">
        <f t="shared" si="309"/>
        <v>0</v>
      </c>
      <c r="BW157" s="51">
        <f t="shared" si="309"/>
        <v>0</v>
      </c>
      <c r="BX157" s="51">
        <f t="shared" si="309"/>
        <v>0</v>
      </c>
      <c r="BY157" s="51">
        <f t="shared" si="309"/>
        <v>0</v>
      </c>
      <c r="BZ157" s="51">
        <f t="shared" si="309"/>
        <v>0</v>
      </c>
      <c r="CA157" s="51">
        <f t="shared" si="309"/>
        <v>0</v>
      </c>
      <c r="CB157" s="51">
        <f t="shared" si="309"/>
        <v>0</v>
      </c>
      <c r="CC157" s="51">
        <f t="shared" si="309"/>
        <v>0</v>
      </c>
      <c r="CD157" s="51">
        <f t="shared" si="309"/>
        <v>0</v>
      </c>
      <c r="CE157" s="51">
        <f t="shared" si="309"/>
        <v>0</v>
      </c>
      <c r="CF157" s="51">
        <f t="shared" si="309"/>
        <v>0</v>
      </c>
      <c r="CG157" s="51">
        <f t="shared" si="309"/>
        <v>0</v>
      </c>
      <c r="CH157" s="51">
        <f t="shared" si="309"/>
        <v>0</v>
      </c>
      <c r="CI157" s="51">
        <f t="shared" si="309"/>
        <v>0</v>
      </c>
      <c r="CJ157" s="51">
        <f t="shared" si="309"/>
        <v>0</v>
      </c>
      <c r="CK157" s="51">
        <f t="shared" si="309"/>
        <v>0</v>
      </c>
      <c r="CL157" s="51">
        <f t="shared" si="309"/>
        <v>0</v>
      </c>
      <c r="CM157" s="51">
        <f t="shared" si="309"/>
        <v>0</v>
      </c>
      <c r="CN157" s="51">
        <f t="shared" si="309"/>
        <v>0</v>
      </c>
      <c r="CO157" s="51">
        <f t="shared" si="309"/>
        <v>0</v>
      </c>
      <c r="CP157" s="51">
        <f t="shared" si="309"/>
        <v>0</v>
      </c>
      <c r="CQ157" s="51">
        <f t="shared" si="309"/>
        <v>12360000000</v>
      </c>
      <c r="CR157" s="51">
        <f t="shared" si="309"/>
        <v>18840890009</v>
      </c>
      <c r="CS157" s="51">
        <f t="shared" si="309"/>
        <v>18840890009</v>
      </c>
      <c r="CT157" s="51">
        <f t="shared" si="309"/>
        <v>18840890009</v>
      </c>
      <c r="CU157" s="51">
        <f t="shared" si="309"/>
        <v>0</v>
      </c>
      <c r="CV157" s="51">
        <f t="shared" si="309"/>
        <v>0</v>
      </c>
      <c r="CW157" s="51">
        <f t="shared" si="309"/>
        <v>0</v>
      </c>
      <c r="CX157" s="51">
        <f t="shared" si="309"/>
        <v>0</v>
      </c>
      <c r="CY157" s="51">
        <f t="shared" si="309"/>
        <v>0</v>
      </c>
      <c r="CZ157" s="51">
        <f t="shared" si="309"/>
        <v>0</v>
      </c>
      <c r="DA157" s="51">
        <f t="shared" si="309"/>
        <v>0</v>
      </c>
      <c r="DB157" s="51">
        <f t="shared" si="309"/>
        <v>0</v>
      </c>
      <c r="DC157" s="51">
        <f t="shared" si="309"/>
        <v>0</v>
      </c>
      <c r="DD157" s="51">
        <f t="shared" si="309"/>
        <v>0</v>
      </c>
      <c r="DE157" s="51">
        <f t="shared" si="309"/>
        <v>12360000000</v>
      </c>
      <c r="DF157" s="51">
        <f t="shared" si="309"/>
        <v>18840890009</v>
      </c>
      <c r="DG157" s="51">
        <f t="shared" si="309"/>
        <v>18840890009</v>
      </c>
      <c r="DH157" s="51">
        <f t="shared" si="309"/>
        <v>18840890009</v>
      </c>
      <c r="DI157" s="51">
        <f t="shared" si="309"/>
        <v>0</v>
      </c>
      <c r="DJ157" s="51">
        <f t="shared" si="309"/>
        <v>0</v>
      </c>
      <c r="DK157" s="51">
        <f t="shared" si="309"/>
        <v>0</v>
      </c>
      <c r="DL157" s="51">
        <f t="shared" si="309"/>
        <v>0</v>
      </c>
      <c r="DM157" s="51">
        <f t="shared" si="309"/>
        <v>0</v>
      </c>
      <c r="DN157" s="51">
        <f t="shared" si="309"/>
        <v>0</v>
      </c>
      <c r="DO157" s="51">
        <f t="shared" si="309"/>
        <v>227000000</v>
      </c>
      <c r="DP157" s="51">
        <f t="shared" si="309"/>
        <v>189007371</v>
      </c>
      <c r="DQ157" s="51">
        <f t="shared" si="309"/>
        <v>0</v>
      </c>
      <c r="DR157" s="51">
        <f t="shared" si="309"/>
        <v>0</v>
      </c>
      <c r="DS157" s="51">
        <f t="shared" si="309"/>
        <v>0</v>
      </c>
      <c r="DT157" s="51">
        <f t="shared" si="309"/>
        <v>0</v>
      </c>
      <c r="DU157" s="51">
        <f t="shared" si="309"/>
        <v>0</v>
      </c>
      <c r="DV157" s="51">
        <f t="shared" si="309"/>
        <v>0</v>
      </c>
      <c r="DW157" s="51">
        <f t="shared" si="309"/>
        <v>0</v>
      </c>
      <c r="DX157" s="51">
        <f t="shared" si="309"/>
        <v>0</v>
      </c>
      <c r="DY157" s="51">
        <f t="shared" ref="DY157:EW157" si="310">SUM(DY158)</f>
        <v>0</v>
      </c>
      <c r="DZ157" s="51">
        <f t="shared" si="310"/>
        <v>0</v>
      </c>
      <c r="EA157" s="51">
        <f t="shared" si="310"/>
        <v>0</v>
      </c>
      <c r="EB157" s="51">
        <f t="shared" si="310"/>
        <v>0</v>
      </c>
      <c r="EC157" s="51">
        <f t="shared" si="310"/>
        <v>0</v>
      </c>
      <c r="ED157" s="51">
        <f t="shared" si="310"/>
        <v>0</v>
      </c>
      <c r="EE157" s="51">
        <f t="shared" si="310"/>
        <v>0</v>
      </c>
      <c r="EF157" s="51">
        <f t="shared" si="310"/>
        <v>0</v>
      </c>
      <c r="EG157" s="51">
        <f t="shared" si="310"/>
        <v>0</v>
      </c>
      <c r="EH157" s="51">
        <f t="shared" si="310"/>
        <v>0</v>
      </c>
      <c r="EI157" s="51">
        <f t="shared" si="310"/>
        <v>0</v>
      </c>
      <c r="EJ157" s="51">
        <f t="shared" si="310"/>
        <v>12730800000</v>
      </c>
      <c r="EK157" s="51">
        <f t="shared" si="310"/>
        <v>15950158370</v>
      </c>
      <c r="EL157" s="51">
        <f t="shared" si="310"/>
        <v>15950157537</v>
      </c>
      <c r="EM157" s="51">
        <f t="shared" si="310"/>
        <v>15884084420</v>
      </c>
      <c r="EN157" s="51">
        <f t="shared" si="310"/>
        <v>0</v>
      </c>
      <c r="EO157" s="51">
        <f t="shared" si="310"/>
        <v>0</v>
      </c>
      <c r="EP157" s="51">
        <f t="shared" si="310"/>
        <v>0</v>
      </c>
      <c r="EQ157" s="51">
        <f t="shared" si="310"/>
        <v>0</v>
      </c>
      <c r="ER157" s="51">
        <f t="shared" si="310"/>
        <v>0</v>
      </c>
      <c r="ES157" s="51">
        <f t="shared" si="310"/>
        <v>0</v>
      </c>
      <c r="ET157" s="51">
        <f t="shared" si="310"/>
        <v>0</v>
      </c>
      <c r="EU157" s="51">
        <f t="shared" si="310"/>
        <v>0</v>
      </c>
      <c r="EV157" s="51">
        <f t="shared" si="310"/>
        <v>0</v>
      </c>
      <c r="EW157" s="51">
        <f t="shared" si="310"/>
        <v>12730800000</v>
      </c>
      <c r="EX157" s="51">
        <f t="shared" ref="EX157:GZ157" si="311">SUM(EX158)</f>
        <v>16177158370</v>
      </c>
      <c r="EY157" s="51">
        <f t="shared" si="311"/>
        <v>16139164908</v>
      </c>
      <c r="EZ157" s="51">
        <f t="shared" si="311"/>
        <v>15884084420</v>
      </c>
      <c r="FA157" s="51">
        <f t="shared" si="311"/>
        <v>0</v>
      </c>
      <c r="FB157" s="51">
        <f t="shared" si="311"/>
        <v>0</v>
      </c>
      <c r="FC157" s="51">
        <f t="shared" si="311"/>
        <v>0</v>
      </c>
      <c r="FD157" s="51">
        <f t="shared" si="311"/>
        <v>0</v>
      </c>
      <c r="FE157" s="51">
        <f t="shared" si="311"/>
        <v>0</v>
      </c>
      <c r="FF157" s="51">
        <f t="shared" si="311"/>
        <v>0</v>
      </c>
      <c r="FG157" s="51">
        <f t="shared" si="311"/>
        <v>0</v>
      </c>
      <c r="FH157" s="51">
        <f t="shared" si="311"/>
        <v>0</v>
      </c>
      <c r="FI157" s="51">
        <f t="shared" si="311"/>
        <v>0</v>
      </c>
      <c r="FJ157" s="51">
        <f t="shared" si="311"/>
        <v>0</v>
      </c>
      <c r="FK157" s="51">
        <f t="shared" si="311"/>
        <v>189007371</v>
      </c>
      <c r="FL157" s="51">
        <f t="shared" si="311"/>
        <v>0</v>
      </c>
      <c r="FM157" s="51">
        <f t="shared" si="311"/>
        <v>0</v>
      </c>
      <c r="FN157" s="51">
        <f t="shared" si="311"/>
        <v>0</v>
      </c>
      <c r="FO157" s="51">
        <f t="shared" si="311"/>
        <v>0</v>
      </c>
      <c r="FP157" s="51">
        <f t="shared" si="311"/>
        <v>0</v>
      </c>
      <c r="FQ157" s="51">
        <f t="shared" si="311"/>
        <v>0</v>
      </c>
      <c r="FR157" s="51">
        <f t="shared" si="311"/>
        <v>0</v>
      </c>
      <c r="FS157" s="51">
        <f t="shared" si="311"/>
        <v>0</v>
      </c>
      <c r="FT157" s="51">
        <f t="shared" si="311"/>
        <v>0</v>
      </c>
      <c r="FU157" s="51">
        <f t="shared" si="311"/>
        <v>0</v>
      </c>
      <c r="FV157" s="51">
        <f t="shared" si="311"/>
        <v>0</v>
      </c>
      <c r="FW157" s="51">
        <f t="shared" si="311"/>
        <v>0</v>
      </c>
      <c r="FX157" s="51">
        <f t="shared" si="311"/>
        <v>0</v>
      </c>
      <c r="FY157" s="51">
        <f t="shared" si="311"/>
        <v>0</v>
      </c>
      <c r="FZ157" s="51">
        <f t="shared" si="311"/>
        <v>0</v>
      </c>
      <c r="GA157" s="51">
        <f t="shared" si="311"/>
        <v>0</v>
      </c>
      <c r="GB157" s="51">
        <f t="shared" si="311"/>
        <v>0</v>
      </c>
      <c r="GC157" s="51">
        <f t="shared" si="311"/>
        <v>0</v>
      </c>
      <c r="GD157" s="51">
        <f t="shared" si="311"/>
        <v>0</v>
      </c>
      <c r="GE157" s="51">
        <f t="shared" si="311"/>
        <v>0</v>
      </c>
      <c r="GF157" s="51">
        <f t="shared" si="311"/>
        <v>13112724000</v>
      </c>
      <c r="GG157" s="51">
        <f t="shared" si="311"/>
        <v>3503000000</v>
      </c>
      <c r="GH157" s="51">
        <f t="shared" si="311"/>
        <v>966769607</v>
      </c>
      <c r="GI157" s="51">
        <f t="shared" si="311"/>
        <v>925522951</v>
      </c>
      <c r="GJ157" s="51">
        <f t="shared" si="311"/>
        <v>59349419</v>
      </c>
      <c r="GK157" s="51">
        <f t="shared" si="311"/>
        <v>0</v>
      </c>
      <c r="GL157" s="51">
        <f t="shared" si="311"/>
        <v>0</v>
      </c>
      <c r="GM157" s="51">
        <f t="shared" si="311"/>
        <v>0</v>
      </c>
      <c r="GN157" s="51">
        <f t="shared" si="311"/>
        <v>0</v>
      </c>
      <c r="GO157" s="51">
        <f t="shared" si="311"/>
        <v>0</v>
      </c>
      <c r="GP157" s="51">
        <f t="shared" si="311"/>
        <v>0</v>
      </c>
      <c r="GQ157" s="51">
        <f t="shared" si="311"/>
        <v>0</v>
      </c>
      <c r="GR157" s="51">
        <f t="shared" si="311"/>
        <v>0</v>
      </c>
      <c r="GS157" s="51">
        <f t="shared" si="311"/>
        <v>0</v>
      </c>
      <c r="GT157" s="51">
        <f t="shared" si="311"/>
        <v>0</v>
      </c>
      <c r="GU157" s="51">
        <f t="shared" si="311"/>
        <v>13112724000</v>
      </c>
      <c r="GV157" s="51">
        <f t="shared" si="311"/>
        <v>3503000000</v>
      </c>
      <c r="GW157" s="51">
        <f t="shared" si="311"/>
        <v>966769607</v>
      </c>
      <c r="GX157" s="51">
        <f t="shared" si="311"/>
        <v>925522951</v>
      </c>
      <c r="GY157" s="51">
        <f t="shared" si="311"/>
        <v>248356790</v>
      </c>
      <c r="GZ157" s="51">
        <f t="shared" si="311"/>
        <v>50203524000</v>
      </c>
    </row>
    <row r="158" spans="1:208" s="419" customFormat="1" ht="123.75" customHeight="1" x14ac:dyDescent="0.25">
      <c r="A158" s="326"/>
      <c r="B158" s="326"/>
      <c r="C158" s="718" t="s">
        <v>383</v>
      </c>
      <c r="D158" s="723" t="s">
        <v>384</v>
      </c>
      <c r="E158" s="718" t="s">
        <v>385</v>
      </c>
      <c r="F158" s="718" t="s">
        <v>386</v>
      </c>
      <c r="G158" s="260">
        <v>111</v>
      </c>
      <c r="H158" s="258" t="s">
        <v>387</v>
      </c>
      <c r="I158" s="433" t="s">
        <v>388</v>
      </c>
      <c r="J158" s="386" t="s">
        <v>266</v>
      </c>
      <c r="K158" s="398">
        <v>1</v>
      </c>
      <c r="L158" s="434" t="s">
        <v>58</v>
      </c>
      <c r="M158" s="435">
        <v>1</v>
      </c>
      <c r="N158" s="435">
        <v>1</v>
      </c>
      <c r="O158" s="377">
        <v>1</v>
      </c>
      <c r="P158" s="436">
        <v>1</v>
      </c>
      <c r="Q158" s="437">
        <v>1</v>
      </c>
      <c r="R158" s="268"/>
      <c r="S158" s="438">
        <v>1</v>
      </c>
      <c r="T158" s="439">
        <v>1</v>
      </c>
      <c r="U158" s="439"/>
      <c r="V158" s="440">
        <v>1</v>
      </c>
      <c r="W158" s="439">
        <v>1</v>
      </c>
      <c r="X158" s="434"/>
      <c r="Y158" s="637">
        <v>0.5</v>
      </c>
      <c r="Z158" s="410">
        <f>BM158/BM157</f>
        <v>1</v>
      </c>
      <c r="AA158" s="264">
        <v>10</v>
      </c>
      <c r="AB158" s="274" t="s">
        <v>389</v>
      </c>
      <c r="AC158" s="56"/>
      <c r="AD158" s="55"/>
      <c r="AE158" s="54"/>
      <c r="AF158" s="54"/>
      <c r="AG158" s="56"/>
      <c r="AH158" s="55"/>
      <c r="AI158" s="55"/>
      <c r="AJ158" s="55"/>
      <c r="AK158" s="56"/>
      <c r="AL158" s="55"/>
      <c r="AM158" s="55"/>
      <c r="AN158" s="55"/>
      <c r="AO158" s="56"/>
      <c r="AP158" s="55"/>
      <c r="AQ158" s="55"/>
      <c r="AR158" s="55"/>
      <c r="AS158" s="56"/>
      <c r="AT158" s="55"/>
      <c r="AU158" s="54"/>
      <c r="AV158" s="54"/>
      <c r="AW158" s="56"/>
      <c r="AX158" s="55"/>
      <c r="AY158" s="55"/>
      <c r="AZ158" s="55"/>
      <c r="BA158" s="60">
        <v>12000000000</v>
      </c>
      <c r="BB158" s="59">
        <v>14211556688</v>
      </c>
      <c r="BC158" s="54">
        <v>13765999613.15</v>
      </c>
      <c r="BD158" s="54">
        <v>13763799612.15</v>
      </c>
      <c r="BE158" s="56"/>
      <c r="BF158" s="55"/>
      <c r="BG158" s="54"/>
      <c r="BH158" s="54"/>
      <c r="BI158" s="56"/>
      <c r="BJ158" s="55"/>
      <c r="BK158" s="55"/>
      <c r="BL158" s="55"/>
      <c r="BM158" s="53">
        <f>+AC158+AG158+AK158+AO158+AS158+AW158+BA158+BE158+BI158</f>
        <v>12000000000</v>
      </c>
      <c r="BN158" s="54">
        <f>AD158+AH158+AL158+AP158+AT158+AX158+BB158+BF158+BJ158</f>
        <v>14211556688</v>
      </c>
      <c r="BO158" s="54">
        <f>AE158+AI158+AM158+AQ158+AU158+AY158+BC158+BG158+BK158</f>
        <v>13765999613.15</v>
      </c>
      <c r="BP158" s="54">
        <f>AF158+AJ158+AN158+AR158+AV158+AZ158+BD158+BH158+BL158</f>
        <v>13763799612.15</v>
      </c>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6">
        <v>12360000000</v>
      </c>
      <c r="CR158" s="81">
        <v>18840890009</v>
      </c>
      <c r="CS158" s="81">
        <v>18840890009</v>
      </c>
      <c r="CT158" s="441">
        <v>18840890009</v>
      </c>
      <c r="CU158" s="441"/>
      <c r="CV158" s="81"/>
      <c r="CW158" s="81"/>
      <c r="CX158" s="81"/>
      <c r="CY158" s="81"/>
      <c r="CZ158" s="81"/>
      <c r="DA158" s="81"/>
      <c r="DB158" s="81"/>
      <c r="DC158" s="81"/>
      <c r="DD158" s="81"/>
      <c r="DE158" s="81">
        <f>BQ158+BU158+BZ158+CE158+CI158+CM158+CQ158+CV158+DA158</f>
        <v>12360000000</v>
      </c>
      <c r="DF158" s="95">
        <f>BR158+BV158+CA158+CF158+CJ158+CN158+CR158+CW158+DB158</f>
        <v>18840890009</v>
      </c>
      <c r="DG158" s="95">
        <f>BS158+BW158+CB158+CG158+CK158+CO158+CS158+CX158+DC158</f>
        <v>18840890009</v>
      </c>
      <c r="DH158" s="117">
        <f>BT158+BX158+CC158+CH158+CL158+CP158+CT158+CY158+DD158</f>
        <v>18840890009</v>
      </c>
      <c r="DI158" s="117"/>
      <c r="DJ158" s="86"/>
      <c r="DK158" s="85"/>
      <c r="DL158" s="86"/>
      <c r="DM158" s="86"/>
      <c r="DN158" s="86"/>
      <c r="DO158" s="85">
        <v>227000000</v>
      </c>
      <c r="DP158" s="86">
        <v>189007371</v>
      </c>
      <c r="DQ158" s="86"/>
      <c r="DR158" s="86"/>
      <c r="DS158" s="86"/>
      <c r="DT158" s="86"/>
      <c r="DU158" s="86"/>
      <c r="DV158" s="86"/>
      <c r="DW158" s="86"/>
      <c r="DX158" s="86"/>
      <c r="DY158" s="86"/>
      <c r="DZ158" s="86"/>
      <c r="EA158" s="86"/>
      <c r="EB158" s="86"/>
      <c r="EC158" s="86"/>
      <c r="ED158" s="86"/>
      <c r="EE158" s="86"/>
      <c r="EF158" s="86"/>
      <c r="EG158" s="86"/>
      <c r="EH158" s="86"/>
      <c r="EI158" s="86"/>
      <c r="EJ158" s="86">
        <v>12730800000</v>
      </c>
      <c r="EK158" s="86">
        <v>15950158370</v>
      </c>
      <c r="EL158" s="86">
        <v>15950157537</v>
      </c>
      <c r="EM158" s="86">
        <v>15884084420</v>
      </c>
      <c r="EN158" s="86"/>
      <c r="EO158" s="86"/>
      <c r="EP158" s="86"/>
      <c r="EQ158" s="86"/>
      <c r="ER158" s="86"/>
      <c r="ES158" s="86"/>
      <c r="ET158" s="81"/>
      <c r="EU158" s="81"/>
      <c r="EV158" s="81"/>
      <c r="EW158" s="81">
        <f>DJ158+DN158+DS158+DX158+EB158+EF158+EJ158+EN158+ES158</f>
        <v>12730800000</v>
      </c>
      <c r="EX158" s="85">
        <f>DK158+DO158+DT158+DY158+EC158+EG158+EK158+EO158+ET158</f>
        <v>16177158370</v>
      </c>
      <c r="EY158" s="86">
        <f>DL158+DP158+DU158+DZ158+ED158+EH158+EL158+EP158+EU158</f>
        <v>16139164908</v>
      </c>
      <c r="EZ158" s="86">
        <f>DM158+DQ158+DV158+EA158+EE158+EI158+EM158+EQ158+EV158</f>
        <v>15884084420</v>
      </c>
      <c r="FA158" s="176"/>
      <c r="FB158" s="81"/>
      <c r="FC158" s="86"/>
      <c r="FD158" s="86"/>
      <c r="FE158" s="86"/>
      <c r="FF158" s="138"/>
      <c r="FG158" s="81"/>
      <c r="FH158" s="81"/>
      <c r="FI158" s="81"/>
      <c r="FJ158" s="81"/>
      <c r="FK158" s="81">
        <v>189007371</v>
      </c>
      <c r="FL158" s="81"/>
      <c r="FM158" s="81"/>
      <c r="FN158" s="81"/>
      <c r="FO158" s="81"/>
      <c r="FP158" s="81"/>
      <c r="FQ158" s="81"/>
      <c r="FR158" s="81"/>
      <c r="FS158" s="81"/>
      <c r="FT158" s="81"/>
      <c r="FU158" s="81"/>
      <c r="FV158" s="81"/>
      <c r="FW158" s="81"/>
      <c r="FX158" s="81"/>
      <c r="FY158" s="81"/>
      <c r="FZ158" s="81"/>
      <c r="GA158" s="81"/>
      <c r="GB158" s="81"/>
      <c r="GC158" s="81"/>
      <c r="GD158" s="81"/>
      <c r="GE158" s="81"/>
      <c r="GF158" s="81">
        <v>13112724000</v>
      </c>
      <c r="GG158" s="81">
        <v>3503000000</v>
      </c>
      <c r="GH158" s="81">
        <v>966769607</v>
      </c>
      <c r="GI158" s="81">
        <v>925522951</v>
      </c>
      <c r="GJ158" s="81">
        <v>59349419</v>
      </c>
      <c r="GK158" s="81"/>
      <c r="GL158" s="81"/>
      <c r="GM158" s="81"/>
      <c r="GN158" s="81"/>
      <c r="GO158" s="81"/>
      <c r="GP158" s="81"/>
      <c r="GQ158" s="81"/>
      <c r="GR158" s="81"/>
      <c r="GS158" s="81"/>
      <c r="GT158" s="81"/>
      <c r="GU158" s="81">
        <f>FB158+FG158+FL158+FQ158+FV158+GA158+GF158+GK158+GP158</f>
        <v>13112724000</v>
      </c>
      <c r="GV158" s="81">
        <f>GQ158+GL158+GG158+GB158+FW158+FR158+FM158+FH158+FC158</f>
        <v>3503000000</v>
      </c>
      <c r="GW158" s="81">
        <f>GR158+GM158+GH158+GC158+FX158+FS158+FN158+FI158+FD158</f>
        <v>966769607</v>
      </c>
      <c r="GX158" s="81">
        <f>GS158+GN158+GI158+GD158+FY158+FT158+FO158+FJ158+FE158</f>
        <v>925522951</v>
      </c>
      <c r="GY158" s="673">
        <f>GT158+GO158+GJ158+GE158+FZ158+FU158+FP158+FK158+FF158</f>
        <v>248356790</v>
      </c>
      <c r="GZ158" s="67">
        <f>BM158+DE158+EW158+GU158</f>
        <v>50203524000</v>
      </c>
    </row>
    <row r="159" spans="1:208" s="419" customFormat="1" ht="24.75" customHeight="1" x14ac:dyDescent="0.25">
      <c r="A159" s="326"/>
      <c r="B159" s="326"/>
      <c r="C159" s="246">
        <v>28</v>
      </c>
      <c r="D159" s="247" t="s">
        <v>390</v>
      </c>
      <c r="E159" s="294"/>
      <c r="F159" s="250"/>
      <c r="G159" s="432"/>
      <c r="H159" s="432"/>
      <c r="I159" s="432"/>
      <c r="J159" s="432"/>
      <c r="K159" s="432"/>
      <c r="L159" s="432"/>
      <c r="M159" s="432"/>
      <c r="N159" s="432"/>
      <c r="O159" s="432"/>
      <c r="P159" s="432"/>
      <c r="Q159" s="432"/>
      <c r="R159" s="432"/>
      <c r="S159" s="432"/>
      <c r="T159" s="432"/>
      <c r="U159" s="432"/>
      <c r="V159" s="432"/>
      <c r="W159" s="432"/>
      <c r="X159" s="432"/>
      <c r="Y159" s="626"/>
      <c r="Z159" s="432"/>
      <c r="AA159" s="432"/>
      <c r="AB159" s="432"/>
      <c r="AC159" s="51">
        <f t="shared" ref="AC159:BL159" si="312">SUM(AC160:AC161)</f>
        <v>0</v>
      </c>
      <c r="AD159" s="51">
        <f t="shared" si="312"/>
        <v>0</v>
      </c>
      <c r="AE159" s="51">
        <f t="shared" si="312"/>
        <v>0</v>
      </c>
      <c r="AF159" s="51">
        <f t="shared" si="312"/>
        <v>0</v>
      </c>
      <c r="AG159" s="51">
        <f t="shared" si="312"/>
        <v>0</v>
      </c>
      <c r="AH159" s="51">
        <f t="shared" si="312"/>
        <v>0</v>
      </c>
      <c r="AI159" s="51">
        <f t="shared" si="312"/>
        <v>0</v>
      </c>
      <c r="AJ159" s="51">
        <f t="shared" si="312"/>
        <v>0</v>
      </c>
      <c r="AK159" s="51">
        <f t="shared" si="312"/>
        <v>30000000</v>
      </c>
      <c r="AL159" s="51">
        <f t="shared" si="312"/>
        <v>30000000</v>
      </c>
      <c r="AM159" s="51">
        <f t="shared" si="312"/>
        <v>9900000</v>
      </c>
      <c r="AN159" s="51">
        <f t="shared" si="312"/>
        <v>9900000</v>
      </c>
      <c r="AO159" s="51">
        <f t="shared" si="312"/>
        <v>0</v>
      </c>
      <c r="AP159" s="51">
        <f t="shared" si="312"/>
        <v>0</v>
      </c>
      <c r="AQ159" s="51">
        <f t="shared" si="312"/>
        <v>0</v>
      </c>
      <c r="AR159" s="51">
        <f t="shared" si="312"/>
        <v>0</v>
      </c>
      <c r="AS159" s="51">
        <f t="shared" si="312"/>
        <v>0</v>
      </c>
      <c r="AT159" s="51">
        <f t="shared" si="312"/>
        <v>0</v>
      </c>
      <c r="AU159" s="51">
        <f t="shared" si="312"/>
        <v>0</v>
      </c>
      <c r="AV159" s="51">
        <f t="shared" si="312"/>
        <v>0</v>
      </c>
      <c r="AW159" s="51">
        <f t="shared" si="312"/>
        <v>0</v>
      </c>
      <c r="AX159" s="51">
        <f t="shared" si="312"/>
        <v>0</v>
      </c>
      <c r="AY159" s="51">
        <f t="shared" si="312"/>
        <v>0</v>
      </c>
      <c r="AZ159" s="51">
        <f t="shared" si="312"/>
        <v>0</v>
      </c>
      <c r="BA159" s="51">
        <f t="shared" si="312"/>
        <v>120000000</v>
      </c>
      <c r="BB159" s="51">
        <f t="shared" si="312"/>
        <v>51142637</v>
      </c>
      <c r="BC159" s="51">
        <f t="shared" si="312"/>
        <v>0</v>
      </c>
      <c r="BD159" s="51">
        <f t="shared" si="312"/>
        <v>0</v>
      </c>
      <c r="BE159" s="51">
        <f t="shared" si="312"/>
        <v>0</v>
      </c>
      <c r="BF159" s="51">
        <f t="shared" si="312"/>
        <v>0</v>
      </c>
      <c r="BG159" s="51">
        <f t="shared" si="312"/>
        <v>0</v>
      </c>
      <c r="BH159" s="51">
        <f t="shared" si="312"/>
        <v>0</v>
      </c>
      <c r="BI159" s="51">
        <f t="shared" si="312"/>
        <v>0</v>
      </c>
      <c r="BJ159" s="51">
        <f t="shared" si="312"/>
        <v>0</v>
      </c>
      <c r="BK159" s="51">
        <f t="shared" si="312"/>
        <v>0</v>
      </c>
      <c r="BL159" s="51">
        <f t="shared" si="312"/>
        <v>0</v>
      </c>
      <c r="BM159" s="51">
        <f t="shared" ref="BM159:DX159" si="313">SUM(BM160:BM161)</f>
        <v>150000000</v>
      </c>
      <c r="BN159" s="51">
        <f t="shared" si="313"/>
        <v>81142637</v>
      </c>
      <c r="BO159" s="51">
        <f t="shared" si="313"/>
        <v>9900000</v>
      </c>
      <c r="BP159" s="51">
        <f t="shared" si="313"/>
        <v>9900000</v>
      </c>
      <c r="BQ159" s="51">
        <f t="shared" si="313"/>
        <v>0</v>
      </c>
      <c r="BR159" s="51">
        <f t="shared" si="313"/>
        <v>0</v>
      </c>
      <c r="BS159" s="51">
        <f t="shared" si="313"/>
        <v>0</v>
      </c>
      <c r="BT159" s="51">
        <f t="shared" si="313"/>
        <v>0</v>
      </c>
      <c r="BU159" s="51">
        <f t="shared" si="313"/>
        <v>0</v>
      </c>
      <c r="BV159" s="51">
        <f t="shared" si="313"/>
        <v>0</v>
      </c>
      <c r="BW159" s="51">
        <f t="shared" si="313"/>
        <v>0</v>
      </c>
      <c r="BX159" s="51">
        <f t="shared" si="313"/>
        <v>0</v>
      </c>
      <c r="BY159" s="51">
        <f t="shared" si="313"/>
        <v>0</v>
      </c>
      <c r="BZ159" s="51">
        <f t="shared" si="313"/>
        <v>30000000</v>
      </c>
      <c r="CA159" s="51">
        <f t="shared" si="313"/>
        <v>42600000</v>
      </c>
      <c r="CB159" s="51">
        <f t="shared" si="313"/>
        <v>16493864</v>
      </c>
      <c r="CC159" s="51">
        <f t="shared" si="313"/>
        <v>16493864</v>
      </c>
      <c r="CD159" s="51">
        <f t="shared" si="313"/>
        <v>0</v>
      </c>
      <c r="CE159" s="51">
        <f t="shared" si="313"/>
        <v>0</v>
      </c>
      <c r="CF159" s="51">
        <f t="shared" si="313"/>
        <v>0</v>
      </c>
      <c r="CG159" s="51">
        <f t="shared" si="313"/>
        <v>0</v>
      </c>
      <c r="CH159" s="51">
        <f t="shared" si="313"/>
        <v>0</v>
      </c>
      <c r="CI159" s="51">
        <f t="shared" si="313"/>
        <v>0</v>
      </c>
      <c r="CJ159" s="51">
        <f t="shared" si="313"/>
        <v>0</v>
      </c>
      <c r="CK159" s="51">
        <f t="shared" si="313"/>
        <v>0</v>
      </c>
      <c r="CL159" s="51">
        <f t="shared" si="313"/>
        <v>0</v>
      </c>
      <c r="CM159" s="51">
        <f t="shared" si="313"/>
        <v>0</v>
      </c>
      <c r="CN159" s="51">
        <f t="shared" si="313"/>
        <v>0</v>
      </c>
      <c r="CO159" s="51">
        <f t="shared" si="313"/>
        <v>0</v>
      </c>
      <c r="CP159" s="51">
        <f t="shared" si="313"/>
        <v>0</v>
      </c>
      <c r="CQ159" s="51">
        <f t="shared" si="313"/>
        <v>123600000</v>
      </c>
      <c r="CR159" s="51">
        <f t="shared" si="313"/>
        <v>0</v>
      </c>
      <c r="CS159" s="51">
        <f t="shared" si="313"/>
        <v>0</v>
      </c>
      <c r="CT159" s="51">
        <f t="shared" si="313"/>
        <v>0</v>
      </c>
      <c r="CU159" s="51">
        <f t="shared" si="313"/>
        <v>0</v>
      </c>
      <c r="CV159" s="51">
        <f t="shared" si="313"/>
        <v>0</v>
      </c>
      <c r="CW159" s="51">
        <f t="shared" si="313"/>
        <v>0</v>
      </c>
      <c r="CX159" s="51">
        <f t="shared" si="313"/>
        <v>0</v>
      </c>
      <c r="CY159" s="51">
        <f t="shared" si="313"/>
        <v>0</v>
      </c>
      <c r="CZ159" s="51">
        <f t="shared" si="313"/>
        <v>0</v>
      </c>
      <c r="DA159" s="51">
        <f t="shared" si="313"/>
        <v>0</v>
      </c>
      <c r="DB159" s="51">
        <f t="shared" si="313"/>
        <v>0</v>
      </c>
      <c r="DC159" s="51">
        <f t="shared" si="313"/>
        <v>0</v>
      </c>
      <c r="DD159" s="51">
        <f t="shared" si="313"/>
        <v>0</v>
      </c>
      <c r="DE159" s="51">
        <f t="shared" si="313"/>
        <v>153600000</v>
      </c>
      <c r="DF159" s="51">
        <f t="shared" si="313"/>
        <v>42600000</v>
      </c>
      <c r="DG159" s="51">
        <f t="shared" si="313"/>
        <v>16493864</v>
      </c>
      <c r="DH159" s="51">
        <f t="shared" si="313"/>
        <v>16493864</v>
      </c>
      <c r="DI159" s="51">
        <f t="shared" si="313"/>
        <v>0</v>
      </c>
      <c r="DJ159" s="51">
        <f t="shared" si="313"/>
        <v>0</v>
      </c>
      <c r="DK159" s="51">
        <f t="shared" si="313"/>
        <v>0</v>
      </c>
      <c r="DL159" s="51">
        <f t="shared" si="313"/>
        <v>0</v>
      </c>
      <c r="DM159" s="51">
        <f t="shared" si="313"/>
        <v>0</v>
      </c>
      <c r="DN159" s="51">
        <f t="shared" si="313"/>
        <v>0</v>
      </c>
      <c r="DO159" s="51">
        <f t="shared" si="313"/>
        <v>8000000</v>
      </c>
      <c r="DP159" s="51">
        <f t="shared" si="313"/>
        <v>6938000</v>
      </c>
      <c r="DQ159" s="51">
        <f t="shared" si="313"/>
        <v>6938000</v>
      </c>
      <c r="DR159" s="51">
        <f t="shared" si="313"/>
        <v>0</v>
      </c>
      <c r="DS159" s="51">
        <f t="shared" si="313"/>
        <v>10000000</v>
      </c>
      <c r="DT159" s="51">
        <f t="shared" si="313"/>
        <v>21000000</v>
      </c>
      <c r="DU159" s="51">
        <f t="shared" si="313"/>
        <v>20666000</v>
      </c>
      <c r="DV159" s="51">
        <f t="shared" si="313"/>
        <v>20666000</v>
      </c>
      <c r="DW159" s="51">
        <f t="shared" si="313"/>
        <v>0</v>
      </c>
      <c r="DX159" s="51">
        <f t="shared" si="313"/>
        <v>0</v>
      </c>
      <c r="DY159" s="51">
        <f t="shared" ref="DY159:EW159" si="314">SUM(DY160:DY161)</f>
        <v>0</v>
      </c>
      <c r="DZ159" s="51">
        <f t="shared" si="314"/>
        <v>0</v>
      </c>
      <c r="EA159" s="51">
        <f t="shared" si="314"/>
        <v>0</v>
      </c>
      <c r="EB159" s="51">
        <f t="shared" si="314"/>
        <v>0</v>
      </c>
      <c r="EC159" s="51">
        <f t="shared" si="314"/>
        <v>0</v>
      </c>
      <c r="ED159" s="51">
        <f t="shared" si="314"/>
        <v>0</v>
      </c>
      <c r="EE159" s="51">
        <f t="shared" si="314"/>
        <v>0</v>
      </c>
      <c r="EF159" s="51">
        <f t="shared" si="314"/>
        <v>0</v>
      </c>
      <c r="EG159" s="51">
        <f t="shared" si="314"/>
        <v>0</v>
      </c>
      <c r="EH159" s="51">
        <f t="shared" si="314"/>
        <v>0</v>
      </c>
      <c r="EI159" s="51">
        <f t="shared" si="314"/>
        <v>0</v>
      </c>
      <c r="EJ159" s="51">
        <f t="shared" si="314"/>
        <v>127308000</v>
      </c>
      <c r="EK159" s="51">
        <f t="shared" si="314"/>
        <v>0</v>
      </c>
      <c r="EL159" s="51">
        <f t="shared" si="314"/>
        <v>0</v>
      </c>
      <c r="EM159" s="51">
        <f t="shared" si="314"/>
        <v>0</v>
      </c>
      <c r="EN159" s="51">
        <f t="shared" si="314"/>
        <v>0</v>
      </c>
      <c r="EO159" s="51">
        <f t="shared" si="314"/>
        <v>0</v>
      </c>
      <c r="EP159" s="51">
        <f t="shared" si="314"/>
        <v>0</v>
      </c>
      <c r="EQ159" s="51">
        <f t="shared" si="314"/>
        <v>0</v>
      </c>
      <c r="ER159" s="51">
        <f t="shared" si="314"/>
        <v>0</v>
      </c>
      <c r="ES159" s="51">
        <f t="shared" si="314"/>
        <v>0</v>
      </c>
      <c r="ET159" s="51">
        <f t="shared" si="314"/>
        <v>0</v>
      </c>
      <c r="EU159" s="51">
        <f t="shared" si="314"/>
        <v>0</v>
      </c>
      <c r="EV159" s="51">
        <f t="shared" si="314"/>
        <v>0</v>
      </c>
      <c r="EW159" s="51">
        <f t="shared" si="314"/>
        <v>137308000</v>
      </c>
      <c r="EX159" s="51">
        <f t="shared" ref="EX159:GZ159" si="315">SUM(EX160:EX161)</f>
        <v>29000000</v>
      </c>
      <c r="EY159" s="51">
        <f t="shared" si="315"/>
        <v>27604000</v>
      </c>
      <c r="EZ159" s="51">
        <f t="shared" si="315"/>
        <v>27604000</v>
      </c>
      <c r="FA159" s="51">
        <f t="shared" si="315"/>
        <v>0</v>
      </c>
      <c r="FB159" s="51">
        <f t="shared" si="315"/>
        <v>0</v>
      </c>
      <c r="FC159" s="51">
        <f t="shared" si="315"/>
        <v>0</v>
      </c>
      <c r="FD159" s="51">
        <f t="shared" si="315"/>
        <v>0</v>
      </c>
      <c r="FE159" s="51">
        <f t="shared" si="315"/>
        <v>0</v>
      </c>
      <c r="FF159" s="51">
        <f t="shared" si="315"/>
        <v>0</v>
      </c>
      <c r="FG159" s="51">
        <f t="shared" si="315"/>
        <v>0</v>
      </c>
      <c r="FH159" s="51">
        <f t="shared" si="315"/>
        <v>0</v>
      </c>
      <c r="FI159" s="51">
        <f t="shared" si="315"/>
        <v>0</v>
      </c>
      <c r="FJ159" s="51">
        <f t="shared" si="315"/>
        <v>0</v>
      </c>
      <c r="FK159" s="51">
        <f t="shared" si="315"/>
        <v>0</v>
      </c>
      <c r="FL159" s="51">
        <f t="shared" si="315"/>
        <v>10000000</v>
      </c>
      <c r="FM159" s="51">
        <f t="shared" si="315"/>
        <v>20868204</v>
      </c>
      <c r="FN159" s="51">
        <f t="shared" si="315"/>
        <v>20868204</v>
      </c>
      <c r="FO159" s="51">
        <f t="shared" si="315"/>
        <v>0</v>
      </c>
      <c r="FP159" s="51">
        <f t="shared" si="315"/>
        <v>0</v>
      </c>
      <c r="FQ159" s="51">
        <f t="shared" si="315"/>
        <v>0</v>
      </c>
      <c r="FR159" s="51">
        <f t="shared" si="315"/>
        <v>0</v>
      </c>
      <c r="FS159" s="51">
        <f t="shared" si="315"/>
        <v>0</v>
      </c>
      <c r="FT159" s="51">
        <f t="shared" si="315"/>
        <v>0</v>
      </c>
      <c r="FU159" s="51">
        <f t="shared" si="315"/>
        <v>0</v>
      </c>
      <c r="FV159" s="51">
        <f t="shared" si="315"/>
        <v>0</v>
      </c>
      <c r="FW159" s="51">
        <f t="shared" si="315"/>
        <v>0</v>
      </c>
      <c r="FX159" s="51">
        <f t="shared" si="315"/>
        <v>0</v>
      </c>
      <c r="FY159" s="51">
        <f t="shared" si="315"/>
        <v>0</v>
      </c>
      <c r="FZ159" s="51">
        <f t="shared" si="315"/>
        <v>0</v>
      </c>
      <c r="GA159" s="51">
        <f t="shared" si="315"/>
        <v>0</v>
      </c>
      <c r="GB159" s="51">
        <f t="shared" si="315"/>
        <v>0</v>
      </c>
      <c r="GC159" s="51">
        <f t="shared" si="315"/>
        <v>0</v>
      </c>
      <c r="GD159" s="51">
        <f t="shared" si="315"/>
        <v>0</v>
      </c>
      <c r="GE159" s="51">
        <f t="shared" si="315"/>
        <v>0</v>
      </c>
      <c r="GF159" s="51">
        <f t="shared" si="315"/>
        <v>131127240</v>
      </c>
      <c r="GG159" s="51">
        <f t="shared" si="315"/>
        <v>0</v>
      </c>
      <c r="GH159" s="51">
        <f t="shared" si="315"/>
        <v>0</v>
      </c>
      <c r="GI159" s="51">
        <f t="shared" si="315"/>
        <v>0</v>
      </c>
      <c r="GJ159" s="51">
        <f t="shared" si="315"/>
        <v>0</v>
      </c>
      <c r="GK159" s="51">
        <f t="shared" si="315"/>
        <v>0</v>
      </c>
      <c r="GL159" s="51">
        <f t="shared" si="315"/>
        <v>0</v>
      </c>
      <c r="GM159" s="51">
        <f t="shared" si="315"/>
        <v>0</v>
      </c>
      <c r="GN159" s="51">
        <f t="shared" si="315"/>
        <v>0</v>
      </c>
      <c r="GO159" s="51">
        <f t="shared" si="315"/>
        <v>0</v>
      </c>
      <c r="GP159" s="51">
        <f t="shared" si="315"/>
        <v>0</v>
      </c>
      <c r="GQ159" s="51">
        <f t="shared" si="315"/>
        <v>0</v>
      </c>
      <c r="GR159" s="51">
        <f t="shared" si="315"/>
        <v>0</v>
      </c>
      <c r="GS159" s="51">
        <f t="shared" si="315"/>
        <v>0</v>
      </c>
      <c r="GT159" s="51">
        <f t="shared" si="315"/>
        <v>0</v>
      </c>
      <c r="GU159" s="51">
        <f t="shared" si="315"/>
        <v>141127240</v>
      </c>
      <c r="GV159" s="51">
        <f t="shared" si="315"/>
        <v>20868204</v>
      </c>
      <c r="GW159" s="51">
        <f t="shared" si="315"/>
        <v>20868204</v>
      </c>
      <c r="GX159" s="51">
        <f t="shared" si="315"/>
        <v>0</v>
      </c>
      <c r="GY159" s="51">
        <f t="shared" si="315"/>
        <v>0</v>
      </c>
      <c r="GZ159" s="51">
        <f t="shared" si="315"/>
        <v>582035240</v>
      </c>
    </row>
    <row r="160" spans="1:208" s="419" customFormat="1" ht="66" customHeight="1" x14ac:dyDescent="0.25">
      <c r="A160" s="326"/>
      <c r="B160" s="331"/>
      <c r="C160" s="442" t="s">
        <v>383</v>
      </c>
      <c r="D160" s="745" t="s">
        <v>384</v>
      </c>
      <c r="E160" s="335" t="s">
        <v>385</v>
      </c>
      <c r="F160" s="335" t="s">
        <v>391</v>
      </c>
      <c r="G160" s="260">
        <v>112</v>
      </c>
      <c r="H160" s="258" t="s">
        <v>392</v>
      </c>
      <c r="I160" s="408" t="s">
        <v>393</v>
      </c>
      <c r="J160" s="403" t="s">
        <v>266</v>
      </c>
      <c r="K160" s="352">
        <v>1</v>
      </c>
      <c r="L160" s="400" t="s">
        <v>73</v>
      </c>
      <c r="M160" s="352">
        <v>0</v>
      </c>
      <c r="N160" s="401">
        <v>60</v>
      </c>
      <c r="O160" s="392">
        <v>8</v>
      </c>
      <c r="P160" s="393">
        <v>14</v>
      </c>
      <c r="Q160" s="401">
        <v>20</v>
      </c>
      <c r="R160" s="268"/>
      <c r="S160" s="388">
        <v>21</v>
      </c>
      <c r="T160" s="401">
        <v>20</v>
      </c>
      <c r="U160" s="401"/>
      <c r="V160" s="402">
        <v>20</v>
      </c>
      <c r="W160" s="401">
        <v>12</v>
      </c>
      <c r="X160" s="400"/>
      <c r="Y160" s="634">
        <v>0</v>
      </c>
      <c r="Z160" s="443">
        <f>BM160/BM159</f>
        <v>0.2</v>
      </c>
      <c r="AA160" s="264">
        <v>4</v>
      </c>
      <c r="AB160" s="274" t="s">
        <v>114</v>
      </c>
      <c r="AC160" s="57"/>
      <c r="AD160" s="58"/>
      <c r="AE160" s="59"/>
      <c r="AF160" s="59"/>
      <c r="AG160" s="57"/>
      <c r="AH160" s="58"/>
      <c r="AI160" s="58"/>
      <c r="AJ160" s="58"/>
      <c r="AK160" s="57">
        <v>30000000</v>
      </c>
      <c r="AL160" s="54">
        <v>0</v>
      </c>
      <c r="AM160" s="58"/>
      <c r="AN160" s="58"/>
      <c r="AO160" s="57"/>
      <c r="AP160" s="58"/>
      <c r="AQ160" s="58"/>
      <c r="AR160" s="58"/>
      <c r="AS160" s="57"/>
      <c r="AT160" s="58"/>
      <c r="AU160" s="59"/>
      <c r="AV160" s="59"/>
      <c r="AW160" s="57"/>
      <c r="AX160" s="58"/>
      <c r="AY160" s="58"/>
      <c r="AZ160" s="58"/>
      <c r="BA160" s="57"/>
      <c r="BB160" s="58"/>
      <c r="BC160" s="58"/>
      <c r="BD160" s="58"/>
      <c r="BE160" s="57"/>
      <c r="BF160" s="58"/>
      <c r="BG160" s="59"/>
      <c r="BH160" s="59"/>
      <c r="BI160" s="57"/>
      <c r="BJ160" s="58"/>
      <c r="BK160" s="58"/>
      <c r="BL160" s="58"/>
      <c r="BM160" s="53">
        <f>+AC160+AG160+AK160+AO160+AS160+AW160+BA160+BE160+BI160</f>
        <v>30000000</v>
      </c>
      <c r="BN160" s="54">
        <f t="shared" ref="BN160:BP161" si="316">AD160+AH160+AL160+AP160+AT160+AX160+BB160+BF160+BJ160</f>
        <v>0</v>
      </c>
      <c r="BO160" s="54">
        <f t="shared" si="316"/>
        <v>0</v>
      </c>
      <c r="BP160" s="54">
        <f t="shared" si="316"/>
        <v>0</v>
      </c>
      <c r="BQ160" s="81"/>
      <c r="BR160" s="81"/>
      <c r="BS160" s="81"/>
      <c r="BT160" s="81"/>
      <c r="BU160" s="81"/>
      <c r="BV160" s="81"/>
      <c r="BW160" s="81"/>
      <c r="BX160" s="81"/>
      <c r="BY160" s="81"/>
      <c r="BZ160" s="81">
        <v>30000000</v>
      </c>
      <c r="CA160" s="81">
        <f>30000000+720000</f>
        <v>30720000</v>
      </c>
      <c r="CB160" s="81">
        <v>16493864</v>
      </c>
      <c r="CC160" s="81">
        <v>16493864</v>
      </c>
      <c r="CD160" s="81"/>
      <c r="CE160" s="81"/>
      <c r="CF160" s="95"/>
      <c r="CG160" s="81"/>
      <c r="CH160" s="81"/>
      <c r="CI160" s="81"/>
      <c r="CJ160" s="81"/>
      <c r="CK160" s="81"/>
      <c r="CL160" s="81"/>
      <c r="CM160" s="81"/>
      <c r="CN160" s="81"/>
      <c r="CO160" s="81"/>
      <c r="CP160" s="81"/>
      <c r="CQ160" s="81">
        <f>123600000-122880000</f>
        <v>720000</v>
      </c>
      <c r="CR160" s="81"/>
      <c r="CS160" s="81"/>
      <c r="CT160" s="81"/>
      <c r="CU160" s="81"/>
      <c r="CV160" s="81"/>
      <c r="CW160" s="81"/>
      <c r="CX160" s="81"/>
      <c r="CY160" s="81"/>
      <c r="CZ160" s="81"/>
      <c r="DA160" s="81"/>
      <c r="DB160" s="81"/>
      <c r="DC160" s="81"/>
      <c r="DD160" s="81"/>
      <c r="DE160" s="81">
        <f t="shared" ref="DE160:DH161" si="317">BQ160+BU160+BZ160+CE160+CI160+CM160+CQ160+CV160+DA160</f>
        <v>30720000</v>
      </c>
      <c r="DF160" s="95">
        <f t="shared" si="317"/>
        <v>30720000</v>
      </c>
      <c r="DG160" s="95">
        <f t="shared" si="317"/>
        <v>16493864</v>
      </c>
      <c r="DH160" s="95">
        <f t="shared" si="317"/>
        <v>16493864</v>
      </c>
      <c r="DI160" s="95"/>
      <c r="DJ160" s="86"/>
      <c r="DK160" s="85"/>
      <c r="DL160" s="86"/>
      <c r="DM160" s="86"/>
      <c r="DN160" s="86"/>
      <c r="DO160" s="86"/>
      <c r="DP160" s="86"/>
      <c r="DQ160" s="86"/>
      <c r="DR160" s="86"/>
      <c r="DS160" s="86">
        <v>10000000</v>
      </c>
      <c r="DT160" s="86">
        <v>2000000</v>
      </c>
      <c r="DU160" s="86">
        <v>1989000</v>
      </c>
      <c r="DV160" s="86">
        <v>1989000</v>
      </c>
      <c r="DW160" s="86"/>
      <c r="DX160" s="86"/>
      <c r="DY160" s="86"/>
      <c r="DZ160" s="86"/>
      <c r="EA160" s="86"/>
      <c r="EB160" s="86"/>
      <c r="EC160" s="86"/>
      <c r="ED160" s="86"/>
      <c r="EE160" s="86"/>
      <c r="EF160" s="86"/>
      <c r="EG160" s="86"/>
      <c r="EH160" s="86"/>
      <c r="EI160" s="86"/>
      <c r="EJ160" s="86">
        <v>17400000</v>
      </c>
      <c r="EK160" s="86"/>
      <c r="EL160" s="86"/>
      <c r="EM160" s="86"/>
      <c r="EN160" s="86"/>
      <c r="EO160" s="86"/>
      <c r="EP160" s="86"/>
      <c r="EQ160" s="86"/>
      <c r="ER160" s="86"/>
      <c r="ES160" s="86"/>
      <c r="ET160" s="81"/>
      <c r="EU160" s="81"/>
      <c r="EV160" s="81"/>
      <c r="EW160" s="81">
        <f t="shared" ref="EW160:EX161" si="318">DJ160+DN160+DS160+DX160+EB160+EF160+EJ160+EN160+ES160</f>
        <v>27400000</v>
      </c>
      <c r="EX160" s="86">
        <f t="shared" si="318"/>
        <v>2000000</v>
      </c>
      <c r="EY160" s="86">
        <f t="shared" ref="EY160:EZ161" si="319">DL160+DP160+DU160+DZ160+ED160+EH160+EL160+EP160+EU160</f>
        <v>1989000</v>
      </c>
      <c r="EZ160" s="86">
        <f t="shared" si="319"/>
        <v>1989000</v>
      </c>
      <c r="FA160" s="176"/>
      <c r="FB160" s="81"/>
      <c r="FC160" s="86"/>
      <c r="FD160" s="86"/>
      <c r="FE160" s="86"/>
      <c r="FF160" s="138"/>
      <c r="FG160" s="81"/>
      <c r="FH160" s="81"/>
      <c r="FI160" s="81"/>
      <c r="FJ160" s="81"/>
      <c r="FK160" s="81"/>
      <c r="FL160" s="81">
        <v>10000000</v>
      </c>
      <c r="FM160" s="81">
        <v>3000000</v>
      </c>
      <c r="FN160" s="81">
        <v>3000000</v>
      </c>
      <c r="FO160" s="81"/>
      <c r="FP160" s="81"/>
      <c r="FQ160" s="81"/>
      <c r="FR160" s="81"/>
      <c r="FS160" s="81"/>
      <c r="FT160" s="81"/>
      <c r="FU160" s="81"/>
      <c r="FV160" s="81"/>
      <c r="FW160" s="81"/>
      <c r="FX160" s="81"/>
      <c r="FY160" s="81"/>
      <c r="FZ160" s="81"/>
      <c r="GA160" s="81"/>
      <c r="GB160" s="81"/>
      <c r="GC160" s="81"/>
      <c r="GD160" s="81"/>
      <c r="GE160" s="81"/>
      <c r="GF160" s="81">
        <v>18200000</v>
      </c>
      <c r="GG160" s="81"/>
      <c r="GH160" s="81"/>
      <c r="GI160" s="81"/>
      <c r="GJ160" s="81"/>
      <c r="GK160" s="81"/>
      <c r="GL160" s="81"/>
      <c r="GM160" s="81"/>
      <c r="GN160" s="81"/>
      <c r="GO160" s="81"/>
      <c r="GP160" s="81"/>
      <c r="GQ160" s="81"/>
      <c r="GR160" s="81"/>
      <c r="GS160" s="81"/>
      <c r="GT160" s="81"/>
      <c r="GU160" s="81">
        <f>FB160+FG160+FL160+FQ160+FV160+GA160+GF160+GK160+GP160</f>
        <v>28200000</v>
      </c>
      <c r="GV160" s="81">
        <f t="shared" ref="GV160:GY161" si="320">GQ160+GL160+GG160+GB160+FW160+FR160+FM160+FH160+FC160</f>
        <v>3000000</v>
      </c>
      <c r="GW160" s="81">
        <f t="shared" si="320"/>
        <v>3000000</v>
      </c>
      <c r="GX160" s="81">
        <f t="shared" si="320"/>
        <v>0</v>
      </c>
      <c r="GY160" s="673">
        <f t="shared" si="320"/>
        <v>0</v>
      </c>
      <c r="GZ160" s="67">
        <f>BM160+DE160+EW160+GU160</f>
        <v>116320000</v>
      </c>
    </row>
    <row r="161" spans="1:208" s="419" customFormat="1" ht="77.25" customHeight="1" x14ac:dyDescent="0.25">
      <c r="A161" s="326"/>
      <c r="B161" s="444"/>
      <c r="C161" s="279"/>
      <c r="D161" s="761"/>
      <c r="E161" s="326"/>
      <c r="F161" s="326"/>
      <c r="G161" s="260">
        <v>113</v>
      </c>
      <c r="H161" s="258" t="s">
        <v>394</v>
      </c>
      <c r="I161" s="408" t="s">
        <v>395</v>
      </c>
      <c r="J161" s="403" t="s">
        <v>266</v>
      </c>
      <c r="K161" s="352">
        <v>1</v>
      </c>
      <c r="L161" s="400" t="s">
        <v>73</v>
      </c>
      <c r="M161" s="352">
        <v>0</v>
      </c>
      <c r="N161" s="401">
        <v>8</v>
      </c>
      <c r="O161" s="392">
        <v>1</v>
      </c>
      <c r="P161" s="393">
        <v>1</v>
      </c>
      <c r="Q161" s="401">
        <v>3</v>
      </c>
      <c r="R161" s="268"/>
      <c r="S161" s="388">
        <v>3</v>
      </c>
      <c r="T161" s="401">
        <v>3</v>
      </c>
      <c r="U161" s="401"/>
      <c r="V161" s="402">
        <v>3</v>
      </c>
      <c r="W161" s="401">
        <v>1</v>
      </c>
      <c r="X161" s="400"/>
      <c r="Y161" s="634">
        <v>0</v>
      </c>
      <c r="Z161" s="443">
        <f>BM161/BM159</f>
        <v>0.8</v>
      </c>
      <c r="AA161" s="264">
        <v>4</v>
      </c>
      <c r="AB161" s="274" t="s">
        <v>114</v>
      </c>
      <c r="AC161" s="57"/>
      <c r="AD161" s="58"/>
      <c r="AE161" s="59"/>
      <c r="AF161" s="59"/>
      <c r="AG161" s="57"/>
      <c r="AH161" s="58"/>
      <c r="AI161" s="58"/>
      <c r="AJ161" s="58"/>
      <c r="AK161" s="57"/>
      <c r="AL161" s="58">
        <v>30000000</v>
      </c>
      <c r="AM161" s="58">
        <v>9900000</v>
      </c>
      <c r="AN161" s="58">
        <v>9900000</v>
      </c>
      <c r="AO161" s="57"/>
      <c r="AP161" s="58"/>
      <c r="AQ161" s="58"/>
      <c r="AR161" s="58"/>
      <c r="AS161" s="57"/>
      <c r="AT161" s="58"/>
      <c r="AU161" s="59"/>
      <c r="AV161" s="59"/>
      <c r="AW161" s="57"/>
      <c r="AX161" s="58"/>
      <c r="AY161" s="58"/>
      <c r="AZ161" s="58"/>
      <c r="BA161" s="60">
        <v>120000000</v>
      </c>
      <c r="BB161" s="54">
        <v>51142637</v>
      </c>
      <c r="BC161" s="59"/>
      <c r="BD161" s="59"/>
      <c r="BE161" s="57"/>
      <c r="BF161" s="58"/>
      <c r="BG161" s="59"/>
      <c r="BH161" s="59"/>
      <c r="BI161" s="57"/>
      <c r="BJ161" s="58"/>
      <c r="BK161" s="58"/>
      <c r="BL161" s="58"/>
      <c r="BM161" s="53">
        <f>+AC161+AG161+AK161+AO161+AS161+AW161+BA161+BE161+BI161</f>
        <v>120000000</v>
      </c>
      <c r="BN161" s="54">
        <f t="shared" si="316"/>
        <v>81142637</v>
      </c>
      <c r="BO161" s="54">
        <f t="shared" si="316"/>
        <v>9900000</v>
      </c>
      <c r="BP161" s="54">
        <f t="shared" si="316"/>
        <v>9900000</v>
      </c>
      <c r="BQ161" s="81"/>
      <c r="BR161" s="81"/>
      <c r="BS161" s="81"/>
      <c r="BT161" s="81"/>
      <c r="BU161" s="81"/>
      <c r="BV161" s="81"/>
      <c r="BW161" s="81"/>
      <c r="BX161" s="81"/>
      <c r="BY161" s="81"/>
      <c r="BZ161" s="81"/>
      <c r="CA161" s="95">
        <v>11880000</v>
      </c>
      <c r="CB161" s="81"/>
      <c r="CC161" s="81"/>
      <c r="CD161" s="81"/>
      <c r="CE161" s="81"/>
      <c r="CF161" s="95"/>
      <c r="CG161" s="81"/>
      <c r="CH161" s="81"/>
      <c r="CI161" s="81"/>
      <c r="CJ161" s="81"/>
      <c r="CK161" s="81"/>
      <c r="CL161" s="81"/>
      <c r="CM161" s="81"/>
      <c r="CN161" s="81"/>
      <c r="CO161" s="81"/>
      <c r="CP161" s="81"/>
      <c r="CQ161" s="81">
        <v>122880000</v>
      </c>
      <c r="CR161" s="81"/>
      <c r="CS161" s="81"/>
      <c r="CT161" s="81"/>
      <c r="CU161" s="81"/>
      <c r="CV161" s="81"/>
      <c r="CW161" s="81"/>
      <c r="CX161" s="81"/>
      <c r="CY161" s="81"/>
      <c r="CZ161" s="81"/>
      <c r="DA161" s="81"/>
      <c r="DB161" s="81"/>
      <c r="DC161" s="81"/>
      <c r="DD161" s="81"/>
      <c r="DE161" s="81">
        <f t="shared" si="317"/>
        <v>122880000</v>
      </c>
      <c r="DF161" s="95">
        <f t="shared" si="317"/>
        <v>11880000</v>
      </c>
      <c r="DG161" s="95">
        <f t="shared" si="317"/>
        <v>0</v>
      </c>
      <c r="DH161" s="95">
        <f t="shared" si="317"/>
        <v>0</v>
      </c>
      <c r="DI161" s="95"/>
      <c r="DJ161" s="86"/>
      <c r="DK161" s="85"/>
      <c r="DL161" s="86"/>
      <c r="DM161" s="86"/>
      <c r="DN161" s="86"/>
      <c r="DO161" s="85">
        <v>8000000</v>
      </c>
      <c r="DP161" s="86">
        <v>6938000</v>
      </c>
      <c r="DQ161" s="86">
        <v>6938000</v>
      </c>
      <c r="DR161" s="86"/>
      <c r="DS161" s="86"/>
      <c r="DT161" s="86">
        <v>19000000</v>
      </c>
      <c r="DU161" s="86">
        <v>18677000</v>
      </c>
      <c r="DV161" s="86">
        <v>18677000</v>
      </c>
      <c r="DW161" s="86"/>
      <c r="DX161" s="86"/>
      <c r="DY161" s="86"/>
      <c r="DZ161" s="86"/>
      <c r="EA161" s="86"/>
      <c r="EB161" s="86"/>
      <c r="EC161" s="86"/>
      <c r="ED161" s="86"/>
      <c r="EE161" s="86"/>
      <c r="EF161" s="86"/>
      <c r="EG161" s="86"/>
      <c r="EH161" s="86"/>
      <c r="EI161" s="86"/>
      <c r="EJ161" s="86">
        <v>109908000</v>
      </c>
      <c r="EK161" s="86"/>
      <c r="EL161" s="86"/>
      <c r="EM161" s="86"/>
      <c r="EN161" s="86"/>
      <c r="EO161" s="86"/>
      <c r="EP161" s="86"/>
      <c r="EQ161" s="86"/>
      <c r="ER161" s="86"/>
      <c r="ES161" s="86"/>
      <c r="ET161" s="81"/>
      <c r="EU161" s="81"/>
      <c r="EV161" s="81"/>
      <c r="EW161" s="81">
        <f t="shared" si="318"/>
        <v>109908000</v>
      </c>
      <c r="EX161" s="85">
        <f t="shared" si="318"/>
        <v>27000000</v>
      </c>
      <c r="EY161" s="86">
        <f t="shared" si="319"/>
        <v>25615000</v>
      </c>
      <c r="EZ161" s="86">
        <f t="shared" si="319"/>
        <v>25615000</v>
      </c>
      <c r="FA161" s="176"/>
      <c r="FB161" s="81"/>
      <c r="FC161" s="86"/>
      <c r="FD161" s="86"/>
      <c r="FE161" s="86"/>
      <c r="FF161" s="138"/>
      <c r="FG161" s="81"/>
      <c r="FH161" s="81"/>
      <c r="FI161" s="81"/>
      <c r="FJ161" s="81"/>
      <c r="FK161" s="81"/>
      <c r="FL161" s="81"/>
      <c r="FM161" s="81">
        <v>17868204</v>
      </c>
      <c r="FN161" s="81">
        <v>17868204</v>
      </c>
      <c r="FO161" s="81"/>
      <c r="FP161" s="81"/>
      <c r="FQ161" s="81"/>
      <c r="FR161" s="81"/>
      <c r="FS161" s="81"/>
      <c r="FT161" s="81"/>
      <c r="FU161" s="81"/>
      <c r="FV161" s="81"/>
      <c r="FW161" s="81"/>
      <c r="FX161" s="81"/>
      <c r="FY161" s="81"/>
      <c r="FZ161" s="81"/>
      <c r="GA161" s="81"/>
      <c r="GB161" s="81"/>
      <c r="GC161" s="81"/>
      <c r="GD161" s="81"/>
      <c r="GE161" s="81"/>
      <c r="GF161" s="81">
        <v>112927240</v>
      </c>
      <c r="GG161" s="81"/>
      <c r="GH161" s="81"/>
      <c r="GI161" s="81"/>
      <c r="GJ161" s="81"/>
      <c r="GK161" s="81"/>
      <c r="GL161" s="81"/>
      <c r="GM161" s="81"/>
      <c r="GN161" s="81"/>
      <c r="GO161" s="81"/>
      <c r="GP161" s="81"/>
      <c r="GQ161" s="81"/>
      <c r="GR161" s="81"/>
      <c r="GS161" s="81"/>
      <c r="GT161" s="81"/>
      <c r="GU161" s="81">
        <f>FB161+FG161+FL161+FQ161+FV161+GA161+GF161+GK161+GP161</f>
        <v>112927240</v>
      </c>
      <c r="GV161" s="81">
        <f t="shared" si="320"/>
        <v>17868204</v>
      </c>
      <c r="GW161" s="81">
        <f t="shared" si="320"/>
        <v>17868204</v>
      </c>
      <c r="GX161" s="81">
        <f t="shared" si="320"/>
        <v>0</v>
      </c>
      <c r="GY161" s="673">
        <f t="shared" si="320"/>
        <v>0</v>
      </c>
      <c r="GZ161" s="67">
        <f>BM161+DE161+EW161+GU161</f>
        <v>465715240</v>
      </c>
    </row>
    <row r="162" spans="1:208" s="419" customFormat="1" ht="24.75" customHeight="1" x14ac:dyDescent="0.25">
      <c r="A162" s="326"/>
      <c r="B162" s="234">
        <v>9</v>
      </c>
      <c r="C162" s="445" t="s">
        <v>396</v>
      </c>
      <c r="D162" s="446"/>
      <c r="E162" s="447"/>
      <c r="F162" s="447"/>
      <c r="G162" s="238"/>
      <c r="H162" s="238"/>
      <c r="I162" s="238"/>
      <c r="J162" s="238"/>
      <c r="K162" s="238"/>
      <c r="L162" s="238"/>
      <c r="M162" s="238"/>
      <c r="N162" s="238"/>
      <c r="O162" s="238"/>
      <c r="P162" s="238"/>
      <c r="Q162" s="238"/>
      <c r="R162" s="238"/>
      <c r="S162" s="238"/>
      <c r="T162" s="238"/>
      <c r="U162" s="238"/>
      <c r="V162" s="238"/>
      <c r="W162" s="238"/>
      <c r="X162" s="238"/>
      <c r="Y162" s="241"/>
      <c r="Z162" s="238"/>
      <c r="AA162" s="238"/>
      <c r="AB162" s="238"/>
      <c r="AC162" s="50">
        <f t="shared" ref="AC162:CN162" si="321">AC163+AC167+AC169</f>
        <v>0</v>
      </c>
      <c r="AD162" s="50">
        <f t="shared" si="321"/>
        <v>0</v>
      </c>
      <c r="AE162" s="50">
        <f t="shared" si="321"/>
        <v>0</v>
      </c>
      <c r="AF162" s="50">
        <f t="shared" si="321"/>
        <v>0</v>
      </c>
      <c r="AG162" s="50">
        <f t="shared" si="321"/>
        <v>1232000000</v>
      </c>
      <c r="AH162" s="50">
        <f t="shared" si="321"/>
        <v>2173607493</v>
      </c>
      <c r="AI162" s="50">
        <f t="shared" si="321"/>
        <v>703195699</v>
      </c>
      <c r="AJ162" s="50">
        <f t="shared" si="321"/>
        <v>703195699</v>
      </c>
      <c r="AK162" s="50">
        <f t="shared" si="321"/>
        <v>170000000</v>
      </c>
      <c r="AL162" s="50">
        <f t="shared" si="321"/>
        <v>795245192</v>
      </c>
      <c r="AM162" s="50">
        <f t="shared" si="321"/>
        <v>794431333</v>
      </c>
      <c r="AN162" s="50">
        <f t="shared" si="321"/>
        <v>794431333</v>
      </c>
      <c r="AO162" s="50">
        <f t="shared" si="321"/>
        <v>0</v>
      </c>
      <c r="AP162" s="50">
        <f t="shared" si="321"/>
        <v>0</v>
      </c>
      <c r="AQ162" s="50">
        <f t="shared" si="321"/>
        <v>0</v>
      </c>
      <c r="AR162" s="50">
        <f t="shared" si="321"/>
        <v>0</v>
      </c>
      <c r="AS162" s="50">
        <f t="shared" si="321"/>
        <v>0</v>
      </c>
      <c r="AT162" s="50">
        <f t="shared" si="321"/>
        <v>0</v>
      </c>
      <c r="AU162" s="50">
        <f t="shared" si="321"/>
        <v>0</v>
      </c>
      <c r="AV162" s="50">
        <f t="shared" si="321"/>
        <v>0</v>
      </c>
      <c r="AW162" s="50">
        <f t="shared" si="321"/>
        <v>0</v>
      </c>
      <c r="AX162" s="50">
        <f t="shared" si="321"/>
        <v>0</v>
      </c>
      <c r="AY162" s="50">
        <f t="shared" si="321"/>
        <v>0</v>
      </c>
      <c r="AZ162" s="50">
        <f t="shared" si="321"/>
        <v>0</v>
      </c>
      <c r="BA162" s="50">
        <f t="shared" si="321"/>
        <v>0</v>
      </c>
      <c r="BB162" s="50">
        <f t="shared" si="321"/>
        <v>0</v>
      </c>
      <c r="BC162" s="50">
        <f t="shared" si="321"/>
        <v>0</v>
      </c>
      <c r="BD162" s="50">
        <f t="shared" si="321"/>
        <v>0</v>
      </c>
      <c r="BE162" s="50">
        <f t="shared" si="321"/>
        <v>0</v>
      </c>
      <c r="BF162" s="50">
        <f t="shared" si="321"/>
        <v>0</v>
      </c>
      <c r="BG162" s="50">
        <f t="shared" si="321"/>
        <v>0</v>
      </c>
      <c r="BH162" s="50">
        <f t="shared" si="321"/>
        <v>0</v>
      </c>
      <c r="BI162" s="50">
        <f t="shared" si="321"/>
        <v>0</v>
      </c>
      <c r="BJ162" s="50">
        <f t="shared" si="321"/>
        <v>0</v>
      </c>
      <c r="BK162" s="50">
        <f t="shared" si="321"/>
        <v>0</v>
      </c>
      <c r="BL162" s="50">
        <f t="shared" si="321"/>
        <v>0</v>
      </c>
      <c r="BM162" s="50">
        <f t="shared" si="321"/>
        <v>1402000000</v>
      </c>
      <c r="BN162" s="50">
        <f t="shared" si="321"/>
        <v>2968852685</v>
      </c>
      <c r="BO162" s="50">
        <f t="shared" si="321"/>
        <v>1497627032</v>
      </c>
      <c r="BP162" s="50">
        <f t="shared" si="321"/>
        <v>1497627032</v>
      </c>
      <c r="BQ162" s="50">
        <f t="shared" si="321"/>
        <v>0</v>
      </c>
      <c r="BR162" s="50">
        <f t="shared" si="321"/>
        <v>0</v>
      </c>
      <c r="BS162" s="50">
        <f t="shared" si="321"/>
        <v>0</v>
      </c>
      <c r="BT162" s="50">
        <f t="shared" si="321"/>
        <v>0</v>
      </c>
      <c r="BU162" s="50">
        <f t="shared" si="321"/>
        <v>1268960000</v>
      </c>
      <c r="BV162" s="50">
        <f t="shared" si="321"/>
        <v>1835138910</v>
      </c>
      <c r="BW162" s="50">
        <f t="shared" si="321"/>
        <v>1037807149</v>
      </c>
      <c r="BX162" s="50">
        <f t="shared" si="321"/>
        <v>1037807149</v>
      </c>
      <c r="BY162" s="50">
        <f t="shared" si="321"/>
        <v>0</v>
      </c>
      <c r="BZ162" s="50">
        <f t="shared" si="321"/>
        <v>175100000</v>
      </c>
      <c r="CA162" s="50">
        <f t="shared" si="321"/>
        <v>2303153955.2600002</v>
      </c>
      <c r="CB162" s="50">
        <f t="shared" si="321"/>
        <v>1465183304.8</v>
      </c>
      <c r="CC162" s="50">
        <f t="shared" si="321"/>
        <v>1465183304.8</v>
      </c>
      <c r="CD162" s="50">
        <f t="shared" si="321"/>
        <v>0</v>
      </c>
      <c r="CE162" s="50">
        <f t="shared" si="321"/>
        <v>0</v>
      </c>
      <c r="CF162" s="50">
        <f t="shared" si="321"/>
        <v>29000000</v>
      </c>
      <c r="CG162" s="50">
        <f t="shared" si="321"/>
        <v>24040000</v>
      </c>
      <c r="CH162" s="50">
        <f t="shared" si="321"/>
        <v>24040000</v>
      </c>
      <c r="CI162" s="50">
        <f t="shared" si="321"/>
        <v>0</v>
      </c>
      <c r="CJ162" s="50">
        <f t="shared" si="321"/>
        <v>0</v>
      </c>
      <c r="CK162" s="50">
        <f t="shared" si="321"/>
        <v>0</v>
      </c>
      <c r="CL162" s="50">
        <f t="shared" si="321"/>
        <v>0</v>
      </c>
      <c r="CM162" s="50">
        <f t="shared" si="321"/>
        <v>0</v>
      </c>
      <c r="CN162" s="50">
        <f t="shared" si="321"/>
        <v>0</v>
      </c>
      <c r="CO162" s="50">
        <f t="shared" ref="CO162:EV162" si="322">CO163+CO167+CO169</f>
        <v>0</v>
      </c>
      <c r="CP162" s="50">
        <f t="shared" si="322"/>
        <v>0</v>
      </c>
      <c r="CQ162" s="50">
        <f t="shared" si="322"/>
        <v>0</v>
      </c>
      <c r="CR162" s="50">
        <f t="shared" si="322"/>
        <v>0</v>
      </c>
      <c r="CS162" s="50">
        <f t="shared" si="322"/>
        <v>0</v>
      </c>
      <c r="CT162" s="50">
        <f t="shared" si="322"/>
        <v>0</v>
      </c>
      <c r="CU162" s="50">
        <f t="shared" si="322"/>
        <v>0</v>
      </c>
      <c r="CV162" s="50">
        <f t="shared" si="322"/>
        <v>0</v>
      </c>
      <c r="CW162" s="50">
        <f t="shared" si="322"/>
        <v>0</v>
      </c>
      <c r="CX162" s="50">
        <f t="shared" si="322"/>
        <v>0</v>
      </c>
      <c r="CY162" s="50">
        <f t="shared" si="322"/>
        <v>0</v>
      </c>
      <c r="CZ162" s="50">
        <f t="shared" si="322"/>
        <v>0</v>
      </c>
      <c r="DA162" s="50">
        <f t="shared" si="322"/>
        <v>0</v>
      </c>
      <c r="DB162" s="50">
        <f t="shared" si="322"/>
        <v>0</v>
      </c>
      <c r="DC162" s="50">
        <f t="shared" si="322"/>
        <v>0</v>
      </c>
      <c r="DD162" s="50">
        <f t="shared" si="322"/>
        <v>0</v>
      </c>
      <c r="DE162" s="50">
        <f t="shared" si="322"/>
        <v>1444060000</v>
      </c>
      <c r="DF162" s="50">
        <f t="shared" si="322"/>
        <v>4167292865.2600002</v>
      </c>
      <c r="DG162" s="50">
        <f t="shared" si="322"/>
        <v>2527030453.8000002</v>
      </c>
      <c r="DH162" s="50">
        <f t="shared" si="322"/>
        <v>2527030453.8000002</v>
      </c>
      <c r="DI162" s="50">
        <f t="shared" si="322"/>
        <v>0</v>
      </c>
      <c r="DJ162" s="50">
        <f t="shared" si="322"/>
        <v>0</v>
      </c>
      <c r="DK162" s="50">
        <f t="shared" si="322"/>
        <v>0</v>
      </c>
      <c r="DL162" s="50">
        <f t="shared" si="322"/>
        <v>0</v>
      </c>
      <c r="DM162" s="50">
        <f t="shared" si="322"/>
        <v>0</v>
      </c>
      <c r="DN162" s="50">
        <f t="shared" si="322"/>
        <v>1307028800</v>
      </c>
      <c r="DO162" s="50">
        <f t="shared" si="322"/>
        <v>2164513815</v>
      </c>
      <c r="DP162" s="50">
        <f t="shared" si="322"/>
        <v>1236827425</v>
      </c>
      <c r="DQ162" s="50">
        <f t="shared" si="322"/>
        <v>1236827425</v>
      </c>
      <c r="DR162" s="50">
        <f t="shared" si="322"/>
        <v>0</v>
      </c>
      <c r="DS162" s="50">
        <f t="shared" si="322"/>
        <v>180353000</v>
      </c>
      <c r="DT162" s="50">
        <f t="shared" si="322"/>
        <v>2404600000</v>
      </c>
      <c r="DU162" s="50">
        <f t="shared" si="322"/>
        <v>1617968901.0599999</v>
      </c>
      <c r="DV162" s="50">
        <f t="shared" si="322"/>
        <v>1617968901.0599999</v>
      </c>
      <c r="DW162" s="50">
        <f t="shared" si="322"/>
        <v>0</v>
      </c>
      <c r="DX162" s="50">
        <f t="shared" si="322"/>
        <v>0</v>
      </c>
      <c r="DY162" s="50">
        <f t="shared" si="322"/>
        <v>0</v>
      </c>
      <c r="DZ162" s="50">
        <f t="shared" si="322"/>
        <v>0</v>
      </c>
      <c r="EA162" s="50">
        <f t="shared" si="322"/>
        <v>0</v>
      </c>
      <c r="EB162" s="50">
        <f t="shared" si="322"/>
        <v>0</v>
      </c>
      <c r="EC162" s="50">
        <f t="shared" si="322"/>
        <v>0</v>
      </c>
      <c r="ED162" s="50">
        <f t="shared" si="322"/>
        <v>0</v>
      </c>
      <c r="EE162" s="50">
        <f t="shared" si="322"/>
        <v>0</v>
      </c>
      <c r="EF162" s="50">
        <f t="shared" si="322"/>
        <v>0</v>
      </c>
      <c r="EG162" s="50">
        <f t="shared" si="322"/>
        <v>0</v>
      </c>
      <c r="EH162" s="50">
        <f t="shared" si="322"/>
        <v>0</v>
      </c>
      <c r="EI162" s="50">
        <f t="shared" si="322"/>
        <v>0</v>
      </c>
      <c r="EJ162" s="50">
        <f t="shared" si="322"/>
        <v>0</v>
      </c>
      <c r="EK162" s="50">
        <f t="shared" si="322"/>
        <v>0</v>
      </c>
      <c r="EL162" s="50">
        <f t="shared" si="322"/>
        <v>0</v>
      </c>
      <c r="EM162" s="50">
        <f t="shared" si="322"/>
        <v>0</v>
      </c>
      <c r="EN162" s="50">
        <f t="shared" si="322"/>
        <v>0</v>
      </c>
      <c r="EO162" s="50">
        <f t="shared" si="322"/>
        <v>0</v>
      </c>
      <c r="EP162" s="50">
        <f t="shared" si="322"/>
        <v>0</v>
      </c>
      <c r="EQ162" s="50">
        <f t="shared" si="322"/>
        <v>0</v>
      </c>
      <c r="ER162" s="50">
        <f t="shared" si="322"/>
        <v>0</v>
      </c>
      <c r="ES162" s="50">
        <f t="shared" si="322"/>
        <v>0</v>
      </c>
      <c r="ET162" s="50">
        <f t="shared" si="322"/>
        <v>0</v>
      </c>
      <c r="EU162" s="50">
        <f t="shared" si="322"/>
        <v>0</v>
      </c>
      <c r="EV162" s="50">
        <f t="shared" si="322"/>
        <v>0</v>
      </c>
      <c r="EW162" s="50">
        <f t="shared" ref="EW162" si="323">EW163+EW167+EW169</f>
        <v>1487381800</v>
      </c>
      <c r="EX162" s="50">
        <f t="shared" ref="EX162:GZ162" si="324">EX163+EX167+EX169</f>
        <v>4569113815</v>
      </c>
      <c r="EY162" s="50">
        <f t="shared" si="324"/>
        <v>2854796326.0599999</v>
      </c>
      <c r="EZ162" s="50">
        <f t="shared" si="324"/>
        <v>2854796326.0599999</v>
      </c>
      <c r="FA162" s="50">
        <f t="shared" si="324"/>
        <v>0</v>
      </c>
      <c r="FB162" s="50">
        <f t="shared" si="324"/>
        <v>0</v>
      </c>
      <c r="FC162" s="50">
        <f t="shared" si="324"/>
        <v>0</v>
      </c>
      <c r="FD162" s="50">
        <f t="shared" si="324"/>
        <v>0</v>
      </c>
      <c r="FE162" s="50">
        <f t="shared" si="324"/>
        <v>0</v>
      </c>
      <c r="FF162" s="50">
        <f t="shared" si="324"/>
        <v>0</v>
      </c>
      <c r="FG162" s="50">
        <f t="shared" si="324"/>
        <v>1346239664.001771</v>
      </c>
      <c r="FH162" s="50">
        <f t="shared" si="324"/>
        <v>2217714387</v>
      </c>
      <c r="FI162" s="50">
        <f t="shared" si="324"/>
        <v>569273877.25</v>
      </c>
      <c r="FJ162" s="50">
        <f t="shared" si="324"/>
        <v>0</v>
      </c>
      <c r="FK162" s="50">
        <f t="shared" si="324"/>
        <v>0</v>
      </c>
      <c r="FL162" s="50">
        <f t="shared" si="324"/>
        <v>100000000</v>
      </c>
      <c r="FM162" s="50">
        <f t="shared" si="324"/>
        <v>2570270120</v>
      </c>
      <c r="FN162" s="50">
        <f t="shared" si="324"/>
        <v>1297853874.6100001</v>
      </c>
      <c r="FO162" s="50">
        <f t="shared" si="324"/>
        <v>338779433.35000002</v>
      </c>
      <c r="FP162" s="50">
        <f t="shared" si="324"/>
        <v>0</v>
      </c>
      <c r="FQ162" s="50">
        <f t="shared" si="324"/>
        <v>0</v>
      </c>
      <c r="FR162" s="50">
        <f t="shared" si="324"/>
        <v>0</v>
      </c>
      <c r="FS162" s="50">
        <f t="shared" si="324"/>
        <v>0</v>
      </c>
      <c r="FT162" s="50">
        <f t="shared" si="324"/>
        <v>0</v>
      </c>
      <c r="FU162" s="50">
        <f t="shared" si="324"/>
        <v>0</v>
      </c>
      <c r="FV162" s="50">
        <f t="shared" si="324"/>
        <v>0</v>
      </c>
      <c r="FW162" s="50">
        <f t="shared" si="324"/>
        <v>0</v>
      </c>
      <c r="FX162" s="50">
        <f t="shared" si="324"/>
        <v>0</v>
      </c>
      <c r="FY162" s="50">
        <f t="shared" si="324"/>
        <v>0</v>
      </c>
      <c r="FZ162" s="50">
        <f t="shared" si="324"/>
        <v>0</v>
      </c>
      <c r="GA162" s="50">
        <f t="shared" si="324"/>
        <v>0</v>
      </c>
      <c r="GB162" s="50">
        <f t="shared" si="324"/>
        <v>0</v>
      </c>
      <c r="GC162" s="50">
        <f t="shared" si="324"/>
        <v>0</v>
      </c>
      <c r="GD162" s="50">
        <f t="shared" si="324"/>
        <v>0</v>
      </c>
      <c r="GE162" s="50">
        <f t="shared" si="324"/>
        <v>0</v>
      </c>
      <c r="GF162" s="50">
        <f t="shared" si="324"/>
        <v>0</v>
      </c>
      <c r="GG162" s="50">
        <f t="shared" si="324"/>
        <v>0</v>
      </c>
      <c r="GH162" s="50">
        <f t="shared" si="324"/>
        <v>0</v>
      </c>
      <c r="GI162" s="50">
        <f t="shared" si="324"/>
        <v>0</v>
      </c>
      <c r="GJ162" s="50">
        <f t="shared" si="324"/>
        <v>0</v>
      </c>
      <c r="GK162" s="50">
        <f t="shared" si="324"/>
        <v>0</v>
      </c>
      <c r="GL162" s="50">
        <f t="shared" si="324"/>
        <v>0</v>
      </c>
      <c r="GM162" s="50">
        <f t="shared" si="324"/>
        <v>0</v>
      </c>
      <c r="GN162" s="50">
        <f t="shared" si="324"/>
        <v>0</v>
      </c>
      <c r="GO162" s="50">
        <f t="shared" si="324"/>
        <v>0</v>
      </c>
      <c r="GP162" s="50">
        <f t="shared" si="324"/>
        <v>0</v>
      </c>
      <c r="GQ162" s="50">
        <f t="shared" si="324"/>
        <v>0</v>
      </c>
      <c r="GR162" s="50">
        <f t="shared" si="324"/>
        <v>0</v>
      </c>
      <c r="GS162" s="50">
        <f t="shared" si="324"/>
        <v>0</v>
      </c>
      <c r="GT162" s="50">
        <f t="shared" si="324"/>
        <v>0</v>
      </c>
      <c r="GU162" s="50">
        <f t="shared" si="324"/>
        <v>1446239664.001771</v>
      </c>
      <c r="GV162" s="50">
        <f t="shared" si="324"/>
        <v>4787984507</v>
      </c>
      <c r="GW162" s="50">
        <f t="shared" si="324"/>
        <v>1867127751.8600001</v>
      </c>
      <c r="GX162" s="50">
        <f t="shared" si="324"/>
        <v>338779433.35000002</v>
      </c>
      <c r="GY162" s="50">
        <f t="shared" si="324"/>
        <v>0</v>
      </c>
      <c r="GZ162" s="50">
        <f t="shared" si="324"/>
        <v>5779681464.00177</v>
      </c>
    </row>
    <row r="163" spans="1:208" s="419" customFormat="1" ht="24.75" customHeight="1" x14ac:dyDescent="0.25">
      <c r="A163" s="326"/>
      <c r="B163" s="993"/>
      <c r="C163" s="246">
        <v>29</v>
      </c>
      <c r="D163" s="1027" t="s">
        <v>397</v>
      </c>
      <c r="E163" s="1026"/>
      <c r="F163" s="1020"/>
      <c r="G163" s="249"/>
      <c r="H163" s="249"/>
      <c r="I163" s="249"/>
      <c r="J163" s="249"/>
      <c r="K163" s="249"/>
      <c r="L163" s="249"/>
      <c r="M163" s="249"/>
      <c r="N163" s="249"/>
      <c r="O163" s="249"/>
      <c r="P163" s="249"/>
      <c r="Q163" s="249"/>
      <c r="R163" s="249"/>
      <c r="S163" s="249"/>
      <c r="T163" s="249"/>
      <c r="U163" s="249"/>
      <c r="V163" s="249"/>
      <c r="W163" s="249"/>
      <c r="X163" s="249"/>
      <c r="Y163" s="296"/>
      <c r="Z163" s="249"/>
      <c r="AA163" s="249"/>
      <c r="AB163" s="249"/>
      <c r="AC163" s="51">
        <f t="shared" ref="AC163:BL163" si="325">SUM(AC164:AC166)</f>
        <v>0</v>
      </c>
      <c r="AD163" s="51">
        <f t="shared" si="325"/>
        <v>0</v>
      </c>
      <c r="AE163" s="51">
        <f t="shared" si="325"/>
        <v>0</v>
      </c>
      <c r="AF163" s="51">
        <f t="shared" si="325"/>
        <v>0</v>
      </c>
      <c r="AG163" s="51">
        <f t="shared" si="325"/>
        <v>1058800000</v>
      </c>
      <c r="AH163" s="51">
        <f t="shared" si="325"/>
        <v>1945664802</v>
      </c>
      <c r="AI163" s="51">
        <f t="shared" si="325"/>
        <v>554991698</v>
      </c>
      <c r="AJ163" s="51">
        <f t="shared" si="325"/>
        <v>554991698</v>
      </c>
      <c r="AK163" s="51">
        <f t="shared" si="325"/>
        <v>170000000</v>
      </c>
      <c r="AL163" s="51">
        <f t="shared" si="325"/>
        <v>782745192</v>
      </c>
      <c r="AM163" s="51">
        <f t="shared" si="325"/>
        <v>781931333</v>
      </c>
      <c r="AN163" s="51">
        <f t="shared" si="325"/>
        <v>781931333</v>
      </c>
      <c r="AO163" s="51">
        <f t="shared" si="325"/>
        <v>0</v>
      </c>
      <c r="AP163" s="51">
        <f t="shared" si="325"/>
        <v>0</v>
      </c>
      <c r="AQ163" s="51">
        <f t="shared" si="325"/>
        <v>0</v>
      </c>
      <c r="AR163" s="51">
        <f t="shared" si="325"/>
        <v>0</v>
      </c>
      <c r="AS163" s="51">
        <f t="shared" si="325"/>
        <v>0</v>
      </c>
      <c r="AT163" s="51">
        <f t="shared" si="325"/>
        <v>0</v>
      </c>
      <c r="AU163" s="51">
        <f t="shared" si="325"/>
        <v>0</v>
      </c>
      <c r="AV163" s="51">
        <f t="shared" si="325"/>
        <v>0</v>
      </c>
      <c r="AW163" s="51">
        <f t="shared" si="325"/>
        <v>0</v>
      </c>
      <c r="AX163" s="51">
        <f t="shared" si="325"/>
        <v>0</v>
      </c>
      <c r="AY163" s="51">
        <f t="shared" si="325"/>
        <v>0</v>
      </c>
      <c r="AZ163" s="51">
        <f t="shared" si="325"/>
        <v>0</v>
      </c>
      <c r="BA163" s="51">
        <f t="shared" si="325"/>
        <v>0</v>
      </c>
      <c r="BB163" s="51">
        <f t="shared" si="325"/>
        <v>0</v>
      </c>
      <c r="BC163" s="51">
        <f t="shared" si="325"/>
        <v>0</v>
      </c>
      <c r="BD163" s="51">
        <f t="shared" si="325"/>
        <v>0</v>
      </c>
      <c r="BE163" s="51">
        <f t="shared" si="325"/>
        <v>0</v>
      </c>
      <c r="BF163" s="51">
        <f t="shared" si="325"/>
        <v>0</v>
      </c>
      <c r="BG163" s="51">
        <f t="shared" si="325"/>
        <v>0</v>
      </c>
      <c r="BH163" s="51">
        <f t="shared" si="325"/>
        <v>0</v>
      </c>
      <c r="BI163" s="51">
        <f t="shared" si="325"/>
        <v>0</v>
      </c>
      <c r="BJ163" s="51">
        <f t="shared" si="325"/>
        <v>0</v>
      </c>
      <c r="BK163" s="51">
        <f t="shared" si="325"/>
        <v>0</v>
      </c>
      <c r="BL163" s="51">
        <f t="shared" si="325"/>
        <v>0</v>
      </c>
      <c r="BM163" s="51">
        <f t="shared" ref="BM163:DX163" si="326">SUM(BM164:BM166)</f>
        <v>1228800000</v>
      </c>
      <c r="BN163" s="51">
        <f t="shared" si="326"/>
        <v>2728409994</v>
      </c>
      <c r="BO163" s="51">
        <f t="shared" si="326"/>
        <v>1336923031</v>
      </c>
      <c r="BP163" s="51">
        <f t="shared" si="326"/>
        <v>1336923031</v>
      </c>
      <c r="BQ163" s="51">
        <f t="shared" si="326"/>
        <v>0</v>
      </c>
      <c r="BR163" s="51">
        <f t="shared" si="326"/>
        <v>0</v>
      </c>
      <c r="BS163" s="51">
        <f t="shared" si="326"/>
        <v>0</v>
      </c>
      <c r="BT163" s="51">
        <f t="shared" si="326"/>
        <v>0</v>
      </c>
      <c r="BU163" s="51">
        <f t="shared" si="326"/>
        <v>1090564000</v>
      </c>
      <c r="BV163" s="51">
        <f t="shared" si="326"/>
        <v>1762480396</v>
      </c>
      <c r="BW163" s="51">
        <f t="shared" si="326"/>
        <v>965148635</v>
      </c>
      <c r="BX163" s="51">
        <f t="shared" si="326"/>
        <v>965148635</v>
      </c>
      <c r="BY163" s="51">
        <f t="shared" si="326"/>
        <v>0</v>
      </c>
      <c r="BZ163" s="51">
        <f t="shared" si="326"/>
        <v>175100000</v>
      </c>
      <c r="CA163" s="51">
        <f t="shared" si="326"/>
        <v>2038334710.8400002</v>
      </c>
      <c r="CB163" s="51">
        <f t="shared" si="326"/>
        <v>1216019693.8</v>
      </c>
      <c r="CC163" s="51">
        <f t="shared" si="326"/>
        <v>1216019693.8</v>
      </c>
      <c r="CD163" s="51">
        <f t="shared" si="326"/>
        <v>0</v>
      </c>
      <c r="CE163" s="51">
        <f t="shared" si="326"/>
        <v>0</v>
      </c>
      <c r="CF163" s="51">
        <f t="shared" si="326"/>
        <v>0</v>
      </c>
      <c r="CG163" s="51">
        <f t="shared" si="326"/>
        <v>0</v>
      </c>
      <c r="CH163" s="51">
        <f t="shared" si="326"/>
        <v>0</v>
      </c>
      <c r="CI163" s="51">
        <f t="shared" si="326"/>
        <v>0</v>
      </c>
      <c r="CJ163" s="51">
        <f t="shared" si="326"/>
        <v>0</v>
      </c>
      <c r="CK163" s="51">
        <f t="shared" si="326"/>
        <v>0</v>
      </c>
      <c r="CL163" s="51">
        <f t="shared" si="326"/>
        <v>0</v>
      </c>
      <c r="CM163" s="51">
        <f t="shared" si="326"/>
        <v>0</v>
      </c>
      <c r="CN163" s="51">
        <f t="shared" si="326"/>
        <v>0</v>
      </c>
      <c r="CO163" s="51">
        <f t="shared" si="326"/>
        <v>0</v>
      </c>
      <c r="CP163" s="51">
        <f t="shared" si="326"/>
        <v>0</v>
      </c>
      <c r="CQ163" s="51">
        <f t="shared" si="326"/>
        <v>0</v>
      </c>
      <c r="CR163" s="51">
        <f t="shared" si="326"/>
        <v>0</v>
      </c>
      <c r="CS163" s="51">
        <f t="shared" si="326"/>
        <v>0</v>
      </c>
      <c r="CT163" s="51">
        <f t="shared" si="326"/>
        <v>0</v>
      </c>
      <c r="CU163" s="51">
        <f t="shared" si="326"/>
        <v>0</v>
      </c>
      <c r="CV163" s="51">
        <f t="shared" si="326"/>
        <v>0</v>
      </c>
      <c r="CW163" s="51">
        <f t="shared" si="326"/>
        <v>0</v>
      </c>
      <c r="CX163" s="51">
        <f t="shared" si="326"/>
        <v>0</v>
      </c>
      <c r="CY163" s="51">
        <f t="shared" si="326"/>
        <v>0</v>
      </c>
      <c r="CZ163" s="51">
        <f t="shared" si="326"/>
        <v>0</v>
      </c>
      <c r="DA163" s="51">
        <f t="shared" si="326"/>
        <v>0</v>
      </c>
      <c r="DB163" s="51">
        <f t="shared" si="326"/>
        <v>0</v>
      </c>
      <c r="DC163" s="51">
        <f t="shared" si="326"/>
        <v>0</v>
      </c>
      <c r="DD163" s="51">
        <f t="shared" si="326"/>
        <v>0</v>
      </c>
      <c r="DE163" s="51">
        <f t="shared" si="326"/>
        <v>1265664000</v>
      </c>
      <c r="DF163" s="51">
        <f t="shared" si="326"/>
        <v>3800815106.8400002</v>
      </c>
      <c r="DG163" s="51">
        <f t="shared" si="326"/>
        <v>2181168328.8000002</v>
      </c>
      <c r="DH163" s="51">
        <f t="shared" si="326"/>
        <v>2181168328.8000002</v>
      </c>
      <c r="DI163" s="51">
        <f t="shared" si="326"/>
        <v>0</v>
      </c>
      <c r="DJ163" s="51">
        <f t="shared" si="326"/>
        <v>0</v>
      </c>
      <c r="DK163" s="51">
        <f t="shared" si="326"/>
        <v>0</v>
      </c>
      <c r="DL163" s="51">
        <f t="shared" si="326"/>
        <v>0</v>
      </c>
      <c r="DM163" s="51">
        <f t="shared" si="326"/>
        <v>0</v>
      </c>
      <c r="DN163" s="51">
        <f t="shared" si="326"/>
        <v>1123280920</v>
      </c>
      <c r="DO163" s="51">
        <f t="shared" si="326"/>
        <v>2135833082</v>
      </c>
      <c r="DP163" s="51">
        <f t="shared" si="326"/>
        <v>1236496692</v>
      </c>
      <c r="DQ163" s="51">
        <f t="shared" si="326"/>
        <v>1236496692</v>
      </c>
      <c r="DR163" s="51">
        <f t="shared" si="326"/>
        <v>0</v>
      </c>
      <c r="DS163" s="51">
        <f t="shared" si="326"/>
        <v>180353000</v>
      </c>
      <c r="DT163" s="51">
        <f t="shared" si="326"/>
        <v>2154900000</v>
      </c>
      <c r="DU163" s="51">
        <f t="shared" si="326"/>
        <v>1410472494.0599999</v>
      </c>
      <c r="DV163" s="51">
        <f t="shared" si="326"/>
        <v>1410472494.0599999</v>
      </c>
      <c r="DW163" s="51">
        <f t="shared" si="326"/>
        <v>0</v>
      </c>
      <c r="DX163" s="51">
        <f t="shared" si="326"/>
        <v>0</v>
      </c>
      <c r="DY163" s="51">
        <f t="shared" ref="DY163:EW163" si="327">SUM(DY164:DY166)</f>
        <v>0</v>
      </c>
      <c r="DZ163" s="51">
        <f t="shared" si="327"/>
        <v>0</v>
      </c>
      <c r="EA163" s="51">
        <f t="shared" si="327"/>
        <v>0</v>
      </c>
      <c r="EB163" s="51">
        <f t="shared" si="327"/>
        <v>0</v>
      </c>
      <c r="EC163" s="51">
        <f t="shared" si="327"/>
        <v>0</v>
      </c>
      <c r="ED163" s="51">
        <f t="shared" si="327"/>
        <v>0</v>
      </c>
      <c r="EE163" s="51">
        <f t="shared" si="327"/>
        <v>0</v>
      </c>
      <c r="EF163" s="51">
        <f t="shared" si="327"/>
        <v>0</v>
      </c>
      <c r="EG163" s="51">
        <f t="shared" si="327"/>
        <v>0</v>
      </c>
      <c r="EH163" s="51">
        <f t="shared" si="327"/>
        <v>0</v>
      </c>
      <c r="EI163" s="51">
        <f t="shared" si="327"/>
        <v>0</v>
      </c>
      <c r="EJ163" s="51">
        <f t="shared" si="327"/>
        <v>0</v>
      </c>
      <c r="EK163" s="51">
        <f t="shared" si="327"/>
        <v>0</v>
      </c>
      <c r="EL163" s="51">
        <f t="shared" si="327"/>
        <v>0</v>
      </c>
      <c r="EM163" s="51">
        <f t="shared" si="327"/>
        <v>0</v>
      </c>
      <c r="EN163" s="51">
        <f t="shared" si="327"/>
        <v>0</v>
      </c>
      <c r="EO163" s="51">
        <f t="shared" si="327"/>
        <v>0</v>
      </c>
      <c r="EP163" s="51">
        <f t="shared" si="327"/>
        <v>0</v>
      </c>
      <c r="EQ163" s="51">
        <f t="shared" si="327"/>
        <v>0</v>
      </c>
      <c r="ER163" s="51">
        <f t="shared" si="327"/>
        <v>0</v>
      </c>
      <c r="ES163" s="51">
        <f t="shared" si="327"/>
        <v>0</v>
      </c>
      <c r="ET163" s="51">
        <f t="shared" si="327"/>
        <v>0</v>
      </c>
      <c r="EU163" s="51">
        <f t="shared" si="327"/>
        <v>0</v>
      </c>
      <c r="EV163" s="51">
        <f t="shared" si="327"/>
        <v>0</v>
      </c>
      <c r="EW163" s="51">
        <f t="shared" si="327"/>
        <v>1303633920</v>
      </c>
      <c r="EX163" s="51">
        <f t="shared" ref="EX163:GZ163" si="328">SUM(EX164:EX166)</f>
        <v>4290733082</v>
      </c>
      <c r="EY163" s="51">
        <f t="shared" si="328"/>
        <v>2646969186.0599999</v>
      </c>
      <c r="EZ163" s="51">
        <f t="shared" si="328"/>
        <v>2646969186.0599999</v>
      </c>
      <c r="FA163" s="51">
        <f t="shared" si="328"/>
        <v>0</v>
      </c>
      <c r="FB163" s="51">
        <f t="shared" si="328"/>
        <v>0</v>
      </c>
      <c r="FC163" s="51">
        <f t="shared" si="328"/>
        <v>0</v>
      </c>
      <c r="FD163" s="51">
        <f t="shared" si="328"/>
        <v>0</v>
      </c>
      <c r="FE163" s="51">
        <f t="shared" si="328"/>
        <v>0</v>
      </c>
      <c r="FF163" s="51">
        <f t="shared" si="328"/>
        <v>0</v>
      </c>
      <c r="FG163" s="51">
        <f t="shared" si="328"/>
        <v>1156979347.6017709</v>
      </c>
      <c r="FH163" s="51">
        <f t="shared" si="328"/>
        <v>2145881556</v>
      </c>
      <c r="FI163" s="51">
        <f t="shared" si="328"/>
        <v>554273877.25</v>
      </c>
      <c r="FJ163" s="51">
        <f t="shared" si="328"/>
        <v>0</v>
      </c>
      <c r="FK163" s="51">
        <f t="shared" si="328"/>
        <v>0</v>
      </c>
      <c r="FL163" s="51">
        <f t="shared" si="328"/>
        <v>100000000</v>
      </c>
      <c r="FM163" s="51">
        <f t="shared" si="328"/>
        <v>2317179376</v>
      </c>
      <c r="FN163" s="51">
        <f t="shared" si="328"/>
        <v>1222098874.6100001</v>
      </c>
      <c r="FO163" s="51">
        <f t="shared" si="328"/>
        <v>297189433.35000002</v>
      </c>
      <c r="FP163" s="51">
        <f t="shared" si="328"/>
        <v>0</v>
      </c>
      <c r="FQ163" s="51">
        <f t="shared" si="328"/>
        <v>0</v>
      </c>
      <c r="FR163" s="51">
        <f t="shared" si="328"/>
        <v>0</v>
      </c>
      <c r="FS163" s="51">
        <f t="shared" si="328"/>
        <v>0</v>
      </c>
      <c r="FT163" s="51">
        <f t="shared" si="328"/>
        <v>0</v>
      </c>
      <c r="FU163" s="51">
        <f t="shared" si="328"/>
        <v>0</v>
      </c>
      <c r="FV163" s="51">
        <f t="shared" si="328"/>
        <v>0</v>
      </c>
      <c r="FW163" s="51">
        <f t="shared" si="328"/>
        <v>0</v>
      </c>
      <c r="FX163" s="51">
        <f t="shared" si="328"/>
        <v>0</v>
      </c>
      <c r="FY163" s="51">
        <f t="shared" si="328"/>
        <v>0</v>
      </c>
      <c r="FZ163" s="51">
        <f t="shared" si="328"/>
        <v>0</v>
      </c>
      <c r="GA163" s="51">
        <f t="shared" si="328"/>
        <v>0</v>
      </c>
      <c r="GB163" s="51">
        <f t="shared" si="328"/>
        <v>0</v>
      </c>
      <c r="GC163" s="51">
        <f t="shared" si="328"/>
        <v>0</v>
      </c>
      <c r="GD163" s="51">
        <f t="shared" si="328"/>
        <v>0</v>
      </c>
      <c r="GE163" s="51">
        <f t="shared" si="328"/>
        <v>0</v>
      </c>
      <c r="GF163" s="51">
        <f t="shared" si="328"/>
        <v>0</v>
      </c>
      <c r="GG163" s="51">
        <f t="shared" si="328"/>
        <v>0</v>
      </c>
      <c r="GH163" s="51">
        <f t="shared" si="328"/>
        <v>0</v>
      </c>
      <c r="GI163" s="51">
        <f t="shared" si="328"/>
        <v>0</v>
      </c>
      <c r="GJ163" s="51">
        <f t="shared" si="328"/>
        <v>0</v>
      </c>
      <c r="GK163" s="51">
        <f t="shared" si="328"/>
        <v>0</v>
      </c>
      <c r="GL163" s="51">
        <f t="shared" si="328"/>
        <v>0</v>
      </c>
      <c r="GM163" s="51">
        <f t="shared" si="328"/>
        <v>0</v>
      </c>
      <c r="GN163" s="51">
        <f t="shared" si="328"/>
        <v>0</v>
      </c>
      <c r="GO163" s="51">
        <f t="shared" si="328"/>
        <v>0</v>
      </c>
      <c r="GP163" s="51">
        <f t="shared" si="328"/>
        <v>0</v>
      </c>
      <c r="GQ163" s="51">
        <f t="shared" si="328"/>
        <v>0</v>
      </c>
      <c r="GR163" s="51">
        <f t="shared" si="328"/>
        <v>0</v>
      </c>
      <c r="GS163" s="51">
        <f t="shared" si="328"/>
        <v>0</v>
      </c>
      <c r="GT163" s="51">
        <f t="shared" si="328"/>
        <v>0</v>
      </c>
      <c r="GU163" s="51">
        <f t="shared" si="328"/>
        <v>1256979347.6017709</v>
      </c>
      <c r="GV163" s="51">
        <f t="shared" si="328"/>
        <v>4463060932</v>
      </c>
      <c r="GW163" s="51">
        <f t="shared" si="328"/>
        <v>1776372751.8600001</v>
      </c>
      <c r="GX163" s="51">
        <f t="shared" si="328"/>
        <v>297189433.35000002</v>
      </c>
      <c r="GY163" s="51">
        <f t="shared" si="328"/>
        <v>0</v>
      </c>
      <c r="GZ163" s="51">
        <f t="shared" si="328"/>
        <v>5055077267.6017704</v>
      </c>
    </row>
    <row r="164" spans="1:208" ht="130.5" customHeight="1" x14ac:dyDescent="0.2">
      <c r="A164" s="326"/>
      <c r="B164" s="326"/>
      <c r="C164" s="288">
        <v>22</v>
      </c>
      <c r="D164" s="258" t="s">
        <v>242</v>
      </c>
      <c r="E164" s="265" t="s">
        <v>243</v>
      </c>
      <c r="F164" s="265" t="s">
        <v>398</v>
      </c>
      <c r="G164" s="273">
        <v>114</v>
      </c>
      <c r="H164" s="261" t="s">
        <v>399</v>
      </c>
      <c r="I164" s="275" t="s">
        <v>400</v>
      </c>
      <c r="J164" s="262" t="s">
        <v>401</v>
      </c>
      <c r="K164" s="259">
        <v>5</v>
      </c>
      <c r="L164" s="304" t="s">
        <v>58</v>
      </c>
      <c r="M164" s="288" t="s">
        <v>53</v>
      </c>
      <c r="N164" s="264">
        <v>30</v>
      </c>
      <c r="O164" s="259">
        <v>30</v>
      </c>
      <c r="P164" s="387">
        <v>30</v>
      </c>
      <c r="Q164" s="288">
        <v>30</v>
      </c>
      <c r="R164" s="268"/>
      <c r="S164" s="266">
        <v>31</v>
      </c>
      <c r="T164" s="288">
        <v>30</v>
      </c>
      <c r="U164" s="288"/>
      <c r="V164" s="389">
        <v>30</v>
      </c>
      <c r="W164" s="376">
        <v>30</v>
      </c>
      <c r="X164" s="304"/>
      <c r="Y164" s="631">
        <v>26</v>
      </c>
      <c r="Z164" s="390">
        <f>BM164/$BM$163</f>
        <v>0.23860677083333334</v>
      </c>
      <c r="AA164" s="264">
        <v>11</v>
      </c>
      <c r="AB164" s="274" t="s">
        <v>229</v>
      </c>
      <c r="AC164" s="56"/>
      <c r="AD164" s="55"/>
      <c r="AE164" s="54"/>
      <c r="AF164" s="54"/>
      <c r="AG164" s="56">
        <f>293200000-170000000</f>
        <v>123200000</v>
      </c>
      <c r="AH164" s="63">
        <v>699161201</v>
      </c>
      <c r="AI164" s="55"/>
      <c r="AJ164" s="55"/>
      <c r="AK164" s="55">
        <v>170000000</v>
      </c>
      <c r="AL164" s="55">
        <v>782745192</v>
      </c>
      <c r="AM164" s="55">
        <v>781931333</v>
      </c>
      <c r="AN164" s="55">
        <v>781931333</v>
      </c>
      <c r="AO164" s="56"/>
      <c r="AP164" s="55"/>
      <c r="AQ164" s="55"/>
      <c r="AR164" s="55"/>
      <c r="AS164" s="56"/>
      <c r="AT164" s="55"/>
      <c r="AU164" s="54"/>
      <c r="AV164" s="54"/>
      <c r="AW164" s="56"/>
      <c r="AX164" s="55"/>
      <c r="AY164" s="55"/>
      <c r="AZ164" s="55"/>
      <c r="BA164" s="56"/>
      <c r="BB164" s="55"/>
      <c r="BC164" s="55"/>
      <c r="BD164" s="55"/>
      <c r="BE164" s="56"/>
      <c r="BF164" s="55"/>
      <c r="BG164" s="54"/>
      <c r="BH164" s="54"/>
      <c r="BI164" s="56"/>
      <c r="BJ164" s="55"/>
      <c r="BK164" s="55"/>
      <c r="BL164" s="55"/>
      <c r="BM164" s="53">
        <f>+AC164+AG164+AK164+AO164+AS164+AW164+BA164+BE164+BI164</f>
        <v>293200000</v>
      </c>
      <c r="BN164" s="54">
        <f t="shared" ref="BN164:BP166" si="329">AD164+AH164+AL164+AP164+AT164+AX164+BB164+BF164+BJ164</f>
        <v>1481906393</v>
      </c>
      <c r="BO164" s="54">
        <f t="shared" si="329"/>
        <v>781931333</v>
      </c>
      <c r="BP164" s="54">
        <f t="shared" si="329"/>
        <v>781931333</v>
      </c>
      <c r="BQ164" s="83"/>
      <c r="BR164" s="83"/>
      <c r="BS164" s="83"/>
      <c r="BT164" s="83"/>
      <c r="BU164" s="83">
        <v>126896000</v>
      </c>
      <c r="BV164" s="83">
        <f>'[2]PROYE METAS'!$O$16+'[2]PROYE METAS'!$O$18</f>
        <v>1037538491</v>
      </c>
      <c r="BW164" s="83">
        <v>300000000</v>
      </c>
      <c r="BX164" s="83">
        <v>300000000</v>
      </c>
      <c r="BY164" s="83"/>
      <c r="BZ164" s="65">
        <f>309000000-133900000</f>
        <v>175100000</v>
      </c>
      <c r="CA164" s="82">
        <v>1118419244.4200001</v>
      </c>
      <c r="CB164" s="82">
        <v>951268167</v>
      </c>
      <c r="CC164" s="82">
        <v>951268167</v>
      </c>
      <c r="CD164" s="82"/>
      <c r="CE164" s="82"/>
      <c r="CF164" s="82"/>
      <c r="CG164" s="82"/>
      <c r="CH164" s="82"/>
      <c r="CI164" s="83">
        <v>0</v>
      </c>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1">
        <f t="shared" ref="DE164:DH166" si="330">BQ164+BU164+BZ164+CE164+CI164+CM164+CQ164+CV164+DA164</f>
        <v>301996000</v>
      </c>
      <c r="DF164" s="95">
        <f t="shared" si="330"/>
        <v>2155957735.4200001</v>
      </c>
      <c r="DG164" s="95">
        <f t="shared" si="330"/>
        <v>1251268167</v>
      </c>
      <c r="DH164" s="95">
        <f t="shared" si="330"/>
        <v>1251268167</v>
      </c>
      <c r="DI164" s="95"/>
      <c r="DJ164" s="84"/>
      <c r="DK164" s="65"/>
      <c r="DL164" s="84"/>
      <c r="DM164" s="84"/>
      <c r="DN164" s="84">
        <v>130702880</v>
      </c>
      <c r="DO164" s="84">
        <v>1420857735</v>
      </c>
      <c r="DP164" s="84">
        <v>530000000</v>
      </c>
      <c r="DQ164" s="84">
        <v>530000000</v>
      </c>
      <c r="DR164" s="84"/>
      <c r="DS164" s="65">
        <v>180353000</v>
      </c>
      <c r="DT164" s="65">
        <v>1136700000</v>
      </c>
      <c r="DU164" s="65">
        <v>963212994</v>
      </c>
      <c r="DV164" s="65">
        <v>963212994</v>
      </c>
      <c r="DW164" s="65"/>
      <c r="DX164" s="65"/>
      <c r="DY164" s="65"/>
      <c r="DZ164" s="65"/>
      <c r="EA164" s="65"/>
      <c r="EB164" s="84"/>
      <c r="EC164" s="84"/>
      <c r="ED164" s="84"/>
      <c r="EE164" s="84"/>
      <c r="EF164" s="84"/>
      <c r="EG164" s="84"/>
      <c r="EH164" s="84"/>
      <c r="EI164" s="84"/>
      <c r="EJ164" s="84"/>
      <c r="EK164" s="84"/>
      <c r="EL164" s="84"/>
      <c r="EM164" s="84"/>
      <c r="EN164" s="84"/>
      <c r="EO164" s="84"/>
      <c r="EP164" s="84"/>
      <c r="EQ164" s="84"/>
      <c r="ER164" s="84"/>
      <c r="ES164" s="84"/>
      <c r="ET164" s="83"/>
      <c r="EU164" s="83"/>
      <c r="EV164" s="83"/>
      <c r="EW164" s="81">
        <f t="shared" ref="EW164:EX166" si="331">DJ164+DN164+DS164+DX164+EB164+EF164+EJ164+EN164+ES164</f>
        <v>311055880</v>
      </c>
      <c r="EX164" s="86">
        <f t="shared" si="331"/>
        <v>2557557735</v>
      </c>
      <c r="EY164" s="86">
        <f t="shared" ref="EY164:EZ166" si="332">DL164+DP164+DU164+DZ164+ED164+EH164+EL164+EP164+EU164</f>
        <v>1493212994</v>
      </c>
      <c r="EZ164" s="86">
        <f t="shared" si="332"/>
        <v>1493212994</v>
      </c>
      <c r="FA164" s="176"/>
      <c r="FB164" s="83"/>
      <c r="FC164" s="84"/>
      <c r="FD164" s="84"/>
      <c r="FE164" s="84"/>
      <c r="FF164" s="140"/>
      <c r="FG164" s="83">
        <v>199900000</v>
      </c>
      <c r="FH164" s="83">
        <f>'[3]Metas y Proyectos'!$O$17+'[3]Metas y Proyectos'!$O$18</f>
        <v>1475686973</v>
      </c>
      <c r="FI164" s="83">
        <v>400000000</v>
      </c>
      <c r="FJ164" s="83"/>
      <c r="FK164" s="83"/>
      <c r="FL164" s="83">
        <v>100000000</v>
      </c>
      <c r="FM164" s="610">
        <v>1275634909</v>
      </c>
      <c r="FN164" s="610">
        <v>879262933</v>
      </c>
      <c r="FO164" s="610">
        <v>197739100</v>
      </c>
      <c r="FP164" s="610"/>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1">
        <f>FB164+FG164+FL164+FQ164+FV164+GA164+GF164+GK164+GP164</f>
        <v>299900000</v>
      </c>
      <c r="GV164" s="81">
        <f t="shared" ref="GV164:GY166" si="333">GQ164+GL164+GG164+GB164+FW164+FR164+FM164+FH164+FC164</f>
        <v>2751321882</v>
      </c>
      <c r="GW164" s="81">
        <f t="shared" si="333"/>
        <v>1279262933</v>
      </c>
      <c r="GX164" s="81">
        <f t="shared" si="333"/>
        <v>197739100</v>
      </c>
      <c r="GY164" s="673">
        <f t="shared" si="333"/>
        <v>0</v>
      </c>
      <c r="GZ164" s="67">
        <f>BM164+DE164+EW164+GU164</f>
        <v>1206151880</v>
      </c>
    </row>
    <row r="165" spans="1:208" ht="54.75" customHeight="1" x14ac:dyDescent="0.2">
      <c r="A165" s="326"/>
      <c r="B165" s="326"/>
      <c r="C165" s="279">
        <v>12</v>
      </c>
      <c r="D165" s="722" t="s">
        <v>402</v>
      </c>
      <c r="E165" s="306">
        <v>3166</v>
      </c>
      <c r="F165" s="279">
        <v>2500</v>
      </c>
      <c r="G165" s="273">
        <v>115</v>
      </c>
      <c r="H165" s="261" t="s">
        <v>403</v>
      </c>
      <c r="I165" s="275" t="s">
        <v>404</v>
      </c>
      <c r="J165" s="262" t="s">
        <v>401</v>
      </c>
      <c r="K165" s="259">
        <v>5</v>
      </c>
      <c r="L165" s="288" t="s">
        <v>73</v>
      </c>
      <c r="M165" s="288">
        <v>0</v>
      </c>
      <c r="N165" s="264">
        <v>120</v>
      </c>
      <c r="O165" s="259">
        <v>16</v>
      </c>
      <c r="P165" s="448">
        <v>27</v>
      </c>
      <c r="Q165" s="376">
        <v>35</v>
      </c>
      <c r="R165" s="268"/>
      <c r="S165" s="449">
        <v>54</v>
      </c>
      <c r="T165" s="376">
        <v>35</v>
      </c>
      <c r="U165" s="376"/>
      <c r="V165" s="450">
        <v>51</v>
      </c>
      <c r="W165" s="376">
        <v>34</v>
      </c>
      <c r="X165" s="288"/>
      <c r="Y165" s="389">
        <v>29</v>
      </c>
      <c r="Z165" s="390">
        <f>BM165/$BM$163</f>
        <v>0.6611328125</v>
      </c>
      <c r="AA165" s="264">
        <v>11</v>
      </c>
      <c r="AB165" s="274" t="s">
        <v>229</v>
      </c>
      <c r="AC165" s="56"/>
      <c r="AD165" s="55"/>
      <c r="AE165" s="54"/>
      <c r="AF165" s="54"/>
      <c r="AG165" s="56">
        <v>812400000</v>
      </c>
      <c r="AH165" s="63">
        <v>1122790002</v>
      </c>
      <c r="AI165" s="55">
        <v>498866578</v>
      </c>
      <c r="AJ165" s="55">
        <v>498866578</v>
      </c>
      <c r="AK165" s="56"/>
      <c r="AL165" s="55"/>
      <c r="AM165" s="55"/>
      <c r="AN165" s="55"/>
      <c r="AO165" s="56"/>
      <c r="AP165" s="55"/>
      <c r="AQ165" s="55"/>
      <c r="AR165" s="55"/>
      <c r="AS165" s="56"/>
      <c r="AT165" s="55"/>
      <c r="AU165" s="54"/>
      <c r="AV165" s="54"/>
      <c r="AW165" s="56"/>
      <c r="AX165" s="55"/>
      <c r="AY165" s="55"/>
      <c r="AZ165" s="55"/>
      <c r="BA165" s="56"/>
      <c r="BB165" s="55"/>
      <c r="BC165" s="55"/>
      <c r="BD165" s="55"/>
      <c r="BE165" s="56"/>
      <c r="BF165" s="55"/>
      <c r="BG165" s="54"/>
      <c r="BH165" s="54"/>
      <c r="BI165" s="56"/>
      <c r="BJ165" s="55"/>
      <c r="BK165" s="55"/>
      <c r="BL165" s="55"/>
      <c r="BM165" s="53">
        <f>+AC165+AG165+AK165+AO165+AS165+AW165+BA165+BE165+BI165</f>
        <v>812400000</v>
      </c>
      <c r="BN165" s="54">
        <f t="shared" si="329"/>
        <v>1122790002</v>
      </c>
      <c r="BO165" s="54">
        <f t="shared" si="329"/>
        <v>498866578</v>
      </c>
      <c r="BP165" s="54">
        <f t="shared" si="329"/>
        <v>498866578</v>
      </c>
      <c r="BQ165" s="83"/>
      <c r="BR165" s="83"/>
      <c r="BS165" s="83"/>
      <c r="BT165" s="83"/>
      <c r="BU165" s="83">
        <v>836772000</v>
      </c>
      <c r="BV165" s="83">
        <v>566730870</v>
      </c>
      <c r="BW165" s="83">
        <v>525398635</v>
      </c>
      <c r="BX165" s="83">
        <v>525398635</v>
      </c>
      <c r="BY165" s="83"/>
      <c r="BZ165" s="83"/>
      <c r="CA165" s="83">
        <v>766596222.00999999</v>
      </c>
      <c r="CB165" s="83">
        <v>235611526.80000001</v>
      </c>
      <c r="CC165" s="83">
        <v>235611526.80000001</v>
      </c>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1">
        <f t="shared" si="330"/>
        <v>836772000</v>
      </c>
      <c r="DF165" s="95">
        <f t="shared" si="330"/>
        <v>1333327092.01</v>
      </c>
      <c r="DG165" s="95">
        <f t="shared" si="330"/>
        <v>761010161.79999995</v>
      </c>
      <c r="DH165" s="95">
        <f t="shared" si="330"/>
        <v>761010161.79999995</v>
      </c>
      <c r="DI165" s="95"/>
      <c r="DJ165" s="84"/>
      <c r="DK165" s="65"/>
      <c r="DL165" s="84"/>
      <c r="DM165" s="84"/>
      <c r="DN165" s="84">
        <v>861875160</v>
      </c>
      <c r="DO165" s="84">
        <v>590796102</v>
      </c>
      <c r="DP165" s="84">
        <v>582317447</v>
      </c>
      <c r="DQ165" s="84">
        <v>582317447</v>
      </c>
      <c r="DR165" s="84"/>
      <c r="DS165" s="84"/>
      <c r="DT165" s="84">
        <v>848500000</v>
      </c>
      <c r="DU165" s="84">
        <v>330044745.06</v>
      </c>
      <c r="DV165" s="84">
        <v>330044745.06</v>
      </c>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3"/>
      <c r="EU165" s="83"/>
      <c r="EV165" s="83"/>
      <c r="EW165" s="81">
        <f t="shared" si="331"/>
        <v>861875160</v>
      </c>
      <c r="EX165" s="86">
        <f t="shared" si="331"/>
        <v>1439296102</v>
      </c>
      <c r="EY165" s="86">
        <f t="shared" si="332"/>
        <v>912362192.05999994</v>
      </c>
      <c r="EZ165" s="86">
        <f t="shared" si="332"/>
        <v>912362192.05999994</v>
      </c>
      <c r="FA165" s="176"/>
      <c r="FB165" s="83"/>
      <c r="FC165" s="84"/>
      <c r="FD165" s="84"/>
      <c r="FE165" s="84"/>
      <c r="FF165" s="140"/>
      <c r="FG165" s="83">
        <v>831000000</v>
      </c>
      <c r="FH165" s="83">
        <v>602580100</v>
      </c>
      <c r="FI165" s="83">
        <v>154273877.25</v>
      </c>
      <c r="FJ165" s="83">
        <v>0</v>
      </c>
      <c r="FK165" s="83"/>
      <c r="FL165" s="83"/>
      <c r="FM165" s="611">
        <v>867953723</v>
      </c>
      <c r="FN165" s="611">
        <v>294439269.61000001</v>
      </c>
      <c r="FO165" s="611">
        <v>72580333.349999994</v>
      </c>
      <c r="FP165" s="611"/>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1">
        <f>FB165+FG165+FL165+FQ165+FV165+GA165+GF165+GK165+GP165</f>
        <v>831000000</v>
      </c>
      <c r="GV165" s="81">
        <f t="shared" si="333"/>
        <v>1470533823</v>
      </c>
      <c r="GW165" s="81">
        <f t="shared" si="333"/>
        <v>448713146.86000001</v>
      </c>
      <c r="GX165" s="81">
        <f t="shared" si="333"/>
        <v>72580333.349999994</v>
      </c>
      <c r="GY165" s="673">
        <f t="shared" si="333"/>
        <v>0</v>
      </c>
      <c r="GZ165" s="67">
        <f>BM165+DE165+EW165+GU165</f>
        <v>3342047160</v>
      </c>
    </row>
    <row r="166" spans="1:208" ht="54.75" customHeight="1" x14ac:dyDescent="0.2">
      <c r="A166" s="326"/>
      <c r="B166" s="326"/>
      <c r="C166" s="277"/>
      <c r="D166" s="372"/>
      <c r="E166" s="372"/>
      <c r="F166" s="372"/>
      <c r="G166" s="273">
        <v>116</v>
      </c>
      <c r="H166" s="261" t="s">
        <v>405</v>
      </c>
      <c r="I166" s="275" t="s">
        <v>406</v>
      </c>
      <c r="J166" s="262" t="s">
        <v>401</v>
      </c>
      <c r="K166" s="259">
        <v>5</v>
      </c>
      <c r="L166" s="288" t="s">
        <v>73</v>
      </c>
      <c r="M166" s="288" t="s">
        <v>53</v>
      </c>
      <c r="N166" s="264">
        <v>36</v>
      </c>
      <c r="O166" s="305">
        <v>5</v>
      </c>
      <c r="P166" s="451">
        <v>5</v>
      </c>
      <c r="Q166" s="452">
        <v>11</v>
      </c>
      <c r="R166" s="268"/>
      <c r="S166" s="453">
        <v>15</v>
      </c>
      <c r="T166" s="452">
        <v>10</v>
      </c>
      <c r="U166" s="452"/>
      <c r="V166" s="453">
        <v>17</v>
      </c>
      <c r="W166" s="452">
        <v>10</v>
      </c>
      <c r="X166" s="288"/>
      <c r="Y166" s="389">
        <v>0.15</v>
      </c>
      <c r="Z166" s="390">
        <f>BM166/$BM$163</f>
        <v>0.10026041666666667</v>
      </c>
      <c r="AA166" s="264">
        <v>11</v>
      </c>
      <c r="AB166" s="274" t="s">
        <v>229</v>
      </c>
      <c r="AC166" s="56"/>
      <c r="AD166" s="55"/>
      <c r="AE166" s="54"/>
      <c r="AF166" s="54"/>
      <c r="AG166" s="56">
        <v>123200000</v>
      </c>
      <c r="AH166" s="63">
        <v>123713599</v>
      </c>
      <c r="AI166" s="55">
        <v>56125120</v>
      </c>
      <c r="AJ166" s="55">
        <v>56125120</v>
      </c>
      <c r="AK166" s="56"/>
      <c r="AL166" s="55"/>
      <c r="AM166" s="55"/>
      <c r="AN166" s="55"/>
      <c r="AO166" s="56"/>
      <c r="AP166" s="55"/>
      <c r="AQ166" s="55"/>
      <c r="AR166" s="55"/>
      <c r="AS166" s="56"/>
      <c r="AT166" s="55"/>
      <c r="AU166" s="54"/>
      <c r="AV166" s="54"/>
      <c r="AW166" s="56"/>
      <c r="AX166" s="55"/>
      <c r="AY166" s="55"/>
      <c r="AZ166" s="55"/>
      <c r="BA166" s="56"/>
      <c r="BB166" s="55"/>
      <c r="BC166" s="55"/>
      <c r="BD166" s="55"/>
      <c r="BE166" s="56"/>
      <c r="BF166" s="55"/>
      <c r="BG166" s="54"/>
      <c r="BH166" s="54"/>
      <c r="BI166" s="56"/>
      <c r="BJ166" s="55"/>
      <c r="BK166" s="55"/>
      <c r="BL166" s="55"/>
      <c r="BM166" s="53">
        <f>+AC166+AG166+AK166+AO166+AS166+AW166+BA166+BE166+BI166</f>
        <v>123200000</v>
      </c>
      <c r="BN166" s="54">
        <f t="shared" si="329"/>
        <v>123713599</v>
      </c>
      <c r="BO166" s="54">
        <f t="shared" si="329"/>
        <v>56125120</v>
      </c>
      <c r="BP166" s="54">
        <f t="shared" si="329"/>
        <v>56125120</v>
      </c>
      <c r="BQ166" s="83"/>
      <c r="BR166" s="83"/>
      <c r="BS166" s="83"/>
      <c r="BT166" s="83"/>
      <c r="BU166" s="83">
        <v>126896000</v>
      </c>
      <c r="BV166" s="83">
        <v>158211035</v>
      </c>
      <c r="BW166" s="83">
        <v>139750000</v>
      </c>
      <c r="BX166" s="83">
        <v>139750000</v>
      </c>
      <c r="BY166" s="83"/>
      <c r="BZ166" s="83"/>
      <c r="CA166" s="83">
        <v>153319244.41</v>
      </c>
      <c r="CB166" s="83">
        <v>29140000</v>
      </c>
      <c r="CC166" s="83">
        <v>29140000</v>
      </c>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1">
        <f t="shared" si="330"/>
        <v>126896000</v>
      </c>
      <c r="DF166" s="95">
        <f t="shared" si="330"/>
        <v>311530279.40999997</v>
      </c>
      <c r="DG166" s="95">
        <f t="shared" si="330"/>
        <v>168890000</v>
      </c>
      <c r="DH166" s="95">
        <f t="shared" si="330"/>
        <v>168890000</v>
      </c>
      <c r="DI166" s="95"/>
      <c r="DJ166" s="84"/>
      <c r="DK166" s="65"/>
      <c r="DL166" s="84"/>
      <c r="DM166" s="84"/>
      <c r="DN166" s="84">
        <v>130702880</v>
      </c>
      <c r="DO166" s="84">
        <v>124179245</v>
      </c>
      <c r="DP166" s="84">
        <v>124179245</v>
      </c>
      <c r="DQ166" s="84">
        <v>124179245</v>
      </c>
      <c r="DR166" s="84"/>
      <c r="DS166" s="84"/>
      <c r="DT166" s="84">
        <v>169700000</v>
      </c>
      <c r="DU166" s="84">
        <v>117214755</v>
      </c>
      <c r="DV166" s="84">
        <v>117214755</v>
      </c>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3"/>
      <c r="EU166" s="83"/>
      <c r="EV166" s="83"/>
      <c r="EW166" s="81">
        <f t="shared" si="331"/>
        <v>130702880</v>
      </c>
      <c r="EX166" s="86">
        <f t="shared" si="331"/>
        <v>293879245</v>
      </c>
      <c r="EY166" s="86">
        <f t="shared" si="332"/>
        <v>241394000</v>
      </c>
      <c r="EZ166" s="86">
        <f t="shared" si="332"/>
        <v>241394000</v>
      </c>
      <c r="FA166" s="176"/>
      <c r="FB166" s="83"/>
      <c r="FC166" s="84"/>
      <c r="FD166" s="84"/>
      <c r="FE166" s="84"/>
      <c r="FF166" s="140"/>
      <c r="FG166" s="83">
        <v>126079347.60177085</v>
      </c>
      <c r="FH166" s="83">
        <v>67614483</v>
      </c>
      <c r="FI166" s="83"/>
      <c r="FJ166" s="83"/>
      <c r="FK166" s="83"/>
      <c r="FL166" s="83"/>
      <c r="FM166" s="610">
        <v>173590744</v>
      </c>
      <c r="FN166" s="610">
        <v>48396672</v>
      </c>
      <c r="FO166" s="610">
        <v>26870000</v>
      </c>
      <c r="FP166" s="610"/>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1">
        <f>FB166+FG166+FL166+FQ166+FV166+GA166+GF166+GK166+GP166</f>
        <v>126079347.60177085</v>
      </c>
      <c r="GV166" s="81">
        <f t="shared" si="333"/>
        <v>241205227</v>
      </c>
      <c r="GW166" s="81">
        <f t="shared" si="333"/>
        <v>48396672</v>
      </c>
      <c r="GX166" s="81">
        <f t="shared" si="333"/>
        <v>26870000</v>
      </c>
      <c r="GY166" s="673">
        <f t="shared" si="333"/>
        <v>0</v>
      </c>
      <c r="GZ166" s="67">
        <f>BM166+DE166+EW166+GU166</f>
        <v>506878227.60177088</v>
      </c>
    </row>
    <row r="167" spans="1:208" ht="24.75" customHeight="1" x14ac:dyDescent="0.2">
      <c r="A167" s="326"/>
      <c r="B167" s="326"/>
      <c r="C167" s="246">
        <v>30</v>
      </c>
      <c r="D167" s="337" t="s">
        <v>407</v>
      </c>
      <c r="E167" s="1025"/>
      <c r="F167" s="338"/>
      <c r="G167" s="249"/>
      <c r="H167" s="249"/>
      <c r="I167" s="249"/>
      <c r="J167" s="249"/>
      <c r="K167" s="249"/>
      <c r="L167" s="249"/>
      <c r="M167" s="249"/>
      <c r="N167" s="249"/>
      <c r="O167" s="249"/>
      <c r="P167" s="249"/>
      <c r="Q167" s="249"/>
      <c r="R167" s="249"/>
      <c r="S167" s="249"/>
      <c r="T167" s="249"/>
      <c r="U167" s="249"/>
      <c r="V167" s="249"/>
      <c r="W167" s="249"/>
      <c r="X167" s="249"/>
      <c r="Y167" s="296"/>
      <c r="Z167" s="249"/>
      <c r="AA167" s="249"/>
      <c r="AB167" s="249"/>
      <c r="AC167" s="191">
        <f t="shared" ref="AC167:BL167" si="334">SUM(AC168)</f>
        <v>0</v>
      </c>
      <c r="AD167" s="191">
        <f t="shared" si="334"/>
        <v>0</v>
      </c>
      <c r="AE167" s="191">
        <f t="shared" si="334"/>
        <v>0</v>
      </c>
      <c r="AF167" s="191">
        <f t="shared" si="334"/>
        <v>0</v>
      </c>
      <c r="AG167" s="191">
        <f t="shared" si="334"/>
        <v>50000000</v>
      </c>
      <c r="AH167" s="191">
        <f t="shared" si="334"/>
        <v>53011024</v>
      </c>
      <c r="AI167" s="191">
        <f t="shared" si="334"/>
        <v>6083334</v>
      </c>
      <c r="AJ167" s="191">
        <f t="shared" si="334"/>
        <v>6083334</v>
      </c>
      <c r="AK167" s="191">
        <f t="shared" si="334"/>
        <v>0</v>
      </c>
      <c r="AL167" s="191">
        <f t="shared" si="334"/>
        <v>0</v>
      </c>
      <c r="AM167" s="191">
        <f t="shared" si="334"/>
        <v>0</v>
      </c>
      <c r="AN167" s="191">
        <f t="shared" si="334"/>
        <v>0</v>
      </c>
      <c r="AO167" s="191">
        <f t="shared" si="334"/>
        <v>0</v>
      </c>
      <c r="AP167" s="191">
        <f t="shared" si="334"/>
        <v>0</v>
      </c>
      <c r="AQ167" s="191">
        <f t="shared" si="334"/>
        <v>0</v>
      </c>
      <c r="AR167" s="191">
        <f t="shared" si="334"/>
        <v>0</v>
      </c>
      <c r="AS167" s="191">
        <f t="shared" si="334"/>
        <v>0</v>
      </c>
      <c r="AT167" s="191">
        <f t="shared" si="334"/>
        <v>0</v>
      </c>
      <c r="AU167" s="191">
        <f t="shared" si="334"/>
        <v>0</v>
      </c>
      <c r="AV167" s="191">
        <f t="shared" si="334"/>
        <v>0</v>
      </c>
      <c r="AW167" s="191">
        <f t="shared" si="334"/>
        <v>0</v>
      </c>
      <c r="AX167" s="191">
        <f t="shared" si="334"/>
        <v>0</v>
      </c>
      <c r="AY167" s="191">
        <f t="shared" si="334"/>
        <v>0</v>
      </c>
      <c r="AZ167" s="191">
        <f t="shared" si="334"/>
        <v>0</v>
      </c>
      <c r="BA167" s="191">
        <f t="shared" si="334"/>
        <v>0</v>
      </c>
      <c r="BB167" s="191">
        <f t="shared" si="334"/>
        <v>0</v>
      </c>
      <c r="BC167" s="191">
        <f t="shared" si="334"/>
        <v>0</v>
      </c>
      <c r="BD167" s="191">
        <f t="shared" si="334"/>
        <v>0</v>
      </c>
      <c r="BE167" s="191">
        <f t="shared" si="334"/>
        <v>0</v>
      </c>
      <c r="BF167" s="191">
        <f t="shared" si="334"/>
        <v>0</v>
      </c>
      <c r="BG167" s="191">
        <f t="shared" si="334"/>
        <v>0</v>
      </c>
      <c r="BH167" s="191">
        <f t="shared" si="334"/>
        <v>0</v>
      </c>
      <c r="BI167" s="191">
        <f t="shared" si="334"/>
        <v>0</v>
      </c>
      <c r="BJ167" s="191">
        <f t="shared" si="334"/>
        <v>0</v>
      </c>
      <c r="BK167" s="191">
        <f t="shared" si="334"/>
        <v>0</v>
      </c>
      <c r="BL167" s="191">
        <f t="shared" si="334"/>
        <v>0</v>
      </c>
      <c r="BM167" s="191">
        <f t="shared" ref="BM167:DX167" si="335">SUM(BM168)</f>
        <v>50000000</v>
      </c>
      <c r="BN167" s="191">
        <f t="shared" si="335"/>
        <v>53011024</v>
      </c>
      <c r="BO167" s="191">
        <f t="shared" si="335"/>
        <v>6083334</v>
      </c>
      <c r="BP167" s="191">
        <f t="shared" si="335"/>
        <v>6083334</v>
      </c>
      <c r="BQ167" s="191">
        <f t="shared" si="335"/>
        <v>0</v>
      </c>
      <c r="BR167" s="191">
        <f t="shared" si="335"/>
        <v>0</v>
      </c>
      <c r="BS167" s="191">
        <f t="shared" si="335"/>
        <v>0</v>
      </c>
      <c r="BT167" s="191">
        <f t="shared" si="335"/>
        <v>0</v>
      </c>
      <c r="BU167" s="191">
        <f t="shared" si="335"/>
        <v>51500000</v>
      </c>
      <c r="BV167" s="191">
        <f t="shared" si="335"/>
        <v>443025</v>
      </c>
      <c r="BW167" s="191">
        <f t="shared" si="335"/>
        <v>443025</v>
      </c>
      <c r="BX167" s="191">
        <f t="shared" si="335"/>
        <v>443025</v>
      </c>
      <c r="BY167" s="191">
        <f t="shared" si="335"/>
        <v>0</v>
      </c>
      <c r="BZ167" s="191">
        <f t="shared" si="335"/>
        <v>0</v>
      </c>
      <c r="CA167" s="191">
        <f t="shared" si="335"/>
        <v>111500000</v>
      </c>
      <c r="CB167" s="191">
        <f t="shared" si="335"/>
        <v>96175100</v>
      </c>
      <c r="CC167" s="191">
        <f t="shared" si="335"/>
        <v>96175100</v>
      </c>
      <c r="CD167" s="191">
        <f t="shared" si="335"/>
        <v>0</v>
      </c>
      <c r="CE167" s="191">
        <f t="shared" si="335"/>
        <v>0</v>
      </c>
      <c r="CF167" s="191">
        <f t="shared" si="335"/>
        <v>0</v>
      </c>
      <c r="CG167" s="191">
        <f t="shared" si="335"/>
        <v>0</v>
      </c>
      <c r="CH167" s="191">
        <f t="shared" si="335"/>
        <v>0</v>
      </c>
      <c r="CI167" s="191">
        <f t="shared" si="335"/>
        <v>0</v>
      </c>
      <c r="CJ167" s="191">
        <f t="shared" si="335"/>
        <v>0</v>
      </c>
      <c r="CK167" s="191">
        <f t="shared" si="335"/>
        <v>0</v>
      </c>
      <c r="CL167" s="191">
        <f t="shared" si="335"/>
        <v>0</v>
      </c>
      <c r="CM167" s="191">
        <f t="shared" si="335"/>
        <v>0</v>
      </c>
      <c r="CN167" s="191">
        <f t="shared" si="335"/>
        <v>0</v>
      </c>
      <c r="CO167" s="191">
        <f t="shared" si="335"/>
        <v>0</v>
      </c>
      <c r="CP167" s="191">
        <f t="shared" si="335"/>
        <v>0</v>
      </c>
      <c r="CQ167" s="191">
        <f t="shared" si="335"/>
        <v>0</v>
      </c>
      <c r="CR167" s="191">
        <f t="shared" si="335"/>
        <v>0</v>
      </c>
      <c r="CS167" s="191">
        <f t="shared" si="335"/>
        <v>0</v>
      </c>
      <c r="CT167" s="191">
        <f t="shared" si="335"/>
        <v>0</v>
      </c>
      <c r="CU167" s="191">
        <f t="shared" si="335"/>
        <v>0</v>
      </c>
      <c r="CV167" s="191">
        <f t="shared" si="335"/>
        <v>0</v>
      </c>
      <c r="CW167" s="191">
        <f t="shared" si="335"/>
        <v>0</v>
      </c>
      <c r="CX167" s="191">
        <f t="shared" si="335"/>
        <v>0</v>
      </c>
      <c r="CY167" s="191">
        <f t="shared" si="335"/>
        <v>0</v>
      </c>
      <c r="CZ167" s="191">
        <f t="shared" si="335"/>
        <v>0</v>
      </c>
      <c r="DA167" s="191">
        <f t="shared" si="335"/>
        <v>0</v>
      </c>
      <c r="DB167" s="191">
        <f t="shared" si="335"/>
        <v>0</v>
      </c>
      <c r="DC167" s="191">
        <f t="shared" si="335"/>
        <v>0</v>
      </c>
      <c r="DD167" s="191">
        <f t="shared" si="335"/>
        <v>0</v>
      </c>
      <c r="DE167" s="191">
        <f t="shared" si="335"/>
        <v>51500000</v>
      </c>
      <c r="DF167" s="191">
        <f t="shared" si="335"/>
        <v>111943025</v>
      </c>
      <c r="DG167" s="191">
        <f t="shared" si="335"/>
        <v>96618125</v>
      </c>
      <c r="DH167" s="191">
        <f t="shared" si="335"/>
        <v>96618125</v>
      </c>
      <c r="DI167" s="191">
        <f t="shared" si="335"/>
        <v>0</v>
      </c>
      <c r="DJ167" s="191">
        <f t="shared" si="335"/>
        <v>0</v>
      </c>
      <c r="DK167" s="191">
        <f t="shared" si="335"/>
        <v>0</v>
      </c>
      <c r="DL167" s="191">
        <f t="shared" si="335"/>
        <v>0</v>
      </c>
      <c r="DM167" s="191">
        <f t="shared" si="335"/>
        <v>0</v>
      </c>
      <c r="DN167" s="191">
        <f t="shared" si="335"/>
        <v>53045000</v>
      </c>
      <c r="DO167" s="191">
        <f t="shared" si="335"/>
        <v>0</v>
      </c>
      <c r="DP167" s="191">
        <f t="shared" si="335"/>
        <v>0</v>
      </c>
      <c r="DQ167" s="191">
        <f t="shared" si="335"/>
        <v>0</v>
      </c>
      <c r="DR167" s="191">
        <f t="shared" si="335"/>
        <v>0</v>
      </c>
      <c r="DS167" s="191">
        <f t="shared" si="335"/>
        <v>0</v>
      </c>
      <c r="DT167" s="191">
        <f t="shared" si="335"/>
        <v>80000000</v>
      </c>
      <c r="DU167" s="191">
        <f t="shared" si="335"/>
        <v>66150000</v>
      </c>
      <c r="DV167" s="191">
        <f t="shared" si="335"/>
        <v>66150000</v>
      </c>
      <c r="DW167" s="191">
        <f t="shared" si="335"/>
        <v>0</v>
      </c>
      <c r="DX167" s="191">
        <f t="shared" si="335"/>
        <v>0</v>
      </c>
      <c r="DY167" s="191">
        <f t="shared" ref="DY167:EW167" si="336">SUM(DY168)</f>
        <v>0</v>
      </c>
      <c r="DZ167" s="191">
        <f t="shared" si="336"/>
        <v>0</v>
      </c>
      <c r="EA167" s="191">
        <f t="shared" si="336"/>
        <v>0</v>
      </c>
      <c r="EB167" s="191">
        <f t="shared" si="336"/>
        <v>0</v>
      </c>
      <c r="EC167" s="191">
        <f t="shared" si="336"/>
        <v>0</v>
      </c>
      <c r="ED167" s="191">
        <f t="shared" si="336"/>
        <v>0</v>
      </c>
      <c r="EE167" s="191">
        <f t="shared" si="336"/>
        <v>0</v>
      </c>
      <c r="EF167" s="191">
        <f t="shared" si="336"/>
        <v>0</v>
      </c>
      <c r="EG167" s="191">
        <f t="shared" si="336"/>
        <v>0</v>
      </c>
      <c r="EH167" s="191">
        <f t="shared" si="336"/>
        <v>0</v>
      </c>
      <c r="EI167" s="191">
        <f t="shared" si="336"/>
        <v>0</v>
      </c>
      <c r="EJ167" s="191">
        <f t="shared" si="336"/>
        <v>0</v>
      </c>
      <c r="EK167" s="191">
        <f t="shared" si="336"/>
        <v>0</v>
      </c>
      <c r="EL167" s="191">
        <f t="shared" si="336"/>
        <v>0</v>
      </c>
      <c r="EM167" s="191">
        <f t="shared" si="336"/>
        <v>0</v>
      </c>
      <c r="EN167" s="191">
        <f t="shared" si="336"/>
        <v>0</v>
      </c>
      <c r="EO167" s="191">
        <f t="shared" si="336"/>
        <v>0</v>
      </c>
      <c r="EP167" s="191">
        <f t="shared" si="336"/>
        <v>0</v>
      </c>
      <c r="EQ167" s="191">
        <f t="shared" si="336"/>
        <v>0</v>
      </c>
      <c r="ER167" s="191">
        <f t="shared" si="336"/>
        <v>0</v>
      </c>
      <c r="ES167" s="191">
        <f t="shared" si="336"/>
        <v>0</v>
      </c>
      <c r="ET167" s="191">
        <f t="shared" si="336"/>
        <v>0</v>
      </c>
      <c r="EU167" s="191">
        <f t="shared" si="336"/>
        <v>0</v>
      </c>
      <c r="EV167" s="191">
        <f t="shared" si="336"/>
        <v>0</v>
      </c>
      <c r="EW167" s="191">
        <f t="shared" si="336"/>
        <v>53045000</v>
      </c>
      <c r="EX167" s="191">
        <f t="shared" ref="EX167:GZ167" si="337">SUM(EX168)</f>
        <v>80000000</v>
      </c>
      <c r="EY167" s="191">
        <f t="shared" si="337"/>
        <v>66150000</v>
      </c>
      <c r="EZ167" s="191">
        <f t="shared" si="337"/>
        <v>66150000</v>
      </c>
      <c r="FA167" s="191">
        <f t="shared" si="337"/>
        <v>0</v>
      </c>
      <c r="FB167" s="191">
        <f t="shared" si="337"/>
        <v>0</v>
      </c>
      <c r="FC167" s="191">
        <f t="shared" si="337"/>
        <v>0</v>
      </c>
      <c r="FD167" s="191">
        <f t="shared" si="337"/>
        <v>0</v>
      </c>
      <c r="FE167" s="191">
        <f t="shared" si="337"/>
        <v>0</v>
      </c>
      <c r="FF167" s="191">
        <f t="shared" si="337"/>
        <v>0</v>
      </c>
      <c r="FG167" s="191">
        <f t="shared" si="337"/>
        <v>54636350</v>
      </c>
      <c r="FH167" s="191">
        <f t="shared" si="337"/>
        <v>0</v>
      </c>
      <c r="FI167" s="191">
        <f t="shared" si="337"/>
        <v>0</v>
      </c>
      <c r="FJ167" s="191">
        <f t="shared" si="337"/>
        <v>0</v>
      </c>
      <c r="FK167" s="191">
        <f t="shared" si="337"/>
        <v>0</v>
      </c>
      <c r="FL167" s="191">
        <f t="shared" si="337"/>
        <v>0</v>
      </c>
      <c r="FM167" s="191">
        <f t="shared" si="337"/>
        <v>79500000</v>
      </c>
      <c r="FN167" s="191">
        <f t="shared" si="337"/>
        <v>3975000</v>
      </c>
      <c r="FO167" s="191">
        <f t="shared" si="337"/>
        <v>3975000</v>
      </c>
      <c r="FP167" s="191">
        <f t="shared" si="337"/>
        <v>0</v>
      </c>
      <c r="FQ167" s="191">
        <f t="shared" si="337"/>
        <v>0</v>
      </c>
      <c r="FR167" s="191">
        <f t="shared" si="337"/>
        <v>0</v>
      </c>
      <c r="FS167" s="191">
        <f t="shared" si="337"/>
        <v>0</v>
      </c>
      <c r="FT167" s="191">
        <f t="shared" si="337"/>
        <v>0</v>
      </c>
      <c r="FU167" s="191">
        <f t="shared" si="337"/>
        <v>0</v>
      </c>
      <c r="FV167" s="191">
        <f t="shared" si="337"/>
        <v>0</v>
      </c>
      <c r="FW167" s="191">
        <f t="shared" si="337"/>
        <v>0</v>
      </c>
      <c r="FX167" s="191">
        <f t="shared" si="337"/>
        <v>0</v>
      </c>
      <c r="FY167" s="191">
        <f t="shared" si="337"/>
        <v>0</v>
      </c>
      <c r="FZ167" s="191">
        <f t="shared" si="337"/>
        <v>0</v>
      </c>
      <c r="GA167" s="191">
        <f t="shared" si="337"/>
        <v>0</v>
      </c>
      <c r="GB167" s="191">
        <f t="shared" si="337"/>
        <v>0</v>
      </c>
      <c r="GC167" s="191">
        <f t="shared" si="337"/>
        <v>0</v>
      </c>
      <c r="GD167" s="191">
        <f t="shared" si="337"/>
        <v>0</v>
      </c>
      <c r="GE167" s="191">
        <f t="shared" si="337"/>
        <v>0</v>
      </c>
      <c r="GF167" s="191">
        <f t="shared" si="337"/>
        <v>0</v>
      </c>
      <c r="GG167" s="191">
        <f t="shared" si="337"/>
        <v>0</v>
      </c>
      <c r="GH167" s="191">
        <f t="shared" si="337"/>
        <v>0</v>
      </c>
      <c r="GI167" s="191">
        <f t="shared" si="337"/>
        <v>0</v>
      </c>
      <c r="GJ167" s="191">
        <f t="shared" si="337"/>
        <v>0</v>
      </c>
      <c r="GK167" s="191">
        <f t="shared" si="337"/>
        <v>0</v>
      </c>
      <c r="GL167" s="191">
        <f t="shared" si="337"/>
        <v>0</v>
      </c>
      <c r="GM167" s="191">
        <f t="shared" si="337"/>
        <v>0</v>
      </c>
      <c r="GN167" s="191">
        <f t="shared" si="337"/>
        <v>0</v>
      </c>
      <c r="GO167" s="191">
        <f t="shared" si="337"/>
        <v>0</v>
      </c>
      <c r="GP167" s="191">
        <f t="shared" si="337"/>
        <v>0</v>
      </c>
      <c r="GQ167" s="191">
        <f t="shared" si="337"/>
        <v>0</v>
      </c>
      <c r="GR167" s="191">
        <f t="shared" si="337"/>
        <v>0</v>
      </c>
      <c r="GS167" s="191">
        <f t="shared" si="337"/>
        <v>0</v>
      </c>
      <c r="GT167" s="191">
        <f t="shared" si="337"/>
        <v>0</v>
      </c>
      <c r="GU167" s="191">
        <f t="shared" si="337"/>
        <v>54636350</v>
      </c>
      <c r="GV167" s="191">
        <f t="shared" si="337"/>
        <v>79500000</v>
      </c>
      <c r="GW167" s="191">
        <f t="shared" si="337"/>
        <v>3975000</v>
      </c>
      <c r="GX167" s="191">
        <f t="shared" si="337"/>
        <v>3975000</v>
      </c>
      <c r="GY167" s="191">
        <f t="shared" si="337"/>
        <v>0</v>
      </c>
      <c r="GZ167" s="201">
        <f t="shared" si="337"/>
        <v>209181350</v>
      </c>
    </row>
    <row r="168" spans="1:208" ht="59.25" customHeight="1" x14ac:dyDescent="0.2">
      <c r="A168" s="326"/>
      <c r="B168" s="326"/>
      <c r="C168" s="264" t="s">
        <v>948</v>
      </c>
      <c r="D168" s="455" t="s">
        <v>408</v>
      </c>
      <c r="E168" s="259" t="s">
        <v>132</v>
      </c>
      <c r="F168" s="377">
        <v>0.27</v>
      </c>
      <c r="G168" s="988">
        <v>117</v>
      </c>
      <c r="H168" s="989" t="s">
        <v>409</v>
      </c>
      <c r="I168" s="721" t="s">
        <v>410</v>
      </c>
      <c r="J168" s="988" t="s">
        <v>401</v>
      </c>
      <c r="K168" s="417">
        <v>5</v>
      </c>
      <c r="L168" s="456" t="s">
        <v>73</v>
      </c>
      <c r="M168" s="456" t="s">
        <v>53</v>
      </c>
      <c r="N168" s="456">
        <v>5</v>
      </c>
      <c r="O168" s="417">
        <v>1</v>
      </c>
      <c r="P168" s="418">
        <v>1</v>
      </c>
      <c r="Q168" s="456">
        <v>1</v>
      </c>
      <c r="R168" s="268"/>
      <c r="S168" s="457">
        <v>3</v>
      </c>
      <c r="T168" s="456">
        <v>2</v>
      </c>
      <c r="U168" s="456"/>
      <c r="V168" s="457">
        <v>2</v>
      </c>
      <c r="W168" s="456">
        <v>1</v>
      </c>
      <c r="X168" s="456"/>
      <c r="Y168" s="457">
        <v>0.15</v>
      </c>
      <c r="Z168" s="426">
        <f>BM168/BM167</f>
        <v>1</v>
      </c>
      <c r="AA168" s="717">
        <v>8</v>
      </c>
      <c r="AB168" s="717" t="s">
        <v>135</v>
      </c>
      <c r="AC168" s="149"/>
      <c r="AD168" s="55"/>
      <c r="AE168" s="54"/>
      <c r="AF168" s="54"/>
      <c r="AG168" s="149">
        <v>50000000</v>
      </c>
      <c r="AH168" s="55">
        <v>53011024</v>
      </c>
      <c r="AI168" s="55">
        <v>6083334</v>
      </c>
      <c r="AJ168" s="55">
        <v>6083334</v>
      </c>
      <c r="AK168" s="149"/>
      <c r="AL168" s="55"/>
      <c r="AM168" s="55"/>
      <c r="AN168" s="55"/>
      <c r="AO168" s="149"/>
      <c r="AP168" s="55"/>
      <c r="AQ168" s="55"/>
      <c r="AR168" s="55"/>
      <c r="AS168" s="149"/>
      <c r="AT168" s="55"/>
      <c r="AU168" s="54"/>
      <c r="AV168" s="54"/>
      <c r="AW168" s="149"/>
      <c r="AX168" s="55"/>
      <c r="AY168" s="55"/>
      <c r="AZ168" s="55"/>
      <c r="BA168" s="149"/>
      <c r="BB168" s="55"/>
      <c r="BC168" s="55"/>
      <c r="BD168" s="55"/>
      <c r="BE168" s="149"/>
      <c r="BF168" s="55"/>
      <c r="BG168" s="54"/>
      <c r="BH168" s="54"/>
      <c r="BI168" s="149"/>
      <c r="BJ168" s="55"/>
      <c r="BK168" s="55"/>
      <c r="BL168" s="55"/>
      <c r="BM168" s="167">
        <f>+AC168+AG168+AK168+AO168+AS168+AW168+BA168+BE168+BI168</f>
        <v>50000000</v>
      </c>
      <c r="BN168" s="167">
        <f>AD168+AH168+AL168+AP168+AT168+AX168+BB168+BF168+BJ168</f>
        <v>53011024</v>
      </c>
      <c r="BO168" s="167">
        <f>AE168+AI168+AM168+AQ168+AU168+AY168+BC168+BG168+BK168</f>
        <v>6083334</v>
      </c>
      <c r="BP168" s="167">
        <f>AF168+AJ168+AN168+AR168+AV168+AZ168+BD168+BH168+BL168</f>
        <v>6083334</v>
      </c>
      <c r="BQ168" s="105"/>
      <c r="BR168" s="167"/>
      <c r="BS168" s="167"/>
      <c r="BT168" s="167"/>
      <c r="BU168" s="105">
        <v>51500000</v>
      </c>
      <c r="BV168" s="167">
        <v>443025</v>
      </c>
      <c r="BW168" s="167">
        <v>443025</v>
      </c>
      <c r="BX168" s="167">
        <v>443025</v>
      </c>
      <c r="BY168" s="167"/>
      <c r="BZ168" s="105"/>
      <c r="CA168" s="167">
        <v>111500000</v>
      </c>
      <c r="CB168" s="167">
        <v>96175100</v>
      </c>
      <c r="CC168" s="167">
        <v>96175100</v>
      </c>
      <c r="CD168" s="167"/>
      <c r="CE168" s="167"/>
      <c r="CF168" s="167"/>
      <c r="CG168" s="167"/>
      <c r="CH168" s="167"/>
      <c r="CI168" s="105"/>
      <c r="CJ168" s="167"/>
      <c r="CK168" s="167"/>
      <c r="CL168" s="167"/>
      <c r="CM168" s="105"/>
      <c r="CN168" s="167"/>
      <c r="CO168" s="167"/>
      <c r="CP168" s="167"/>
      <c r="CQ168" s="105"/>
      <c r="CR168" s="167"/>
      <c r="CS168" s="167"/>
      <c r="CT168" s="167"/>
      <c r="CU168" s="167"/>
      <c r="CV168" s="105"/>
      <c r="CW168" s="167"/>
      <c r="CX168" s="167"/>
      <c r="CY168" s="167"/>
      <c r="CZ168" s="167"/>
      <c r="DA168" s="105"/>
      <c r="DB168" s="167"/>
      <c r="DC168" s="167"/>
      <c r="DD168" s="167"/>
      <c r="DE168" s="179">
        <f>BQ168+BU168+BZ168+CE168+CI168+CM168+CQ168+CV168+DA168</f>
        <v>51500000</v>
      </c>
      <c r="DF168" s="167">
        <f>BR168+BV168+CA168+CF168+CJ168+CN168+CR168+CW168+DB168</f>
        <v>111943025</v>
      </c>
      <c r="DG168" s="167">
        <f>BS168+BW168+CB168+CG168+CK168+CO168+CS168+CX168+DC168</f>
        <v>96618125</v>
      </c>
      <c r="DH168" s="167">
        <f>BT168+BX168+CC168+CH168+CL168+CP168+CT168+CY168+DD168</f>
        <v>96618125</v>
      </c>
      <c r="DI168" s="167"/>
      <c r="DJ168" s="105"/>
      <c r="DK168" s="105"/>
      <c r="DL168" s="105"/>
      <c r="DM168" s="105"/>
      <c r="DN168" s="105">
        <v>53045000</v>
      </c>
      <c r="DO168" s="105"/>
      <c r="DP168" s="105"/>
      <c r="DQ168" s="105"/>
      <c r="DR168" s="105"/>
      <c r="DS168" s="105"/>
      <c r="DT168" s="105">
        <v>80000000</v>
      </c>
      <c r="DU168" s="105">
        <v>66150000</v>
      </c>
      <c r="DV168" s="105">
        <v>66150000</v>
      </c>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12"/>
      <c r="EU168" s="112"/>
      <c r="EV168" s="112"/>
      <c r="EW168" s="81">
        <f>DJ168+DN168+DS168+DX168+EB168+EF168+EJ168+EN168+ES168</f>
        <v>53045000</v>
      </c>
      <c r="EX168" s="86">
        <f>DK168+DO168+DT168+DY168+EC168+EG168+EK168+EO168+ET168</f>
        <v>80000000</v>
      </c>
      <c r="EY168" s="86">
        <f>DL168+DP168+DU168+DZ168+ED168+EH168+EL168+EP168+EU168</f>
        <v>66150000</v>
      </c>
      <c r="EZ168" s="86">
        <f>DM168+DQ168+DV168+EA168+EE168+EI168+EM168+EQ168+EV168</f>
        <v>66150000</v>
      </c>
      <c r="FA168" s="141"/>
      <c r="FB168" s="111"/>
      <c r="FC168" s="86"/>
      <c r="FD168" s="86"/>
      <c r="FE168" s="86"/>
      <c r="FF168" s="141"/>
      <c r="FG168" s="104">
        <v>54636350</v>
      </c>
      <c r="FH168" s="104"/>
      <c r="FI168" s="104"/>
      <c r="FJ168" s="104"/>
      <c r="FK168" s="104"/>
      <c r="FL168" s="104"/>
      <c r="FM168" s="104">
        <v>79500000</v>
      </c>
      <c r="FN168" s="104">
        <v>3975000</v>
      </c>
      <c r="FO168" s="104">
        <v>3975000</v>
      </c>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11"/>
      <c r="GR168" s="111"/>
      <c r="GS168" s="111"/>
      <c r="GT168" s="111"/>
      <c r="GU168" s="81">
        <f>FB168+FG168+FL168+FQ168+FV168+GA168+GF168+GK168+GP168</f>
        <v>54636350</v>
      </c>
      <c r="GV168" s="81">
        <f>GQ168+GL168+GG168+GB168+FW168+FR168+FM168+FH168+FC168</f>
        <v>79500000</v>
      </c>
      <c r="GW168" s="81">
        <f>GR168+GM168+GH168+GC168+FX168+FS168+FN168+FI168+FD168</f>
        <v>3975000</v>
      </c>
      <c r="GX168" s="81">
        <f>GS168+GN168+GI168+GD168+FY168+FT168+FO168+FJ168+FE168</f>
        <v>3975000</v>
      </c>
      <c r="GY168" s="673">
        <f>GT168+GO168+GJ168+GE168+FZ168+FU168+FP168+FK168+FF168</f>
        <v>0</v>
      </c>
      <c r="GZ168" s="102">
        <f>BM168+DE168+EW168+GU168</f>
        <v>209181350</v>
      </c>
    </row>
    <row r="169" spans="1:208" ht="24.75" customHeight="1" x14ac:dyDescent="0.2">
      <c r="A169" s="326"/>
      <c r="B169" s="326"/>
      <c r="C169" s="246">
        <v>31</v>
      </c>
      <c r="D169" s="247" t="s">
        <v>412</v>
      </c>
      <c r="E169" s="294"/>
      <c r="F169" s="250"/>
      <c r="G169" s="249"/>
      <c r="H169" s="249"/>
      <c r="I169" s="249"/>
      <c r="J169" s="249"/>
      <c r="K169" s="249"/>
      <c r="L169" s="249"/>
      <c r="M169" s="249"/>
      <c r="N169" s="249"/>
      <c r="O169" s="249"/>
      <c r="P169" s="249"/>
      <c r="Q169" s="249"/>
      <c r="R169" s="249"/>
      <c r="S169" s="249"/>
      <c r="T169" s="249"/>
      <c r="U169" s="249"/>
      <c r="V169" s="249"/>
      <c r="W169" s="249"/>
      <c r="X169" s="249"/>
      <c r="Y169" s="296"/>
      <c r="Z169" s="249"/>
      <c r="AA169" s="249"/>
      <c r="AB169" s="249"/>
      <c r="AC169" s="192">
        <f t="shared" ref="AC169:BL169" si="338">SUM(AC170)</f>
        <v>0</v>
      </c>
      <c r="AD169" s="192">
        <f t="shared" si="338"/>
        <v>0</v>
      </c>
      <c r="AE169" s="192">
        <f t="shared" si="338"/>
        <v>0</v>
      </c>
      <c r="AF169" s="192">
        <f t="shared" si="338"/>
        <v>0</v>
      </c>
      <c r="AG169" s="192">
        <f t="shared" si="338"/>
        <v>123200000</v>
      </c>
      <c r="AH169" s="192">
        <f t="shared" si="338"/>
        <v>174931667</v>
      </c>
      <c r="AI169" s="192">
        <f t="shared" si="338"/>
        <v>142120667</v>
      </c>
      <c r="AJ169" s="192">
        <f t="shared" si="338"/>
        <v>142120667</v>
      </c>
      <c r="AK169" s="192">
        <f t="shared" si="338"/>
        <v>0</v>
      </c>
      <c r="AL169" s="192">
        <f t="shared" si="338"/>
        <v>12500000</v>
      </c>
      <c r="AM169" s="192">
        <f t="shared" si="338"/>
        <v>12500000</v>
      </c>
      <c r="AN169" s="192">
        <f t="shared" si="338"/>
        <v>12500000</v>
      </c>
      <c r="AO169" s="192">
        <f t="shared" si="338"/>
        <v>0</v>
      </c>
      <c r="AP169" s="192">
        <f t="shared" si="338"/>
        <v>0</v>
      </c>
      <c r="AQ169" s="192">
        <f t="shared" si="338"/>
        <v>0</v>
      </c>
      <c r="AR169" s="192">
        <f t="shared" si="338"/>
        <v>0</v>
      </c>
      <c r="AS169" s="192">
        <f t="shared" si="338"/>
        <v>0</v>
      </c>
      <c r="AT169" s="192">
        <f t="shared" si="338"/>
        <v>0</v>
      </c>
      <c r="AU169" s="192">
        <f t="shared" si="338"/>
        <v>0</v>
      </c>
      <c r="AV169" s="192">
        <f t="shared" si="338"/>
        <v>0</v>
      </c>
      <c r="AW169" s="192">
        <f t="shared" si="338"/>
        <v>0</v>
      </c>
      <c r="AX169" s="192">
        <f t="shared" si="338"/>
        <v>0</v>
      </c>
      <c r="AY169" s="192">
        <f t="shared" si="338"/>
        <v>0</v>
      </c>
      <c r="AZ169" s="192">
        <f t="shared" si="338"/>
        <v>0</v>
      </c>
      <c r="BA169" s="192">
        <f t="shared" si="338"/>
        <v>0</v>
      </c>
      <c r="BB169" s="192">
        <f t="shared" si="338"/>
        <v>0</v>
      </c>
      <c r="BC169" s="192">
        <f t="shared" si="338"/>
        <v>0</v>
      </c>
      <c r="BD169" s="192">
        <f t="shared" si="338"/>
        <v>0</v>
      </c>
      <c r="BE169" s="192">
        <f t="shared" si="338"/>
        <v>0</v>
      </c>
      <c r="BF169" s="192">
        <f t="shared" si="338"/>
        <v>0</v>
      </c>
      <c r="BG169" s="192">
        <f t="shared" si="338"/>
        <v>0</v>
      </c>
      <c r="BH169" s="192">
        <f t="shared" si="338"/>
        <v>0</v>
      </c>
      <c r="BI169" s="192">
        <f t="shared" si="338"/>
        <v>0</v>
      </c>
      <c r="BJ169" s="192">
        <f t="shared" si="338"/>
        <v>0</v>
      </c>
      <c r="BK169" s="192">
        <f t="shared" si="338"/>
        <v>0</v>
      </c>
      <c r="BL169" s="192">
        <f t="shared" si="338"/>
        <v>0</v>
      </c>
      <c r="BM169" s="192">
        <f t="shared" ref="BM169:DX169" si="339">SUM(BM170)</f>
        <v>123200000</v>
      </c>
      <c r="BN169" s="192">
        <f t="shared" si="339"/>
        <v>187431667</v>
      </c>
      <c r="BO169" s="192">
        <f t="shared" si="339"/>
        <v>154620667</v>
      </c>
      <c r="BP169" s="192">
        <f t="shared" si="339"/>
        <v>154620667</v>
      </c>
      <c r="BQ169" s="192">
        <f t="shared" si="339"/>
        <v>0</v>
      </c>
      <c r="BR169" s="192">
        <f t="shared" si="339"/>
        <v>0</v>
      </c>
      <c r="BS169" s="192">
        <f t="shared" si="339"/>
        <v>0</v>
      </c>
      <c r="BT169" s="192">
        <f t="shared" si="339"/>
        <v>0</v>
      </c>
      <c r="BU169" s="192">
        <f t="shared" si="339"/>
        <v>126896000</v>
      </c>
      <c r="BV169" s="192">
        <f t="shared" si="339"/>
        <v>72215489</v>
      </c>
      <c r="BW169" s="192">
        <f t="shared" si="339"/>
        <v>72215489</v>
      </c>
      <c r="BX169" s="192">
        <f t="shared" si="339"/>
        <v>72215489</v>
      </c>
      <c r="BY169" s="192">
        <f t="shared" si="339"/>
        <v>0</v>
      </c>
      <c r="BZ169" s="192">
        <f t="shared" si="339"/>
        <v>0</v>
      </c>
      <c r="CA169" s="192">
        <f t="shared" si="339"/>
        <v>153319244.41999999</v>
      </c>
      <c r="CB169" s="192">
        <f t="shared" si="339"/>
        <v>152988511</v>
      </c>
      <c r="CC169" s="192">
        <f t="shared" si="339"/>
        <v>152988511</v>
      </c>
      <c r="CD169" s="192">
        <f t="shared" si="339"/>
        <v>0</v>
      </c>
      <c r="CE169" s="192">
        <f t="shared" si="339"/>
        <v>0</v>
      </c>
      <c r="CF169" s="192">
        <f t="shared" si="339"/>
        <v>29000000</v>
      </c>
      <c r="CG169" s="192">
        <f t="shared" si="339"/>
        <v>24040000</v>
      </c>
      <c r="CH169" s="192">
        <f t="shared" si="339"/>
        <v>24040000</v>
      </c>
      <c r="CI169" s="192">
        <f t="shared" si="339"/>
        <v>0</v>
      </c>
      <c r="CJ169" s="192">
        <f t="shared" si="339"/>
        <v>0</v>
      </c>
      <c r="CK169" s="192">
        <f t="shared" si="339"/>
        <v>0</v>
      </c>
      <c r="CL169" s="192">
        <f t="shared" si="339"/>
        <v>0</v>
      </c>
      <c r="CM169" s="192">
        <f t="shared" si="339"/>
        <v>0</v>
      </c>
      <c r="CN169" s="192">
        <f t="shared" si="339"/>
        <v>0</v>
      </c>
      <c r="CO169" s="192">
        <f t="shared" si="339"/>
        <v>0</v>
      </c>
      <c r="CP169" s="192">
        <f t="shared" si="339"/>
        <v>0</v>
      </c>
      <c r="CQ169" s="192">
        <f t="shared" si="339"/>
        <v>0</v>
      </c>
      <c r="CR169" s="192">
        <f t="shared" si="339"/>
        <v>0</v>
      </c>
      <c r="CS169" s="192">
        <f t="shared" si="339"/>
        <v>0</v>
      </c>
      <c r="CT169" s="192">
        <f t="shared" si="339"/>
        <v>0</v>
      </c>
      <c r="CU169" s="192">
        <f t="shared" si="339"/>
        <v>0</v>
      </c>
      <c r="CV169" s="192">
        <f t="shared" si="339"/>
        <v>0</v>
      </c>
      <c r="CW169" s="192">
        <f t="shared" si="339"/>
        <v>0</v>
      </c>
      <c r="CX169" s="192">
        <f t="shared" si="339"/>
        <v>0</v>
      </c>
      <c r="CY169" s="192">
        <f t="shared" si="339"/>
        <v>0</v>
      </c>
      <c r="CZ169" s="192">
        <f t="shared" si="339"/>
        <v>0</v>
      </c>
      <c r="DA169" s="192">
        <f t="shared" si="339"/>
        <v>0</v>
      </c>
      <c r="DB169" s="192">
        <f t="shared" si="339"/>
        <v>0</v>
      </c>
      <c r="DC169" s="192">
        <f t="shared" si="339"/>
        <v>0</v>
      </c>
      <c r="DD169" s="192">
        <f t="shared" si="339"/>
        <v>0</v>
      </c>
      <c r="DE169" s="192">
        <f t="shared" si="339"/>
        <v>126896000</v>
      </c>
      <c r="DF169" s="192">
        <f t="shared" si="339"/>
        <v>254534733.41999999</v>
      </c>
      <c r="DG169" s="192">
        <f t="shared" si="339"/>
        <v>249244000</v>
      </c>
      <c r="DH169" s="192">
        <f t="shared" si="339"/>
        <v>249244000</v>
      </c>
      <c r="DI169" s="192">
        <f t="shared" si="339"/>
        <v>0</v>
      </c>
      <c r="DJ169" s="192">
        <f t="shared" si="339"/>
        <v>0</v>
      </c>
      <c r="DK169" s="192">
        <f t="shared" si="339"/>
        <v>0</v>
      </c>
      <c r="DL169" s="192">
        <f t="shared" si="339"/>
        <v>0</v>
      </c>
      <c r="DM169" s="192">
        <f t="shared" si="339"/>
        <v>0</v>
      </c>
      <c r="DN169" s="192">
        <f t="shared" si="339"/>
        <v>130702880</v>
      </c>
      <c r="DO169" s="192">
        <f t="shared" si="339"/>
        <v>28680733</v>
      </c>
      <c r="DP169" s="192">
        <f t="shared" si="339"/>
        <v>330733</v>
      </c>
      <c r="DQ169" s="192">
        <f t="shared" si="339"/>
        <v>330733</v>
      </c>
      <c r="DR169" s="192">
        <f t="shared" si="339"/>
        <v>0</v>
      </c>
      <c r="DS169" s="192">
        <f t="shared" si="339"/>
        <v>0</v>
      </c>
      <c r="DT169" s="192">
        <f t="shared" si="339"/>
        <v>169700000</v>
      </c>
      <c r="DU169" s="192">
        <f t="shared" si="339"/>
        <v>141346407</v>
      </c>
      <c r="DV169" s="192">
        <f t="shared" si="339"/>
        <v>141346407</v>
      </c>
      <c r="DW169" s="192">
        <f t="shared" si="339"/>
        <v>0</v>
      </c>
      <c r="DX169" s="192">
        <f t="shared" si="339"/>
        <v>0</v>
      </c>
      <c r="DY169" s="192">
        <f t="shared" ref="DY169:EW169" si="340">SUM(DY170)</f>
        <v>0</v>
      </c>
      <c r="DZ169" s="192">
        <f t="shared" si="340"/>
        <v>0</v>
      </c>
      <c r="EA169" s="192">
        <f t="shared" si="340"/>
        <v>0</v>
      </c>
      <c r="EB169" s="192">
        <f t="shared" si="340"/>
        <v>0</v>
      </c>
      <c r="EC169" s="192">
        <f t="shared" si="340"/>
        <v>0</v>
      </c>
      <c r="ED169" s="192">
        <f t="shared" si="340"/>
        <v>0</v>
      </c>
      <c r="EE169" s="192">
        <f t="shared" si="340"/>
        <v>0</v>
      </c>
      <c r="EF169" s="192">
        <f t="shared" si="340"/>
        <v>0</v>
      </c>
      <c r="EG169" s="192">
        <f t="shared" si="340"/>
        <v>0</v>
      </c>
      <c r="EH169" s="192">
        <f t="shared" si="340"/>
        <v>0</v>
      </c>
      <c r="EI169" s="192">
        <f t="shared" si="340"/>
        <v>0</v>
      </c>
      <c r="EJ169" s="192">
        <f t="shared" si="340"/>
        <v>0</v>
      </c>
      <c r="EK169" s="192">
        <f t="shared" si="340"/>
        <v>0</v>
      </c>
      <c r="EL169" s="192">
        <f t="shared" si="340"/>
        <v>0</v>
      </c>
      <c r="EM169" s="192">
        <f t="shared" si="340"/>
        <v>0</v>
      </c>
      <c r="EN169" s="192">
        <f t="shared" si="340"/>
        <v>0</v>
      </c>
      <c r="EO169" s="192">
        <f t="shared" si="340"/>
        <v>0</v>
      </c>
      <c r="EP169" s="192">
        <f t="shared" si="340"/>
        <v>0</v>
      </c>
      <c r="EQ169" s="192">
        <f t="shared" si="340"/>
        <v>0</v>
      </c>
      <c r="ER169" s="192">
        <f t="shared" si="340"/>
        <v>0</v>
      </c>
      <c r="ES169" s="192">
        <f t="shared" si="340"/>
        <v>0</v>
      </c>
      <c r="ET169" s="192">
        <f t="shared" si="340"/>
        <v>0</v>
      </c>
      <c r="EU169" s="192">
        <f t="shared" si="340"/>
        <v>0</v>
      </c>
      <c r="EV169" s="192">
        <f t="shared" si="340"/>
        <v>0</v>
      </c>
      <c r="EW169" s="192">
        <f t="shared" si="340"/>
        <v>130702880</v>
      </c>
      <c r="EX169" s="192">
        <f t="shared" ref="EX169:GZ169" si="341">SUM(EX170)</f>
        <v>198380733</v>
      </c>
      <c r="EY169" s="192">
        <f t="shared" si="341"/>
        <v>141677140</v>
      </c>
      <c r="EZ169" s="192">
        <f t="shared" si="341"/>
        <v>141677140</v>
      </c>
      <c r="FA169" s="192">
        <f t="shared" si="341"/>
        <v>0</v>
      </c>
      <c r="FB169" s="192">
        <f t="shared" si="341"/>
        <v>0</v>
      </c>
      <c r="FC169" s="192">
        <f t="shared" si="341"/>
        <v>0</v>
      </c>
      <c r="FD169" s="192">
        <f t="shared" si="341"/>
        <v>0</v>
      </c>
      <c r="FE169" s="192">
        <f t="shared" si="341"/>
        <v>0</v>
      </c>
      <c r="FF169" s="192">
        <f t="shared" si="341"/>
        <v>0</v>
      </c>
      <c r="FG169" s="192">
        <f t="shared" si="341"/>
        <v>134623966.40000001</v>
      </c>
      <c r="FH169" s="192">
        <f t="shared" si="341"/>
        <v>71832831</v>
      </c>
      <c r="FI169" s="192">
        <f t="shared" si="341"/>
        <v>15000000</v>
      </c>
      <c r="FJ169" s="192">
        <f t="shared" si="341"/>
        <v>0</v>
      </c>
      <c r="FK169" s="192">
        <f t="shared" si="341"/>
        <v>0</v>
      </c>
      <c r="FL169" s="192">
        <f t="shared" si="341"/>
        <v>0</v>
      </c>
      <c r="FM169" s="192">
        <f t="shared" si="341"/>
        <v>173590744</v>
      </c>
      <c r="FN169" s="192">
        <f t="shared" si="341"/>
        <v>71780000</v>
      </c>
      <c r="FO169" s="192">
        <f t="shared" si="341"/>
        <v>37615000</v>
      </c>
      <c r="FP169" s="192">
        <f t="shared" si="341"/>
        <v>0</v>
      </c>
      <c r="FQ169" s="192">
        <f t="shared" si="341"/>
        <v>0</v>
      </c>
      <c r="FR169" s="192">
        <f t="shared" si="341"/>
        <v>0</v>
      </c>
      <c r="FS169" s="192">
        <f t="shared" si="341"/>
        <v>0</v>
      </c>
      <c r="FT169" s="192">
        <f t="shared" si="341"/>
        <v>0</v>
      </c>
      <c r="FU169" s="192">
        <f t="shared" si="341"/>
        <v>0</v>
      </c>
      <c r="FV169" s="192">
        <f t="shared" si="341"/>
        <v>0</v>
      </c>
      <c r="FW169" s="192">
        <f t="shared" si="341"/>
        <v>0</v>
      </c>
      <c r="FX169" s="192">
        <f t="shared" si="341"/>
        <v>0</v>
      </c>
      <c r="FY169" s="192">
        <f t="shared" si="341"/>
        <v>0</v>
      </c>
      <c r="FZ169" s="192">
        <f t="shared" si="341"/>
        <v>0</v>
      </c>
      <c r="GA169" s="192">
        <f t="shared" si="341"/>
        <v>0</v>
      </c>
      <c r="GB169" s="192">
        <f t="shared" si="341"/>
        <v>0</v>
      </c>
      <c r="GC169" s="192">
        <f t="shared" si="341"/>
        <v>0</v>
      </c>
      <c r="GD169" s="192">
        <f t="shared" si="341"/>
        <v>0</v>
      </c>
      <c r="GE169" s="192">
        <f t="shared" si="341"/>
        <v>0</v>
      </c>
      <c r="GF169" s="192">
        <f t="shared" si="341"/>
        <v>0</v>
      </c>
      <c r="GG169" s="192">
        <f t="shared" si="341"/>
        <v>0</v>
      </c>
      <c r="GH169" s="192">
        <f t="shared" si="341"/>
        <v>0</v>
      </c>
      <c r="GI169" s="192">
        <f t="shared" si="341"/>
        <v>0</v>
      </c>
      <c r="GJ169" s="192">
        <f t="shared" si="341"/>
        <v>0</v>
      </c>
      <c r="GK169" s="192">
        <f t="shared" si="341"/>
        <v>0</v>
      </c>
      <c r="GL169" s="192">
        <f t="shared" si="341"/>
        <v>0</v>
      </c>
      <c r="GM169" s="192">
        <f t="shared" si="341"/>
        <v>0</v>
      </c>
      <c r="GN169" s="192">
        <f t="shared" si="341"/>
        <v>0</v>
      </c>
      <c r="GO169" s="192">
        <f t="shared" si="341"/>
        <v>0</v>
      </c>
      <c r="GP169" s="192">
        <f t="shared" si="341"/>
        <v>0</v>
      </c>
      <c r="GQ169" s="192">
        <f t="shared" si="341"/>
        <v>0</v>
      </c>
      <c r="GR169" s="192">
        <f t="shared" si="341"/>
        <v>0</v>
      </c>
      <c r="GS169" s="192">
        <f t="shared" si="341"/>
        <v>0</v>
      </c>
      <c r="GT169" s="192">
        <f t="shared" si="341"/>
        <v>0</v>
      </c>
      <c r="GU169" s="192">
        <f t="shared" si="341"/>
        <v>134623966.40000001</v>
      </c>
      <c r="GV169" s="192">
        <f t="shared" si="341"/>
        <v>245423575</v>
      </c>
      <c r="GW169" s="192">
        <f t="shared" si="341"/>
        <v>86780000</v>
      </c>
      <c r="GX169" s="192">
        <f t="shared" si="341"/>
        <v>37615000</v>
      </c>
      <c r="GY169" s="192">
        <f t="shared" si="341"/>
        <v>0</v>
      </c>
      <c r="GZ169" s="605">
        <f t="shared" si="341"/>
        <v>515422846.39999998</v>
      </c>
    </row>
    <row r="170" spans="1:208" ht="107.25" customHeight="1" x14ac:dyDescent="0.2">
      <c r="A170" s="326"/>
      <c r="B170" s="372"/>
      <c r="C170" s="288">
        <v>14</v>
      </c>
      <c r="D170" s="258" t="s">
        <v>413</v>
      </c>
      <c r="E170" s="259" t="s">
        <v>275</v>
      </c>
      <c r="F170" s="377">
        <v>0.03</v>
      </c>
      <c r="G170" s="265">
        <v>118</v>
      </c>
      <c r="H170" s="261" t="s">
        <v>414</v>
      </c>
      <c r="I170" s="275" t="s">
        <v>415</v>
      </c>
      <c r="J170" s="1002" t="s">
        <v>401</v>
      </c>
      <c r="K170" s="1028">
        <v>5</v>
      </c>
      <c r="L170" s="458" t="s">
        <v>73</v>
      </c>
      <c r="M170" s="288">
        <v>16</v>
      </c>
      <c r="N170" s="288">
        <v>20</v>
      </c>
      <c r="O170" s="417">
        <v>4</v>
      </c>
      <c r="P170" s="418">
        <v>5</v>
      </c>
      <c r="Q170" s="456">
        <v>6</v>
      </c>
      <c r="R170" s="268"/>
      <c r="S170" s="457">
        <v>8</v>
      </c>
      <c r="T170" s="456">
        <v>6</v>
      </c>
      <c r="U170" s="456"/>
      <c r="V170" s="457">
        <v>6</v>
      </c>
      <c r="W170" s="456">
        <v>4</v>
      </c>
      <c r="X170" s="458"/>
      <c r="Y170" s="638">
        <v>5</v>
      </c>
      <c r="Z170" s="1029">
        <f>BM170/BM169</f>
        <v>1</v>
      </c>
      <c r="AA170" s="264">
        <v>4</v>
      </c>
      <c r="AB170" s="290" t="s">
        <v>114</v>
      </c>
      <c r="AC170" s="120"/>
      <c r="AD170" s="55"/>
      <c r="AE170" s="54"/>
      <c r="AF170" s="54"/>
      <c r="AG170" s="57">
        <v>123200000</v>
      </c>
      <c r="AH170" s="57">
        <v>174931667</v>
      </c>
      <c r="AI170" s="55">
        <v>142120667</v>
      </c>
      <c r="AJ170" s="55">
        <v>142120667</v>
      </c>
      <c r="AK170" s="120"/>
      <c r="AL170" s="55">
        <v>12500000</v>
      </c>
      <c r="AM170" s="55">
        <v>12500000</v>
      </c>
      <c r="AN170" s="55">
        <v>12500000</v>
      </c>
      <c r="AO170" s="120"/>
      <c r="AP170" s="55"/>
      <c r="AQ170" s="55"/>
      <c r="AR170" s="55"/>
      <c r="AS170" s="120"/>
      <c r="AT170" s="55"/>
      <c r="AU170" s="54"/>
      <c r="AV170" s="54"/>
      <c r="AW170" s="120"/>
      <c r="AX170" s="55"/>
      <c r="AY170" s="55"/>
      <c r="AZ170" s="55"/>
      <c r="BA170" s="120"/>
      <c r="BB170" s="55"/>
      <c r="BC170" s="55"/>
      <c r="BD170" s="55"/>
      <c r="BE170" s="120"/>
      <c r="BF170" s="55"/>
      <c r="BG170" s="54"/>
      <c r="BH170" s="54"/>
      <c r="BI170" s="120"/>
      <c r="BJ170" s="55"/>
      <c r="BK170" s="55"/>
      <c r="BL170" s="55"/>
      <c r="BM170" s="53">
        <f>+AC170+AG170+AK170+AO170+AS170+AW170+BA170+BE170+BI170</f>
        <v>123200000</v>
      </c>
      <c r="BN170" s="54">
        <f>AD170+AH170+AL170+AP170+AT170+AX170+BB170+BF170+BJ170</f>
        <v>187431667</v>
      </c>
      <c r="BO170" s="54">
        <f>AE170+AI170+AM170+AQ170+AU170+AY170+BC170+BG170+BK170</f>
        <v>154620667</v>
      </c>
      <c r="BP170" s="54">
        <f>AF170+AJ170+AN170+AR170+AV170+AZ170+BD170+BH170+BL170</f>
        <v>154620667</v>
      </c>
      <c r="BQ170" s="83"/>
      <c r="BR170" s="83"/>
      <c r="BS170" s="83"/>
      <c r="BT170" s="83"/>
      <c r="BU170" s="83">
        <v>126896000</v>
      </c>
      <c r="BV170" s="83">
        <v>72215489</v>
      </c>
      <c r="BW170" s="83">
        <v>72215489</v>
      </c>
      <c r="BX170" s="83">
        <v>72215489</v>
      </c>
      <c r="BY170" s="83"/>
      <c r="BZ170" s="83"/>
      <c r="CA170" s="83">
        <v>153319244.41999999</v>
      </c>
      <c r="CB170" s="83">
        <v>152988511</v>
      </c>
      <c r="CC170" s="83">
        <v>152988511</v>
      </c>
      <c r="CD170" s="83"/>
      <c r="CE170" s="83"/>
      <c r="CF170" s="82">
        <v>29000000</v>
      </c>
      <c r="CG170" s="83">
        <v>24040000</v>
      </c>
      <c r="CH170" s="83">
        <v>24040000</v>
      </c>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1">
        <f>BQ170+BU170+BZ170+CE170+CI170+CM170+CQ170+CV170+DA170</f>
        <v>126896000</v>
      </c>
      <c r="DF170" s="95">
        <f>BR170+BV170+CA170+CF170+CJ170+CN170+CR170+CW170+DB170</f>
        <v>254534733.41999999</v>
      </c>
      <c r="DG170" s="95">
        <f>BS170+BW170+CB170+CG170+CK170+CO170+CS170+CX170+DC170</f>
        <v>249244000</v>
      </c>
      <c r="DH170" s="95">
        <f>BT170+BX170+CC170+CH170+CL170+CP170+CT170+CY170+DD170</f>
        <v>249244000</v>
      </c>
      <c r="DI170" s="95"/>
      <c r="DJ170" s="84"/>
      <c r="DK170" s="65"/>
      <c r="DL170" s="84"/>
      <c r="DM170" s="84"/>
      <c r="DN170" s="84">
        <v>130702880</v>
      </c>
      <c r="DO170" s="84">
        <f>[4]METAS!$O$25+[4]METAS!$O$26</f>
        <v>28680733</v>
      </c>
      <c r="DP170" s="84">
        <v>330733</v>
      </c>
      <c r="DQ170" s="84">
        <v>330733</v>
      </c>
      <c r="DR170" s="84"/>
      <c r="DS170" s="84"/>
      <c r="DT170" s="84">
        <v>169700000</v>
      </c>
      <c r="DU170" s="84">
        <v>141346407</v>
      </c>
      <c r="DV170" s="84">
        <v>141346407</v>
      </c>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3"/>
      <c r="EU170" s="83"/>
      <c r="EV170" s="83"/>
      <c r="EW170" s="81">
        <f>DJ170+DN170+DS170+DX170+EB170+EF170+EJ170+EN170+ES170</f>
        <v>130702880</v>
      </c>
      <c r="EX170" s="86">
        <f>DK170+DO170+DT170+DY170+EC170+EG170+EK170+EO170+ET170</f>
        <v>198380733</v>
      </c>
      <c r="EY170" s="86">
        <f>DL170+DP170+DU170+DZ170+ED170+EH170+EL170+EP170+EU170</f>
        <v>141677140</v>
      </c>
      <c r="EZ170" s="86">
        <f>DM170+DQ170+DV170+EA170+EE170+EI170+EM170+EQ170+EV170</f>
        <v>141677140</v>
      </c>
      <c r="FA170" s="176"/>
      <c r="FB170" s="83"/>
      <c r="FC170" s="84"/>
      <c r="FD170" s="84"/>
      <c r="FE170" s="84"/>
      <c r="FF170" s="140"/>
      <c r="FG170" s="83">
        <v>134623966.40000001</v>
      </c>
      <c r="FH170" s="83">
        <v>71832831</v>
      </c>
      <c r="FI170" s="83">
        <v>15000000</v>
      </c>
      <c r="FJ170" s="83"/>
      <c r="FK170" s="83"/>
      <c r="FL170" s="83"/>
      <c r="FM170" s="610">
        <v>173590744</v>
      </c>
      <c r="FN170" s="610">
        <v>71780000</v>
      </c>
      <c r="FO170" s="610">
        <v>37615000</v>
      </c>
      <c r="FP170" s="610"/>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1">
        <f>FB170+FG170+FL170+FQ170+FV170+GA170+GF170+GK170+GP170</f>
        <v>134623966.40000001</v>
      </c>
      <c r="GV170" s="81">
        <f>GQ170+GL170+GG170+GB170+FW170+FR170+FM170+FH170+FC170</f>
        <v>245423575</v>
      </c>
      <c r="GW170" s="81">
        <f>GR170+GM170+GH170+GC170+FX170+FS170+FN170+FI170+FD170</f>
        <v>86780000</v>
      </c>
      <c r="GX170" s="81">
        <f>GS170+GN170+GI170+GD170+FY170+FT170+FO170+FJ170+FE170</f>
        <v>37615000</v>
      </c>
      <c r="GY170" s="673">
        <f>GT170+GO170+GJ170+GE170+FZ170+FU170+FP170+FK170+FF170</f>
        <v>0</v>
      </c>
      <c r="GZ170" s="67">
        <f>BM170+DE170+EW170+GU170</f>
        <v>515422846.39999998</v>
      </c>
    </row>
    <row r="171" spans="1:208" ht="24.75" customHeight="1" x14ac:dyDescent="0.2">
      <c r="A171" s="326"/>
      <c r="B171" s="234">
        <v>10</v>
      </c>
      <c r="C171" s="324" t="s">
        <v>416</v>
      </c>
      <c r="D171" s="236"/>
      <c r="E171" s="236"/>
      <c r="F171" s="236"/>
      <c r="G171" s="325"/>
      <c r="H171" s="325"/>
      <c r="I171" s="325"/>
      <c r="J171" s="325"/>
      <c r="K171" s="325"/>
      <c r="L171" s="325"/>
      <c r="M171" s="325"/>
      <c r="N171" s="325"/>
      <c r="O171" s="325"/>
      <c r="P171" s="325"/>
      <c r="Q171" s="325"/>
      <c r="R171" s="325"/>
      <c r="S171" s="325"/>
      <c r="T171" s="325"/>
      <c r="U171" s="325"/>
      <c r="V171" s="325"/>
      <c r="W171" s="325"/>
      <c r="X171" s="325"/>
      <c r="Y171" s="627"/>
      <c r="Z171" s="325"/>
      <c r="AA171" s="325"/>
      <c r="AB171" s="325"/>
      <c r="AC171" s="50">
        <f t="shared" ref="AC171:CN171" si="342">+AC172+AC174</f>
        <v>0</v>
      </c>
      <c r="AD171" s="50">
        <f t="shared" si="342"/>
        <v>0</v>
      </c>
      <c r="AE171" s="50">
        <f t="shared" si="342"/>
        <v>0</v>
      </c>
      <c r="AF171" s="50">
        <f t="shared" si="342"/>
        <v>0</v>
      </c>
      <c r="AG171" s="50">
        <f t="shared" si="342"/>
        <v>333032525</v>
      </c>
      <c r="AH171" s="50">
        <f t="shared" si="342"/>
        <v>312865735</v>
      </c>
      <c r="AI171" s="50">
        <f t="shared" si="342"/>
        <v>158252651</v>
      </c>
      <c r="AJ171" s="50">
        <f t="shared" si="342"/>
        <v>158252651</v>
      </c>
      <c r="AK171" s="50">
        <f t="shared" si="342"/>
        <v>90000000</v>
      </c>
      <c r="AL171" s="50">
        <f t="shared" si="342"/>
        <v>90000000</v>
      </c>
      <c r="AM171" s="50">
        <f t="shared" si="342"/>
        <v>88000000</v>
      </c>
      <c r="AN171" s="50">
        <f t="shared" si="342"/>
        <v>88000000</v>
      </c>
      <c r="AO171" s="50">
        <f t="shared" si="342"/>
        <v>0</v>
      </c>
      <c r="AP171" s="50">
        <f t="shared" si="342"/>
        <v>0</v>
      </c>
      <c r="AQ171" s="50">
        <f t="shared" si="342"/>
        <v>0</v>
      </c>
      <c r="AR171" s="50">
        <f t="shared" si="342"/>
        <v>0</v>
      </c>
      <c r="AS171" s="50">
        <f t="shared" si="342"/>
        <v>0</v>
      </c>
      <c r="AT171" s="50">
        <f t="shared" si="342"/>
        <v>0</v>
      </c>
      <c r="AU171" s="50">
        <f t="shared" si="342"/>
        <v>0</v>
      </c>
      <c r="AV171" s="50">
        <f t="shared" si="342"/>
        <v>0</v>
      </c>
      <c r="AW171" s="50">
        <f t="shared" si="342"/>
        <v>0</v>
      </c>
      <c r="AX171" s="50">
        <f t="shared" si="342"/>
        <v>0</v>
      </c>
      <c r="AY171" s="50">
        <f t="shared" si="342"/>
        <v>0</v>
      </c>
      <c r="AZ171" s="50">
        <f t="shared" si="342"/>
        <v>0</v>
      </c>
      <c r="BA171" s="50">
        <f t="shared" si="342"/>
        <v>0</v>
      </c>
      <c r="BB171" s="50">
        <f t="shared" si="342"/>
        <v>0</v>
      </c>
      <c r="BC171" s="50">
        <f t="shared" si="342"/>
        <v>0</v>
      </c>
      <c r="BD171" s="50">
        <f t="shared" si="342"/>
        <v>0</v>
      </c>
      <c r="BE171" s="50">
        <f t="shared" si="342"/>
        <v>0</v>
      </c>
      <c r="BF171" s="50">
        <f t="shared" si="342"/>
        <v>0</v>
      </c>
      <c r="BG171" s="50">
        <f t="shared" si="342"/>
        <v>0</v>
      </c>
      <c r="BH171" s="50">
        <f t="shared" si="342"/>
        <v>0</v>
      </c>
      <c r="BI171" s="50">
        <f t="shared" si="342"/>
        <v>0</v>
      </c>
      <c r="BJ171" s="50">
        <f t="shared" si="342"/>
        <v>0</v>
      </c>
      <c r="BK171" s="50">
        <f t="shared" si="342"/>
        <v>0</v>
      </c>
      <c r="BL171" s="50">
        <f t="shared" si="342"/>
        <v>0</v>
      </c>
      <c r="BM171" s="50">
        <f t="shared" si="342"/>
        <v>423032525</v>
      </c>
      <c r="BN171" s="50">
        <f t="shared" si="342"/>
        <v>402865735</v>
      </c>
      <c r="BO171" s="50">
        <f t="shared" si="342"/>
        <v>246252651</v>
      </c>
      <c r="BP171" s="50">
        <f t="shared" si="342"/>
        <v>246252651</v>
      </c>
      <c r="BQ171" s="50">
        <f t="shared" si="342"/>
        <v>0</v>
      </c>
      <c r="BR171" s="50">
        <f t="shared" si="342"/>
        <v>0</v>
      </c>
      <c r="BS171" s="50">
        <f t="shared" si="342"/>
        <v>0</v>
      </c>
      <c r="BT171" s="50">
        <f t="shared" si="342"/>
        <v>0</v>
      </c>
      <c r="BU171" s="50">
        <f t="shared" si="342"/>
        <v>236949833</v>
      </c>
      <c r="BV171" s="50">
        <f t="shared" si="342"/>
        <v>185613084</v>
      </c>
      <c r="BW171" s="50">
        <f t="shared" si="342"/>
        <v>117355100</v>
      </c>
      <c r="BX171" s="50">
        <f t="shared" si="342"/>
        <v>117355100</v>
      </c>
      <c r="BY171" s="50">
        <f t="shared" si="342"/>
        <v>0</v>
      </c>
      <c r="BZ171" s="50">
        <f t="shared" si="342"/>
        <v>233900000</v>
      </c>
      <c r="CA171" s="50">
        <f t="shared" si="342"/>
        <v>500577643</v>
      </c>
      <c r="CB171" s="50">
        <f t="shared" si="342"/>
        <v>350969866</v>
      </c>
      <c r="CC171" s="50">
        <f t="shared" si="342"/>
        <v>350969866</v>
      </c>
      <c r="CD171" s="50">
        <f t="shared" si="342"/>
        <v>0</v>
      </c>
      <c r="CE171" s="50">
        <f t="shared" si="342"/>
        <v>0</v>
      </c>
      <c r="CF171" s="50">
        <f t="shared" si="342"/>
        <v>0</v>
      </c>
      <c r="CG171" s="50">
        <f t="shared" si="342"/>
        <v>0</v>
      </c>
      <c r="CH171" s="50">
        <f t="shared" si="342"/>
        <v>0</v>
      </c>
      <c r="CI171" s="50">
        <f t="shared" si="342"/>
        <v>0</v>
      </c>
      <c r="CJ171" s="50">
        <f t="shared" si="342"/>
        <v>0</v>
      </c>
      <c r="CK171" s="50">
        <f t="shared" si="342"/>
        <v>0</v>
      </c>
      <c r="CL171" s="50">
        <f t="shared" si="342"/>
        <v>0</v>
      </c>
      <c r="CM171" s="50">
        <f t="shared" si="342"/>
        <v>0</v>
      </c>
      <c r="CN171" s="50">
        <f t="shared" si="342"/>
        <v>0</v>
      </c>
      <c r="CO171" s="50">
        <f t="shared" ref="CO171:EV171" si="343">+CO172+CO174</f>
        <v>0</v>
      </c>
      <c r="CP171" s="50">
        <f t="shared" si="343"/>
        <v>0</v>
      </c>
      <c r="CQ171" s="50">
        <f t="shared" si="343"/>
        <v>0</v>
      </c>
      <c r="CR171" s="50">
        <f t="shared" si="343"/>
        <v>0</v>
      </c>
      <c r="CS171" s="50">
        <f t="shared" si="343"/>
        <v>0</v>
      </c>
      <c r="CT171" s="50">
        <f t="shared" si="343"/>
        <v>0</v>
      </c>
      <c r="CU171" s="50">
        <f t="shared" si="343"/>
        <v>0</v>
      </c>
      <c r="CV171" s="50">
        <f t="shared" si="343"/>
        <v>0</v>
      </c>
      <c r="CW171" s="50">
        <f t="shared" si="343"/>
        <v>0</v>
      </c>
      <c r="CX171" s="50">
        <f t="shared" si="343"/>
        <v>0</v>
      </c>
      <c r="CY171" s="50">
        <f t="shared" si="343"/>
        <v>0</v>
      </c>
      <c r="CZ171" s="50">
        <f t="shared" si="343"/>
        <v>0</v>
      </c>
      <c r="DA171" s="50">
        <f t="shared" si="343"/>
        <v>0</v>
      </c>
      <c r="DB171" s="50">
        <f t="shared" si="343"/>
        <v>0</v>
      </c>
      <c r="DC171" s="50">
        <f t="shared" si="343"/>
        <v>0</v>
      </c>
      <c r="DD171" s="50">
        <f t="shared" si="343"/>
        <v>0</v>
      </c>
      <c r="DE171" s="50">
        <f t="shared" si="343"/>
        <v>470849833</v>
      </c>
      <c r="DF171" s="50">
        <f t="shared" si="343"/>
        <v>686190727</v>
      </c>
      <c r="DG171" s="50">
        <f t="shared" si="343"/>
        <v>468324966</v>
      </c>
      <c r="DH171" s="50">
        <f t="shared" si="343"/>
        <v>468324966</v>
      </c>
      <c r="DI171" s="50">
        <f t="shared" si="343"/>
        <v>0</v>
      </c>
      <c r="DJ171" s="50">
        <f t="shared" si="343"/>
        <v>0</v>
      </c>
      <c r="DK171" s="50">
        <f t="shared" si="343"/>
        <v>0</v>
      </c>
      <c r="DL171" s="50">
        <f t="shared" si="343"/>
        <v>0</v>
      </c>
      <c r="DM171" s="50">
        <f t="shared" si="343"/>
        <v>0</v>
      </c>
      <c r="DN171" s="50">
        <f t="shared" si="343"/>
        <v>244058328</v>
      </c>
      <c r="DO171" s="50">
        <f t="shared" si="343"/>
        <v>594501361</v>
      </c>
      <c r="DP171" s="50">
        <f t="shared" si="343"/>
        <v>92059385</v>
      </c>
      <c r="DQ171" s="50">
        <f t="shared" si="343"/>
        <v>92059385</v>
      </c>
      <c r="DR171" s="50">
        <f t="shared" si="343"/>
        <v>0</v>
      </c>
      <c r="DS171" s="50">
        <f t="shared" si="343"/>
        <v>74647000</v>
      </c>
      <c r="DT171" s="50">
        <f t="shared" si="343"/>
        <v>230000000</v>
      </c>
      <c r="DU171" s="50">
        <f t="shared" si="343"/>
        <v>229079000</v>
      </c>
      <c r="DV171" s="50">
        <f t="shared" si="343"/>
        <v>229079000</v>
      </c>
      <c r="DW171" s="50">
        <f t="shared" si="343"/>
        <v>0</v>
      </c>
      <c r="DX171" s="50">
        <f t="shared" si="343"/>
        <v>0</v>
      </c>
      <c r="DY171" s="50">
        <f t="shared" si="343"/>
        <v>176268649</v>
      </c>
      <c r="DZ171" s="50">
        <f t="shared" si="343"/>
        <v>35690915</v>
      </c>
      <c r="EA171" s="50">
        <f t="shared" si="343"/>
        <v>35690915</v>
      </c>
      <c r="EB171" s="50">
        <f t="shared" si="343"/>
        <v>0</v>
      </c>
      <c r="EC171" s="50">
        <f t="shared" si="343"/>
        <v>0</v>
      </c>
      <c r="ED171" s="50">
        <f t="shared" si="343"/>
        <v>0</v>
      </c>
      <c r="EE171" s="50">
        <f t="shared" si="343"/>
        <v>0</v>
      </c>
      <c r="EF171" s="50">
        <f t="shared" si="343"/>
        <v>0</v>
      </c>
      <c r="EG171" s="50">
        <f t="shared" si="343"/>
        <v>0</v>
      </c>
      <c r="EH171" s="50">
        <f t="shared" si="343"/>
        <v>0</v>
      </c>
      <c r="EI171" s="50">
        <f t="shared" si="343"/>
        <v>0</v>
      </c>
      <c r="EJ171" s="50">
        <f t="shared" si="343"/>
        <v>0</v>
      </c>
      <c r="EK171" s="50">
        <f t="shared" si="343"/>
        <v>0</v>
      </c>
      <c r="EL171" s="50">
        <f t="shared" si="343"/>
        <v>0</v>
      </c>
      <c r="EM171" s="50">
        <f t="shared" si="343"/>
        <v>0</v>
      </c>
      <c r="EN171" s="50">
        <f t="shared" si="343"/>
        <v>0</v>
      </c>
      <c r="EO171" s="50">
        <f t="shared" si="343"/>
        <v>0</v>
      </c>
      <c r="EP171" s="50">
        <f t="shared" si="343"/>
        <v>0</v>
      </c>
      <c r="EQ171" s="50">
        <f t="shared" si="343"/>
        <v>0</v>
      </c>
      <c r="ER171" s="50">
        <f t="shared" si="343"/>
        <v>0</v>
      </c>
      <c r="ES171" s="50">
        <f t="shared" si="343"/>
        <v>0</v>
      </c>
      <c r="ET171" s="50">
        <f t="shared" si="343"/>
        <v>0</v>
      </c>
      <c r="EU171" s="50">
        <f t="shared" si="343"/>
        <v>0</v>
      </c>
      <c r="EV171" s="50">
        <f t="shared" si="343"/>
        <v>0</v>
      </c>
      <c r="EW171" s="50">
        <f t="shared" ref="EW171" si="344">+EW172+EW174</f>
        <v>318705328</v>
      </c>
      <c r="EX171" s="50">
        <f t="shared" ref="EX171:GZ171" si="345">+EX172+EX174</f>
        <v>1000770010</v>
      </c>
      <c r="EY171" s="50">
        <f t="shared" si="345"/>
        <v>356829300</v>
      </c>
      <c r="EZ171" s="50">
        <f t="shared" si="345"/>
        <v>356829300</v>
      </c>
      <c r="FA171" s="50">
        <f t="shared" si="345"/>
        <v>0</v>
      </c>
      <c r="FB171" s="50">
        <f t="shared" si="345"/>
        <v>0</v>
      </c>
      <c r="FC171" s="50">
        <f t="shared" si="345"/>
        <v>0</v>
      </c>
      <c r="FD171" s="50">
        <f t="shared" si="345"/>
        <v>0</v>
      </c>
      <c r="FE171" s="50">
        <f t="shared" si="345"/>
        <v>0</v>
      </c>
      <c r="FF171" s="50">
        <f t="shared" si="345"/>
        <v>0</v>
      </c>
      <c r="FG171" s="50">
        <f t="shared" si="345"/>
        <v>251380078</v>
      </c>
      <c r="FH171" s="50">
        <f t="shared" si="345"/>
        <v>219596501</v>
      </c>
      <c r="FI171" s="50">
        <f t="shared" si="345"/>
        <v>135656591</v>
      </c>
      <c r="FJ171" s="50">
        <f t="shared" si="345"/>
        <v>19355000</v>
      </c>
      <c r="FK171" s="50">
        <f t="shared" si="345"/>
        <v>0</v>
      </c>
      <c r="FL171" s="50">
        <f t="shared" si="345"/>
        <v>45000000</v>
      </c>
      <c r="FM171" s="50">
        <f t="shared" si="345"/>
        <v>228580526</v>
      </c>
      <c r="FN171" s="50">
        <f t="shared" si="345"/>
        <v>175938300</v>
      </c>
      <c r="FO171" s="50">
        <f t="shared" si="345"/>
        <v>38720300</v>
      </c>
      <c r="FP171" s="50">
        <f t="shared" si="345"/>
        <v>0</v>
      </c>
      <c r="FQ171" s="50">
        <f t="shared" si="345"/>
        <v>0</v>
      </c>
      <c r="FR171" s="50">
        <f t="shared" si="345"/>
        <v>182000000</v>
      </c>
      <c r="FS171" s="50">
        <f t="shared" si="345"/>
        <v>155308483</v>
      </c>
      <c r="FT171" s="50">
        <f t="shared" si="345"/>
        <v>0</v>
      </c>
      <c r="FU171" s="50">
        <f t="shared" si="345"/>
        <v>0</v>
      </c>
      <c r="FV171" s="50">
        <f t="shared" si="345"/>
        <v>0</v>
      </c>
      <c r="FW171" s="50">
        <f t="shared" si="345"/>
        <v>0</v>
      </c>
      <c r="FX171" s="50">
        <f t="shared" si="345"/>
        <v>0</v>
      </c>
      <c r="FY171" s="50">
        <f t="shared" si="345"/>
        <v>0</v>
      </c>
      <c r="FZ171" s="50">
        <f t="shared" si="345"/>
        <v>0</v>
      </c>
      <c r="GA171" s="50">
        <f t="shared" si="345"/>
        <v>0</v>
      </c>
      <c r="GB171" s="50">
        <f t="shared" si="345"/>
        <v>0</v>
      </c>
      <c r="GC171" s="50">
        <f t="shared" si="345"/>
        <v>0</v>
      </c>
      <c r="GD171" s="50">
        <f t="shared" si="345"/>
        <v>0</v>
      </c>
      <c r="GE171" s="50">
        <f t="shared" si="345"/>
        <v>0</v>
      </c>
      <c r="GF171" s="50">
        <f t="shared" si="345"/>
        <v>0</v>
      </c>
      <c r="GG171" s="50">
        <f t="shared" si="345"/>
        <v>0</v>
      </c>
      <c r="GH171" s="50">
        <f t="shared" si="345"/>
        <v>0</v>
      </c>
      <c r="GI171" s="50">
        <f t="shared" si="345"/>
        <v>0</v>
      </c>
      <c r="GJ171" s="50">
        <f t="shared" si="345"/>
        <v>0</v>
      </c>
      <c r="GK171" s="50">
        <f t="shared" si="345"/>
        <v>0</v>
      </c>
      <c r="GL171" s="50">
        <f t="shared" si="345"/>
        <v>0</v>
      </c>
      <c r="GM171" s="50">
        <f t="shared" si="345"/>
        <v>0</v>
      </c>
      <c r="GN171" s="50">
        <f t="shared" si="345"/>
        <v>0</v>
      </c>
      <c r="GO171" s="50">
        <f t="shared" si="345"/>
        <v>0</v>
      </c>
      <c r="GP171" s="50">
        <f t="shared" si="345"/>
        <v>0</v>
      </c>
      <c r="GQ171" s="50">
        <f t="shared" si="345"/>
        <v>0</v>
      </c>
      <c r="GR171" s="50">
        <f t="shared" si="345"/>
        <v>0</v>
      </c>
      <c r="GS171" s="50">
        <f t="shared" si="345"/>
        <v>0</v>
      </c>
      <c r="GT171" s="50">
        <f t="shared" si="345"/>
        <v>0</v>
      </c>
      <c r="GU171" s="50">
        <f t="shared" si="345"/>
        <v>296380078</v>
      </c>
      <c r="GV171" s="50">
        <f t="shared" si="345"/>
        <v>630177027</v>
      </c>
      <c r="GW171" s="50">
        <f t="shared" si="345"/>
        <v>466903374</v>
      </c>
      <c r="GX171" s="50">
        <f t="shared" si="345"/>
        <v>58075300</v>
      </c>
      <c r="GY171" s="50">
        <f t="shared" si="345"/>
        <v>0</v>
      </c>
      <c r="GZ171" s="50">
        <f t="shared" si="345"/>
        <v>1508967764</v>
      </c>
    </row>
    <row r="172" spans="1:208" ht="24.75" customHeight="1" x14ac:dyDescent="0.2">
      <c r="A172" s="326"/>
      <c r="B172" s="993"/>
      <c r="C172" s="246">
        <v>32</v>
      </c>
      <c r="D172" s="247" t="s">
        <v>417</v>
      </c>
      <c r="E172" s="250"/>
      <c r="F172" s="250"/>
      <c r="G172" s="249"/>
      <c r="H172" s="249"/>
      <c r="I172" s="249"/>
      <c r="J172" s="249"/>
      <c r="K172" s="249"/>
      <c r="L172" s="249"/>
      <c r="M172" s="249"/>
      <c r="N172" s="249"/>
      <c r="O172" s="249"/>
      <c r="P172" s="249"/>
      <c r="Q172" s="249"/>
      <c r="R172" s="249"/>
      <c r="S172" s="249"/>
      <c r="T172" s="249"/>
      <c r="U172" s="249"/>
      <c r="V172" s="249"/>
      <c r="W172" s="249"/>
      <c r="X172" s="249"/>
      <c r="Y172" s="296"/>
      <c r="Z172" s="249"/>
      <c r="AA172" s="249"/>
      <c r="AB172" s="249"/>
      <c r="AC172" s="51">
        <f t="shared" ref="AC172:BL172" si="346">SUM(AC173)</f>
        <v>0</v>
      </c>
      <c r="AD172" s="51">
        <f t="shared" si="346"/>
        <v>0</v>
      </c>
      <c r="AE172" s="51">
        <f t="shared" si="346"/>
        <v>0</v>
      </c>
      <c r="AF172" s="51">
        <f t="shared" si="346"/>
        <v>0</v>
      </c>
      <c r="AG172" s="51">
        <f t="shared" si="346"/>
        <v>333032525</v>
      </c>
      <c r="AH172" s="51">
        <f t="shared" si="346"/>
        <v>312865735</v>
      </c>
      <c r="AI172" s="51">
        <f t="shared" si="346"/>
        <v>158252651</v>
      </c>
      <c r="AJ172" s="51">
        <f t="shared" si="346"/>
        <v>158252651</v>
      </c>
      <c r="AK172" s="51">
        <f t="shared" si="346"/>
        <v>60000000</v>
      </c>
      <c r="AL172" s="51">
        <f t="shared" si="346"/>
        <v>60000000</v>
      </c>
      <c r="AM172" s="51">
        <f t="shared" si="346"/>
        <v>60000000</v>
      </c>
      <c r="AN172" s="51">
        <f t="shared" si="346"/>
        <v>60000000</v>
      </c>
      <c r="AO172" s="51">
        <f t="shared" si="346"/>
        <v>0</v>
      </c>
      <c r="AP172" s="51">
        <f t="shared" si="346"/>
        <v>0</v>
      </c>
      <c r="AQ172" s="51">
        <f t="shared" si="346"/>
        <v>0</v>
      </c>
      <c r="AR172" s="51">
        <f t="shared" si="346"/>
        <v>0</v>
      </c>
      <c r="AS172" s="51">
        <f t="shared" si="346"/>
        <v>0</v>
      </c>
      <c r="AT172" s="51">
        <f t="shared" si="346"/>
        <v>0</v>
      </c>
      <c r="AU172" s="51">
        <f t="shared" si="346"/>
        <v>0</v>
      </c>
      <c r="AV172" s="51">
        <f t="shared" si="346"/>
        <v>0</v>
      </c>
      <c r="AW172" s="51">
        <f t="shared" si="346"/>
        <v>0</v>
      </c>
      <c r="AX172" s="51">
        <f t="shared" si="346"/>
        <v>0</v>
      </c>
      <c r="AY172" s="51">
        <f t="shared" si="346"/>
        <v>0</v>
      </c>
      <c r="AZ172" s="51">
        <f t="shared" si="346"/>
        <v>0</v>
      </c>
      <c r="BA172" s="51">
        <f t="shared" si="346"/>
        <v>0</v>
      </c>
      <c r="BB172" s="51">
        <f t="shared" si="346"/>
        <v>0</v>
      </c>
      <c r="BC172" s="51">
        <f t="shared" si="346"/>
        <v>0</v>
      </c>
      <c r="BD172" s="51">
        <f t="shared" si="346"/>
        <v>0</v>
      </c>
      <c r="BE172" s="51">
        <f t="shared" si="346"/>
        <v>0</v>
      </c>
      <c r="BF172" s="51">
        <f t="shared" si="346"/>
        <v>0</v>
      </c>
      <c r="BG172" s="51">
        <f t="shared" si="346"/>
        <v>0</v>
      </c>
      <c r="BH172" s="51">
        <f t="shared" si="346"/>
        <v>0</v>
      </c>
      <c r="BI172" s="51">
        <f t="shared" si="346"/>
        <v>0</v>
      </c>
      <c r="BJ172" s="51">
        <f t="shared" si="346"/>
        <v>0</v>
      </c>
      <c r="BK172" s="51">
        <f t="shared" si="346"/>
        <v>0</v>
      </c>
      <c r="BL172" s="51">
        <f t="shared" si="346"/>
        <v>0</v>
      </c>
      <c r="BM172" s="51">
        <f t="shared" ref="BM172:DX172" si="347">SUM(BM173)</f>
        <v>393032525</v>
      </c>
      <c r="BN172" s="51">
        <f t="shared" si="347"/>
        <v>372865735</v>
      </c>
      <c r="BO172" s="51">
        <f t="shared" si="347"/>
        <v>218252651</v>
      </c>
      <c r="BP172" s="51">
        <f t="shared" si="347"/>
        <v>218252651</v>
      </c>
      <c r="BQ172" s="51">
        <f t="shared" si="347"/>
        <v>0</v>
      </c>
      <c r="BR172" s="51">
        <f t="shared" si="347"/>
        <v>0</v>
      </c>
      <c r="BS172" s="51">
        <f t="shared" si="347"/>
        <v>0</v>
      </c>
      <c r="BT172" s="51">
        <f t="shared" si="347"/>
        <v>0</v>
      </c>
      <c r="BU172" s="51">
        <f t="shared" si="347"/>
        <v>236949833</v>
      </c>
      <c r="BV172" s="51">
        <f t="shared" si="347"/>
        <v>135613084</v>
      </c>
      <c r="BW172" s="51">
        <f t="shared" si="347"/>
        <v>67355100</v>
      </c>
      <c r="BX172" s="51">
        <f t="shared" si="347"/>
        <v>67355100</v>
      </c>
      <c r="BY172" s="51">
        <f t="shared" si="347"/>
        <v>0</v>
      </c>
      <c r="BZ172" s="51">
        <f t="shared" si="347"/>
        <v>193900000</v>
      </c>
      <c r="CA172" s="51">
        <f t="shared" si="347"/>
        <v>400577643</v>
      </c>
      <c r="CB172" s="51">
        <f t="shared" si="347"/>
        <v>274533866</v>
      </c>
      <c r="CC172" s="51">
        <f t="shared" si="347"/>
        <v>274533866</v>
      </c>
      <c r="CD172" s="51">
        <f t="shared" si="347"/>
        <v>0</v>
      </c>
      <c r="CE172" s="51">
        <f t="shared" si="347"/>
        <v>0</v>
      </c>
      <c r="CF172" s="51">
        <f t="shared" si="347"/>
        <v>0</v>
      </c>
      <c r="CG172" s="51">
        <f t="shared" si="347"/>
        <v>0</v>
      </c>
      <c r="CH172" s="51">
        <f t="shared" si="347"/>
        <v>0</v>
      </c>
      <c r="CI172" s="51">
        <f t="shared" si="347"/>
        <v>0</v>
      </c>
      <c r="CJ172" s="51">
        <f t="shared" si="347"/>
        <v>0</v>
      </c>
      <c r="CK172" s="51">
        <f t="shared" si="347"/>
        <v>0</v>
      </c>
      <c r="CL172" s="51">
        <f t="shared" si="347"/>
        <v>0</v>
      </c>
      <c r="CM172" s="51">
        <f t="shared" si="347"/>
        <v>0</v>
      </c>
      <c r="CN172" s="51">
        <f t="shared" si="347"/>
        <v>0</v>
      </c>
      <c r="CO172" s="51">
        <f t="shared" si="347"/>
        <v>0</v>
      </c>
      <c r="CP172" s="51">
        <f t="shared" si="347"/>
        <v>0</v>
      </c>
      <c r="CQ172" s="51">
        <f t="shared" si="347"/>
        <v>0</v>
      </c>
      <c r="CR172" s="51">
        <f t="shared" si="347"/>
        <v>0</v>
      </c>
      <c r="CS172" s="51">
        <f t="shared" si="347"/>
        <v>0</v>
      </c>
      <c r="CT172" s="51">
        <f t="shared" si="347"/>
        <v>0</v>
      </c>
      <c r="CU172" s="51">
        <f t="shared" si="347"/>
        <v>0</v>
      </c>
      <c r="CV172" s="51">
        <f t="shared" si="347"/>
        <v>0</v>
      </c>
      <c r="CW172" s="51">
        <f t="shared" si="347"/>
        <v>0</v>
      </c>
      <c r="CX172" s="51">
        <f t="shared" si="347"/>
        <v>0</v>
      </c>
      <c r="CY172" s="51">
        <f t="shared" si="347"/>
        <v>0</v>
      </c>
      <c r="CZ172" s="51">
        <f t="shared" si="347"/>
        <v>0</v>
      </c>
      <c r="DA172" s="51">
        <f t="shared" si="347"/>
        <v>0</v>
      </c>
      <c r="DB172" s="51">
        <f t="shared" si="347"/>
        <v>0</v>
      </c>
      <c r="DC172" s="51">
        <f t="shared" si="347"/>
        <v>0</v>
      </c>
      <c r="DD172" s="51">
        <f t="shared" si="347"/>
        <v>0</v>
      </c>
      <c r="DE172" s="51">
        <f t="shared" si="347"/>
        <v>430849833</v>
      </c>
      <c r="DF172" s="51">
        <f t="shared" si="347"/>
        <v>536190727</v>
      </c>
      <c r="DG172" s="51">
        <f t="shared" si="347"/>
        <v>341888966</v>
      </c>
      <c r="DH172" s="51">
        <f t="shared" si="347"/>
        <v>341888966</v>
      </c>
      <c r="DI172" s="51">
        <f t="shared" si="347"/>
        <v>0</v>
      </c>
      <c r="DJ172" s="51">
        <f t="shared" si="347"/>
        <v>0</v>
      </c>
      <c r="DK172" s="51">
        <f t="shared" si="347"/>
        <v>0</v>
      </c>
      <c r="DL172" s="51">
        <f t="shared" si="347"/>
        <v>0</v>
      </c>
      <c r="DM172" s="51">
        <f t="shared" si="347"/>
        <v>0</v>
      </c>
      <c r="DN172" s="51">
        <f t="shared" si="347"/>
        <v>244058328</v>
      </c>
      <c r="DO172" s="51">
        <f t="shared" si="347"/>
        <v>124501361</v>
      </c>
      <c r="DP172" s="51">
        <f t="shared" si="347"/>
        <v>72059385</v>
      </c>
      <c r="DQ172" s="51">
        <f t="shared" si="347"/>
        <v>72059385</v>
      </c>
      <c r="DR172" s="51">
        <f t="shared" si="347"/>
        <v>0</v>
      </c>
      <c r="DS172" s="51">
        <f t="shared" si="347"/>
        <v>59647000</v>
      </c>
      <c r="DT172" s="51">
        <f t="shared" si="347"/>
        <v>150000000</v>
      </c>
      <c r="DU172" s="51">
        <f t="shared" si="347"/>
        <v>149080000</v>
      </c>
      <c r="DV172" s="51">
        <f t="shared" si="347"/>
        <v>149080000</v>
      </c>
      <c r="DW172" s="51">
        <f t="shared" si="347"/>
        <v>0</v>
      </c>
      <c r="DX172" s="51">
        <f t="shared" si="347"/>
        <v>0</v>
      </c>
      <c r="DY172" s="51">
        <f t="shared" ref="DY172:EW172" si="348">SUM(DY173)</f>
        <v>176268649</v>
      </c>
      <c r="DZ172" s="51">
        <f t="shared" si="348"/>
        <v>35690915</v>
      </c>
      <c r="EA172" s="51">
        <f t="shared" si="348"/>
        <v>35690915</v>
      </c>
      <c r="EB172" s="51">
        <f t="shared" si="348"/>
        <v>0</v>
      </c>
      <c r="EC172" s="51">
        <f t="shared" si="348"/>
        <v>0</v>
      </c>
      <c r="ED172" s="51">
        <f t="shared" si="348"/>
        <v>0</v>
      </c>
      <c r="EE172" s="51">
        <f t="shared" si="348"/>
        <v>0</v>
      </c>
      <c r="EF172" s="51">
        <f t="shared" si="348"/>
        <v>0</v>
      </c>
      <c r="EG172" s="51">
        <f t="shared" si="348"/>
        <v>0</v>
      </c>
      <c r="EH172" s="51">
        <f t="shared" si="348"/>
        <v>0</v>
      </c>
      <c r="EI172" s="51">
        <f t="shared" si="348"/>
        <v>0</v>
      </c>
      <c r="EJ172" s="51">
        <f t="shared" si="348"/>
        <v>0</v>
      </c>
      <c r="EK172" s="51">
        <f t="shared" si="348"/>
        <v>0</v>
      </c>
      <c r="EL172" s="51">
        <f t="shared" si="348"/>
        <v>0</v>
      </c>
      <c r="EM172" s="51">
        <f t="shared" si="348"/>
        <v>0</v>
      </c>
      <c r="EN172" s="51">
        <f t="shared" si="348"/>
        <v>0</v>
      </c>
      <c r="EO172" s="51">
        <f t="shared" si="348"/>
        <v>0</v>
      </c>
      <c r="EP172" s="51">
        <f t="shared" si="348"/>
        <v>0</v>
      </c>
      <c r="EQ172" s="51">
        <f t="shared" si="348"/>
        <v>0</v>
      </c>
      <c r="ER172" s="51">
        <f t="shared" si="348"/>
        <v>0</v>
      </c>
      <c r="ES172" s="51">
        <f t="shared" si="348"/>
        <v>0</v>
      </c>
      <c r="ET172" s="51">
        <f t="shared" si="348"/>
        <v>0</v>
      </c>
      <c r="EU172" s="51">
        <f t="shared" si="348"/>
        <v>0</v>
      </c>
      <c r="EV172" s="51">
        <f t="shared" si="348"/>
        <v>0</v>
      </c>
      <c r="EW172" s="51">
        <f t="shared" si="348"/>
        <v>303705328</v>
      </c>
      <c r="EX172" s="51">
        <f t="shared" ref="EX172:GZ172" si="349">SUM(EX173)</f>
        <v>450770010</v>
      </c>
      <c r="EY172" s="51">
        <f t="shared" si="349"/>
        <v>256830300</v>
      </c>
      <c r="EZ172" s="51">
        <f t="shared" si="349"/>
        <v>256830300</v>
      </c>
      <c r="FA172" s="51">
        <f t="shared" si="349"/>
        <v>0</v>
      </c>
      <c r="FB172" s="51">
        <f t="shared" si="349"/>
        <v>0</v>
      </c>
      <c r="FC172" s="51">
        <f t="shared" si="349"/>
        <v>0</v>
      </c>
      <c r="FD172" s="51">
        <f t="shared" si="349"/>
        <v>0</v>
      </c>
      <c r="FE172" s="51">
        <f t="shared" si="349"/>
        <v>0</v>
      </c>
      <c r="FF172" s="51">
        <f t="shared" si="349"/>
        <v>0</v>
      </c>
      <c r="FG172" s="51">
        <f t="shared" si="349"/>
        <v>251380078</v>
      </c>
      <c r="FH172" s="51">
        <f t="shared" si="349"/>
        <v>219596501</v>
      </c>
      <c r="FI172" s="51">
        <f t="shared" si="349"/>
        <v>135656591</v>
      </c>
      <c r="FJ172" s="51">
        <f t="shared" si="349"/>
        <v>19355000</v>
      </c>
      <c r="FK172" s="51">
        <f t="shared" si="349"/>
        <v>0</v>
      </c>
      <c r="FL172" s="51">
        <f t="shared" si="349"/>
        <v>30000000</v>
      </c>
      <c r="FM172" s="51">
        <f t="shared" si="349"/>
        <v>149180526</v>
      </c>
      <c r="FN172" s="51">
        <f t="shared" si="349"/>
        <v>127682000</v>
      </c>
      <c r="FO172" s="51">
        <f t="shared" si="349"/>
        <v>14332000</v>
      </c>
      <c r="FP172" s="51">
        <f t="shared" si="349"/>
        <v>0</v>
      </c>
      <c r="FQ172" s="51">
        <f t="shared" si="349"/>
        <v>0</v>
      </c>
      <c r="FR172" s="51">
        <f t="shared" si="349"/>
        <v>182000000</v>
      </c>
      <c r="FS172" s="51">
        <f t="shared" si="349"/>
        <v>155308483</v>
      </c>
      <c r="FT172" s="51">
        <f t="shared" si="349"/>
        <v>0</v>
      </c>
      <c r="FU172" s="51">
        <f t="shared" si="349"/>
        <v>0</v>
      </c>
      <c r="FV172" s="51">
        <f t="shared" si="349"/>
        <v>0</v>
      </c>
      <c r="FW172" s="51">
        <f t="shared" si="349"/>
        <v>0</v>
      </c>
      <c r="FX172" s="51">
        <f t="shared" si="349"/>
        <v>0</v>
      </c>
      <c r="FY172" s="51">
        <f t="shared" si="349"/>
        <v>0</v>
      </c>
      <c r="FZ172" s="51">
        <f t="shared" si="349"/>
        <v>0</v>
      </c>
      <c r="GA172" s="51">
        <f t="shared" si="349"/>
        <v>0</v>
      </c>
      <c r="GB172" s="51">
        <f t="shared" si="349"/>
        <v>0</v>
      </c>
      <c r="GC172" s="51">
        <f t="shared" si="349"/>
        <v>0</v>
      </c>
      <c r="GD172" s="51">
        <f t="shared" si="349"/>
        <v>0</v>
      </c>
      <c r="GE172" s="51">
        <f t="shared" si="349"/>
        <v>0</v>
      </c>
      <c r="GF172" s="51">
        <f t="shared" si="349"/>
        <v>0</v>
      </c>
      <c r="GG172" s="51">
        <f t="shared" si="349"/>
        <v>0</v>
      </c>
      <c r="GH172" s="51">
        <f t="shared" si="349"/>
        <v>0</v>
      </c>
      <c r="GI172" s="51">
        <f t="shared" si="349"/>
        <v>0</v>
      </c>
      <c r="GJ172" s="51">
        <f t="shared" si="349"/>
        <v>0</v>
      </c>
      <c r="GK172" s="51">
        <f t="shared" si="349"/>
        <v>0</v>
      </c>
      <c r="GL172" s="51">
        <f t="shared" si="349"/>
        <v>0</v>
      </c>
      <c r="GM172" s="51">
        <f t="shared" si="349"/>
        <v>0</v>
      </c>
      <c r="GN172" s="51">
        <f t="shared" si="349"/>
        <v>0</v>
      </c>
      <c r="GO172" s="51">
        <f t="shared" si="349"/>
        <v>0</v>
      </c>
      <c r="GP172" s="51">
        <f t="shared" si="349"/>
        <v>0</v>
      </c>
      <c r="GQ172" s="51">
        <f t="shared" si="349"/>
        <v>0</v>
      </c>
      <c r="GR172" s="51">
        <f t="shared" si="349"/>
        <v>0</v>
      </c>
      <c r="GS172" s="51">
        <f t="shared" si="349"/>
        <v>0</v>
      </c>
      <c r="GT172" s="51">
        <f t="shared" si="349"/>
        <v>0</v>
      </c>
      <c r="GU172" s="51">
        <f t="shared" si="349"/>
        <v>281380078</v>
      </c>
      <c r="GV172" s="51">
        <f t="shared" si="349"/>
        <v>550777027</v>
      </c>
      <c r="GW172" s="51">
        <f t="shared" si="349"/>
        <v>418647074</v>
      </c>
      <c r="GX172" s="51">
        <f t="shared" si="349"/>
        <v>33687000</v>
      </c>
      <c r="GY172" s="51">
        <f t="shared" si="349"/>
        <v>0</v>
      </c>
      <c r="GZ172" s="51">
        <f t="shared" si="349"/>
        <v>1408967764</v>
      </c>
    </row>
    <row r="173" spans="1:208" s="711" customFormat="1" ht="126.75" customHeight="1" x14ac:dyDescent="0.2">
      <c r="A173" s="703"/>
      <c r="B173" s="703"/>
      <c r="C173" s="621">
        <v>6</v>
      </c>
      <c r="D173" s="909" t="s">
        <v>230</v>
      </c>
      <c r="E173" s="682" t="s">
        <v>127</v>
      </c>
      <c r="F173" s="682" t="s">
        <v>128</v>
      </c>
      <c r="G173" s="682">
        <v>119</v>
      </c>
      <c r="H173" s="676" t="s">
        <v>418</v>
      </c>
      <c r="I173" s="821" t="s">
        <v>400</v>
      </c>
      <c r="J173" s="813" t="s">
        <v>401</v>
      </c>
      <c r="K173" s="892">
        <v>5</v>
      </c>
      <c r="L173" s="892" t="s">
        <v>73</v>
      </c>
      <c r="M173" s="621">
        <v>10</v>
      </c>
      <c r="N173" s="621">
        <v>32</v>
      </c>
      <c r="O173" s="621">
        <v>7</v>
      </c>
      <c r="P173" s="893">
        <v>7</v>
      </c>
      <c r="Q173" s="621">
        <v>9</v>
      </c>
      <c r="R173" s="814"/>
      <c r="S173" s="893">
        <v>11</v>
      </c>
      <c r="T173" s="621">
        <v>9</v>
      </c>
      <c r="U173" s="621"/>
      <c r="V173" s="893">
        <v>9</v>
      </c>
      <c r="W173" s="621">
        <v>7</v>
      </c>
      <c r="X173" s="892"/>
      <c r="Y173" s="639">
        <v>12</v>
      </c>
      <c r="Z173" s="852">
        <f>BM173/BM172</f>
        <v>1</v>
      </c>
      <c r="AA173" s="682">
        <v>11</v>
      </c>
      <c r="AB173" s="813" t="s">
        <v>229</v>
      </c>
      <c r="AC173" s="830"/>
      <c r="AD173" s="831"/>
      <c r="AE173" s="818"/>
      <c r="AF173" s="818"/>
      <c r="AG173" s="830">
        <v>333032525</v>
      </c>
      <c r="AH173" s="830">
        <v>312865735</v>
      </c>
      <c r="AI173" s="831">
        <v>158252651</v>
      </c>
      <c r="AJ173" s="831">
        <v>158252651</v>
      </c>
      <c r="AK173" s="831">
        <v>60000000</v>
      </c>
      <c r="AL173" s="831">
        <v>60000000</v>
      </c>
      <c r="AM173" s="831">
        <v>60000000</v>
      </c>
      <c r="AN173" s="831">
        <v>60000000</v>
      </c>
      <c r="AO173" s="830"/>
      <c r="AP173" s="831"/>
      <c r="AQ173" s="831"/>
      <c r="AR173" s="831"/>
      <c r="AS173" s="830"/>
      <c r="AT173" s="831"/>
      <c r="AU173" s="818"/>
      <c r="AV173" s="818"/>
      <c r="AW173" s="830"/>
      <c r="AX173" s="831"/>
      <c r="AY173" s="831"/>
      <c r="AZ173" s="831"/>
      <c r="BA173" s="830"/>
      <c r="BB173" s="831"/>
      <c r="BC173" s="831"/>
      <c r="BD173" s="831"/>
      <c r="BE173" s="830"/>
      <c r="BF173" s="831"/>
      <c r="BG173" s="818"/>
      <c r="BH173" s="818"/>
      <c r="BI173" s="830"/>
      <c r="BJ173" s="831"/>
      <c r="BK173" s="831"/>
      <c r="BL173" s="831"/>
      <c r="BM173" s="817">
        <f>+AC173+AG173+AK173+AO173+AS173+AW173+BA173+BE173+BI173</f>
        <v>393032525</v>
      </c>
      <c r="BN173" s="818">
        <f>AD173+AH173+AL173+AP173+AT173+AX173+BB173+BF173+BJ173</f>
        <v>372865735</v>
      </c>
      <c r="BO173" s="818">
        <f>AE173+AI173+AM173+AQ173+AU173+AY173+BC173+BG173+BK173</f>
        <v>218252651</v>
      </c>
      <c r="BP173" s="818">
        <f>AF173+AJ173+AN173+AR173+AV173+AZ173+BD173+BH173+BL173</f>
        <v>218252651</v>
      </c>
      <c r="BQ173" s="667"/>
      <c r="BR173" s="667"/>
      <c r="BS173" s="667"/>
      <c r="BT173" s="667"/>
      <c r="BU173" s="667">
        <v>236949833</v>
      </c>
      <c r="BV173" s="667">
        <v>135613084</v>
      </c>
      <c r="BW173" s="667">
        <v>67355100</v>
      </c>
      <c r="BX173" s="667">
        <v>67355100</v>
      </c>
      <c r="BY173" s="667"/>
      <c r="BZ173" s="667">
        <v>193900000</v>
      </c>
      <c r="CA173" s="667">
        <v>400577643</v>
      </c>
      <c r="CB173" s="667">
        <v>274533866</v>
      </c>
      <c r="CC173" s="667">
        <v>274533866</v>
      </c>
      <c r="CD173" s="667"/>
      <c r="CE173" s="667"/>
      <c r="CF173" s="667"/>
      <c r="CG173" s="667"/>
      <c r="CH173" s="667"/>
      <c r="CI173" s="667"/>
      <c r="CJ173" s="667"/>
      <c r="CK173" s="667"/>
      <c r="CL173" s="667"/>
      <c r="CM173" s="667"/>
      <c r="CN173" s="667"/>
      <c r="CO173" s="667"/>
      <c r="CP173" s="667"/>
      <c r="CQ173" s="667"/>
      <c r="CR173" s="667"/>
      <c r="CS173" s="667"/>
      <c r="CT173" s="667"/>
      <c r="CU173" s="667"/>
      <c r="CV173" s="667"/>
      <c r="CW173" s="667"/>
      <c r="CX173" s="667"/>
      <c r="CY173" s="667"/>
      <c r="CZ173" s="667"/>
      <c r="DA173" s="667"/>
      <c r="DB173" s="667"/>
      <c r="DC173" s="667"/>
      <c r="DD173" s="667"/>
      <c r="DE173" s="708">
        <f>BQ173+BU173+BZ173+CE173+CI173+CM173+CQ173+CV173+DA173</f>
        <v>430849833</v>
      </c>
      <c r="DF173" s="708">
        <f>BR173+BV173+CA173+CF173+CJ173+CN173+CR173+CW173+DB173</f>
        <v>536190727</v>
      </c>
      <c r="DG173" s="708">
        <f>BS173+BW173+CB173+CG173+CK173+CO173+CS173+CX173+DC173</f>
        <v>341888966</v>
      </c>
      <c r="DH173" s="708">
        <f>BT173+BX173+CC173+CH173+CL173+CP173+CT173+CY173+DD173</f>
        <v>341888966</v>
      </c>
      <c r="DI173" s="708"/>
      <c r="DJ173" s="706"/>
      <c r="DK173" s="706"/>
      <c r="DL173" s="706"/>
      <c r="DM173" s="706"/>
      <c r="DN173" s="706">
        <v>244058328</v>
      </c>
      <c r="DO173" s="706">
        <v>124501361</v>
      </c>
      <c r="DP173" s="706">
        <v>72059385</v>
      </c>
      <c r="DQ173" s="706">
        <v>72059385</v>
      </c>
      <c r="DR173" s="706"/>
      <c r="DS173" s="706">
        <v>59647000</v>
      </c>
      <c r="DT173" s="706">
        <v>150000000</v>
      </c>
      <c r="DU173" s="706">
        <v>149080000</v>
      </c>
      <c r="DV173" s="706">
        <v>149080000</v>
      </c>
      <c r="DW173" s="706"/>
      <c r="DX173" s="706"/>
      <c r="DY173" s="706">
        <v>176268649</v>
      </c>
      <c r="DZ173" s="706">
        <v>35690915</v>
      </c>
      <c r="EA173" s="706">
        <v>35690915</v>
      </c>
      <c r="EB173" s="706"/>
      <c r="EC173" s="706"/>
      <c r="ED173" s="706"/>
      <c r="EE173" s="706"/>
      <c r="EF173" s="706"/>
      <c r="EG173" s="706"/>
      <c r="EH173" s="706"/>
      <c r="EI173" s="706"/>
      <c r="EJ173" s="706"/>
      <c r="EK173" s="706"/>
      <c r="EL173" s="706"/>
      <c r="EM173" s="706"/>
      <c r="EN173" s="706"/>
      <c r="EO173" s="706"/>
      <c r="EP173" s="706"/>
      <c r="EQ173" s="706"/>
      <c r="ER173" s="706"/>
      <c r="ES173" s="706"/>
      <c r="ET173" s="667"/>
      <c r="EU173" s="667"/>
      <c r="EV173" s="667"/>
      <c r="EW173" s="708">
        <f>DJ173+DN173+DS173+DX173+EB173+EF173+EJ173+EN173+ES173</f>
        <v>303705328</v>
      </c>
      <c r="EX173" s="819">
        <f>DK173+DO173+DT173+DY173+EC173+EG173+EK173+EO173+ET173</f>
        <v>450770010</v>
      </c>
      <c r="EY173" s="819">
        <f>DL173+DP173+DU173+DZ173+ED173+EH173+EL173+EP173+EU173</f>
        <v>256830300</v>
      </c>
      <c r="EZ173" s="819">
        <f>DM173+DQ173+DV173+EA173+EE173+EI173+EM173+EQ173+EV173</f>
        <v>256830300</v>
      </c>
      <c r="FA173" s="820"/>
      <c r="FB173" s="667"/>
      <c r="FC173" s="706"/>
      <c r="FD173" s="706"/>
      <c r="FE173" s="706"/>
      <c r="FF173" s="707"/>
      <c r="FG173" s="667">
        <v>251380078</v>
      </c>
      <c r="FH173" s="667">
        <v>219596501</v>
      </c>
      <c r="FI173" s="667">
        <v>135656591</v>
      </c>
      <c r="FJ173" s="667">
        <v>19355000</v>
      </c>
      <c r="FK173" s="667"/>
      <c r="FL173" s="706">
        <v>30000000</v>
      </c>
      <c r="FM173" s="667">
        <v>149180526</v>
      </c>
      <c r="FN173" s="667">
        <v>127682000</v>
      </c>
      <c r="FO173" s="667">
        <v>14332000</v>
      </c>
      <c r="FP173" s="667"/>
      <c r="FQ173" s="667"/>
      <c r="FR173" s="667">
        <v>182000000</v>
      </c>
      <c r="FS173" s="667">
        <v>155308483</v>
      </c>
      <c r="FT173" s="667"/>
      <c r="FU173" s="667"/>
      <c r="FV173" s="667"/>
      <c r="FW173" s="667"/>
      <c r="FX173" s="667"/>
      <c r="FY173" s="667"/>
      <c r="FZ173" s="667"/>
      <c r="GA173" s="667"/>
      <c r="GB173" s="667"/>
      <c r="GC173" s="667"/>
      <c r="GD173" s="667"/>
      <c r="GE173" s="667"/>
      <c r="GF173" s="667"/>
      <c r="GG173" s="667"/>
      <c r="GH173" s="667"/>
      <c r="GI173" s="667"/>
      <c r="GJ173" s="667"/>
      <c r="GK173" s="667"/>
      <c r="GL173" s="667"/>
      <c r="GM173" s="667"/>
      <c r="GN173" s="667"/>
      <c r="GO173" s="667"/>
      <c r="GP173" s="667"/>
      <c r="GQ173" s="667"/>
      <c r="GR173" s="667"/>
      <c r="GS173" s="667"/>
      <c r="GT173" s="667"/>
      <c r="GU173" s="708">
        <f>FB173+FG173+FL173+FQ173+FV173+GA173+GF173+GK173+GP173</f>
        <v>281380078</v>
      </c>
      <c r="GV173" s="708">
        <f>GQ173+GL173+GG173+GB173+FW173+FR173+FM173+FH173+FC173</f>
        <v>550777027</v>
      </c>
      <c r="GW173" s="708">
        <f>GR173+GM173+GH173+GC173+FX173+FS173+FN173+FI173+FD173</f>
        <v>418647074</v>
      </c>
      <c r="GX173" s="708">
        <f>GS173+GN173+GI173+GD173+FY173+FT173+FO173+FJ173+FE173</f>
        <v>33687000</v>
      </c>
      <c r="GY173" s="709">
        <f>GT173+GO173+GJ173+GE173+FZ173+FU173+FP173+FK173+FF173</f>
        <v>0</v>
      </c>
      <c r="GZ173" s="710">
        <f>BM173+DE173+EW173+GU173</f>
        <v>1408967764</v>
      </c>
    </row>
    <row r="174" spans="1:208" ht="24.75" customHeight="1" x14ac:dyDescent="0.2">
      <c r="A174" s="326"/>
      <c r="B174" s="326"/>
      <c r="C174" s="246">
        <v>33</v>
      </c>
      <c r="D174" s="247" t="s">
        <v>419</v>
      </c>
      <c r="E174" s="250"/>
      <c r="F174" s="250"/>
      <c r="G174" s="249"/>
      <c r="H174" s="249"/>
      <c r="I174" s="249"/>
      <c r="J174" s="249"/>
      <c r="K174" s="249"/>
      <c r="L174" s="249"/>
      <c r="M174" s="249"/>
      <c r="N174" s="249"/>
      <c r="O174" s="249"/>
      <c r="P174" s="249"/>
      <c r="Q174" s="249"/>
      <c r="R174" s="249"/>
      <c r="S174" s="249"/>
      <c r="T174" s="249"/>
      <c r="U174" s="249"/>
      <c r="V174" s="249"/>
      <c r="W174" s="249"/>
      <c r="X174" s="249"/>
      <c r="Y174" s="296"/>
      <c r="Z174" s="249"/>
      <c r="AA174" s="249"/>
      <c r="AB174" s="249"/>
      <c r="AC174" s="51">
        <f t="shared" ref="AC174:BL174" si="350">SUM(AC175:AC176)</f>
        <v>0</v>
      </c>
      <c r="AD174" s="51">
        <f t="shared" si="350"/>
        <v>0</v>
      </c>
      <c r="AE174" s="51">
        <f t="shared" si="350"/>
        <v>0</v>
      </c>
      <c r="AF174" s="51">
        <f t="shared" si="350"/>
        <v>0</v>
      </c>
      <c r="AG174" s="51">
        <f t="shared" si="350"/>
        <v>0</v>
      </c>
      <c r="AH174" s="51">
        <f t="shared" si="350"/>
        <v>0</v>
      </c>
      <c r="AI174" s="51">
        <f t="shared" si="350"/>
        <v>0</v>
      </c>
      <c r="AJ174" s="51">
        <f t="shared" si="350"/>
        <v>0</v>
      </c>
      <c r="AK174" s="51">
        <f t="shared" si="350"/>
        <v>30000000</v>
      </c>
      <c r="AL174" s="51">
        <f t="shared" si="350"/>
        <v>30000000</v>
      </c>
      <c r="AM174" s="51">
        <f t="shared" si="350"/>
        <v>28000000</v>
      </c>
      <c r="AN174" s="51">
        <f t="shared" si="350"/>
        <v>28000000</v>
      </c>
      <c r="AO174" s="51">
        <f t="shared" si="350"/>
        <v>0</v>
      </c>
      <c r="AP174" s="51">
        <f t="shared" si="350"/>
        <v>0</v>
      </c>
      <c r="AQ174" s="51">
        <f t="shared" si="350"/>
        <v>0</v>
      </c>
      <c r="AR174" s="51">
        <f t="shared" si="350"/>
        <v>0</v>
      </c>
      <c r="AS174" s="51">
        <f t="shared" si="350"/>
        <v>0</v>
      </c>
      <c r="AT174" s="51">
        <f t="shared" si="350"/>
        <v>0</v>
      </c>
      <c r="AU174" s="51">
        <f t="shared" si="350"/>
        <v>0</v>
      </c>
      <c r="AV174" s="51">
        <f t="shared" si="350"/>
        <v>0</v>
      </c>
      <c r="AW174" s="51">
        <f t="shared" si="350"/>
        <v>0</v>
      </c>
      <c r="AX174" s="51">
        <f t="shared" si="350"/>
        <v>0</v>
      </c>
      <c r="AY174" s="51">
        <f t="shared" si="350"/>
        <v>0</v>
      </c>
      <c r="AZ174" s="51">
        <f t="shared" si="350"/>
        <v>0</v>
      </c>
      <c r="BA174" s="51">
        <f t="shared" si="350"/>
        <v>0</v>
      </c>
      <c r="BB174" s="51">
        <f t="shared" si="350"/>
        <v>0</v>
      </c>
      <c r="BC174" s="51">
        <f t="shared" si="350"/>
        <v>0</v>
      </c>
      <c r="BD174" s="51">
        <f t="shared" si="350"/>
        <v>0</v>
      </c>
      <c r="BE174" s="51">
        <f t="shared" si="350"/>
        <v>0</v>
      </c>
      <c r="BF174" s="51">
        <f t="shared" si="350"/>
        <v>0</v>
      </c>
      <c r="BG174" s="51">
        <f t="shared" si="350"/>
        <v>0</v>
      </c>
      <c r="BH174" s="51">
        <f t="shared" si="350"/>
        <v>0</v>
      </c>
      <c r="BI174" s="51">
        <f t="shared" si="350"/>
        <v>0</v>
      </c>
      <c r="BJ174" s="51">
        <f t="shared" si="350"/>
        <v>0</v>
      </c>
      <c r="BK174" s="51">
        <f t="shared" si="350"/>
        <v>0</v>
      </c>
      <c r="BL174" s="51">
        <f t="shared" si="350"/>
        <v>0</v>
      </c>
      <c r="BM174" s="51">
        <f t="shared" ref="BM174:DX174" si="351">SUM(BM175:BM176)</f>
        <v>30000000</v>
      </c>
      <c r="BN174" s="51">
        <f t="shared" si="351"/>
        <v>30000000</v>
      </c>
      <c r="BO174" s="51">
        <f t="shared" si="351"/>
        <v>28000000</v>
      </c>
      <c r="BP174" s="51">
        <f t="shared" si="351"/>
        <v>28000000</v>
      </c>
      <c r="BQ174" s="51">
        <f t="shared" si="351"/>
        <v>0</v>
      </c>
      <c r="BR174" s="51">
        <f t="shared" si="351"/>
        <v>0</v>
      </c>
      <c r="BS174" s="51">
        <f t="shared" si="351"/>
        <v>0</v>
      </c>
      <c r="BT174" s="51">
        <f t="shared" si="351"/>
        <v>0</v>
      </c>
      <c r="BU174" s="51">
        <f t="shared" si="351"/>
        <v>0</v>
      </c>
      <c r="BV174" s="51">
        <f t="shared" si="351"/>
        <v>50000000</v>
      </c>
      <c r="BW174" s="51">
        <f t="shared" si="351"/>
        <v>50000000</v>
      </c>
      <c r="BX174" s="51">
        <f t="shared" si="351"/>
        <v>50000000</v>
      </c>
      <c r="BY174" s="51">
        <f t="shared" si="351"/>
        <v>0</v>
      </c>
      <c r="BZ174" s="51">
        <f t="shared" si="351"/>
        <v>40000000</v>
      </c>
      <c r="CA174" s="51">
        <f t="shared" si="351"/>
        <v>100000000</v>
      </c>
      <c r="CB174" s="51">
        <f t="shared" si="351"/>
        <v>76436000</v>
      </c>
      <c r="CC174" s="51">
        <f t="shared" si="351"/>
        <v>76436000</v>
      </c>
      <c r="CD174" s="51">
        <f t="shared" si="351"/>
        <v>0</v>
      </c>
      <c r="CE174" s="51">
        <f t="shared" si="351"/>
        <v>0</v>
      </c>
      <c r="CF174" s="51">
        <f t="shared" si="351"/>
        <v>0</v>
      </c>
      <c r="CG174" s="51">
        <f t="shared" si="351"/>
        <v>0</v>
      </c>
      <c r="CH174" s="51">
        <f t="shared" si="351"/>
        <v>0</v>
      </c>
      <c r="CI174" s="51">
        <f t="shared" si="351"/>
        <v>0</v>
      </c>
      <c r="CJ174" s="51">
        <f t="shared" si="351"/>
        <v>0</v>
      </c>
      <c r="CK174" s="51">
        <f t="shared" si="351"/>
        <v>0</v>
      </c>
      <c r="CL174" s="51">
        <f t="shared" si="351"/>
        <v>0</v>
      </c>
      <c r="CM174" s="51">
        <f t="shared" si="351"/>
        <v>0</v>
      </c>
      <c r="CN174" s="51">
        <f t="shared" si="351"/>
        <v>0</v>
      </c>
      <c r="CO174" s="51">
        <f t="shared" si="351"/>
        <v>0</v>
      </c>
      <c r="CP174" s="51">
        <f t="shared" si="351"/>
        <v>0</v>
      </c>
      <c r="CQ174" s="51">
        <f t="shared" si="351"/>
        <v>0</v>
      </c>
      <c r="CR174" s="51">
        <f t="shared" si="351"/>
        <v>0</v>
      </c>
      <c r="CS174" s="51">
        <f t="shared" si="351"/>
        <v>0</v>
      </c>
      <c r="CT174" s="51">
        <f t="shared" si="351"/>
        <v>0</v>
      </c>
      <c r="CU174" s="51">
        <f t="shared" si="351"/>
        <v>0</v>
      </c>
      <c r="CV174" s="51">
        <f t="shared" si="351"/>
        <v>0</v>
      </c>
      <c r="CW174" s="51">
        <f t="shared" si="351"/>
        <v>0</v>
      </c>
      <c r="CX174" s="51">
        <f t="shared" si="351"/>
        <v>0</v>
      </c>
      <c r="CY174" s="51">
        <f t="shared" si="351"/>
        <v>0</v>
      </c>
      <c r="CZ174" s="51">
        <f t="shared" si="351"/>
        <v>0</v>
      </c>
      <c r="DA174" s="51">
        <f t="shared" si="351"/>
        <v>0</v>
      </c>
      <c r="DB174" s="51">
        <f t="shared" si="351"/>
        <v>0</v>
      </c>
      <c r="DC174" s="51">
        <f t="shared" si="351"/>
        <v>0</v>
      </c>
      <c r="DD174" s="51">
        <f t="shared" si="351"/>
        <v>0</v>
      </c>
      <c r="DE174" s="51">
        <f t="shared" si="351"/>
        <v>40000000</v>
      </c>
      <c r="DF174" s="51">
        <f t="shared" si="351"/>
        <v>150000000</v>
      </c>
      <c r="DG174" s="51">
        <f t="shared" si="351"/>
        <v>126436000</v>
      </c>
      <c r="DH174" s="51">
        <f t="shared" si="351"/>
        <v>126436000</v>
      </c>
      <c r="DI174" s="51">
        <f t="shared" si="351"/>
        <v>0</v>
      </c>
      <c r="DJ174" s="51">
        <f t="shared" si="351"/>
        <v>0</v>
      </c>
      <c r="DK174" s="51">
        <f t="shared" si="351"/>
        <v>0</v>
      </c>
      <c r="DL174" s="51">
        <f t="shared" si="351"/>
        <v>0</v>
      </c>
      <c r="DM174" s="51">
        <f t="shared" si="351"/>
        <v>0</v>
      </c>
      <c r="DN174" s="51">
        <f t="shared" si="351"/>
        <v>0</v>
      </c>
      <c r="DO174" s="51">
        <f t="shared" si="351"/>
        <v>470000000</v>
      </c>
      <c r="DP174" s="51">
        <f t="shared" si="351"/>
        <v>20000000</v>
      </c>
      <c r="DQ174" s="51">
        <f t="shared" si="351"/>
        <v>20000000</v>
      </c>
      <c r="DR174" s="51">
        <f t="shared" si="351"/>
        <v>0</v>
      </c>
      <c r="DS174" s="51">
        <f t="shared" si="351"/>
        <v>15000000</v>
      </c>
      <c r="DT174" s="51">
        <f t="shared" si="351"/>
        <v>80000000</v>
      </c>
      <c r="DU174" s="51">
        <f t="shared" si="351"/>
        <v>79999000</v>
      </c>
      <c r="DV174" s="51">
        <f t="shared" si="351"/>
        <v>79999000</v>
      </c>
      <c r="DW174" s="51">
        <f t="shared" si="351"/>
        <v>0</v>
      </c>
      <c r="DX174" s="51">
        <f t="shared" si="351"/>
        <v>0</v>
      </c>
      <c r="DY174" s="51">
        <f t="shared" ref="DY174:EW174" si="352">SUM(DY175:DY176)</f>
        <v>0</v>
      </c>
      <c r="DZ174" s="51">
        <f t="shared" si="352"/>
        <v>0</v>
      </c>
      <c r="EA174" s="51">
        <f t="shared" si="352"/>
        <v>0</v>
      </c>
      <c r="EB174" s="51">
        <f t="shared" si="352"/>
        <v>0</v>
      </c>
      <c r="EC174" s="51">
        <f t="shared" si="352"/>
        <v>0</v>
      </c>
      <c r="ED174" s="51">
        <f t="shared" si="352"/>
        <v>0</v>
      </c>
      <c r="EE174" s="51">
        <f t="shared" si="352"/>
        <v>0</v>
      </c>
      <c r="EF174" s="51">
        <f t="shared" si="352"/>
        <v>0</v>
      </c>
      <c r="EG174" s="51">
        <f t="shared" si="352"/>
        <v>0</v>
      </c>
      <c r="EH174" s="51">
        <f t="shared" si="352"/>
        <v>0</v>
      </c>
      <c r="EI174" s="51">
        <f t="shared" si="352"/>
        <v>0</v>
      </c>
      <c r="EJ174" s="51">
        <f t="shared" si="352"/>
        <v>0</v>
      </c>
      <c r="EK174" s="51">
        <f t="shared" si="352"/>
        <v>0</v>
      </c>
      <c r="EL174" s="51">
        <f t="shared" si="352"/>
        <v>0</v>
      </c>
      <c r="EM174" s="51">
        <f t="shared" si="352"/>
        <v>0</v>
      </c>
      <c r="EN174" s="51">
        <f t="shared" si="352"/>
        <v>0</v>
      </c>
      <c r="EO174" s="51">
        <f t="shared" si="352"/>
        <v>0</v>
      </c>
      <c r="EP174" s="51">
        <f t="shared" si="352"/>
        <v>0</v>
      </c>
      <c r="EQ174" s="51">
        <f t="shared" si="352"/>
        <v>0</v>
      </c>
      <c r="ER174" s="51">
        <f t="shared" si="352"/>
        <v>0</v>
      </c>
      <c r="ES174" s="51">
        <f t="shared" si="352"/>
        <v>0</v>
      </c>
      <c r="ET174" s="51">
        <f t="shared" si="352"/>
        <v>0</v>
      </c>
      <c r="EU174" s="51">
        <f t="shared" si="352"/>
        <v>0</v>
      </c>
      <c r="EV174" s="51">
        <f t="shared" si="352"/>
        <v>0</v>
      </c>
      <c r="EW174" s="51">
        <f t="shared" si="352"/>
        <v>15000000</v>
      </c>
      <c r="EX174" s="51">
        <f t="shared" ref="EX174:GZ174" si="353">SUM(EX175:EX176)</f>
        <v>550000000</v>
      </c>
      <c r="EY174" s="51">
        <f t="shared" si="353"/>
        <v>99999000</v>
      </c>
      <c r="EZ174" s="51">
        <f t="shared" si="353"/>
        <v>99999000</v>
      </c>
      <c r="FA174" s="51">
        <f t="shared" si="353"/>
        <v>0</v>
      </c>
      <c r="FB174" s="51">
        <f t="shared" si="353"/>
        <v>0</v>
      </c>
      <c r="FC174" s="51">
        <f t="shared" si="353"/>
        <v>0</v>
      </c>
      <c r="FD174" s="51">
        <f t="shared" si="353"/>
        <v>0</v>
      </c>
      <c r="FE174" s="51">
        <f t="shared" si="353"/>
        <v>0</v>
      </c>
      <c r="FF174" s="51">
        <f t="shared" si="353"/>
        <v>0</v>
      </c>
      <c r="FG174" s="51">
        <f t="shared" si="353"/>
        <v>0</v>
      </c>
      <c r="FH174" s="51">
        <f t="shared" si="353"/>
        <v>0</v>
      </c>
      <c r="FI174" s="51">
        <f t="shared" si="353"/>
        <v>0</v>
      </c>
      <c r="FJ174" s="51">
        <f t="shared" si="353"/>
        <v>0</v>
      </c>
      <c r="FK174" s="51">
        <f t="shared" si="353"/>
        <v>0</v>
      </c>
      <c r="FL174" s="51">
        <f t="shared" si="353"/>
        <v>15000000</v>
      </c>
      <c r="FM174" s="51">
        <f t="shared" si="353"/>
        <v>79400000</v>
      </c>
      <c r="FN174" s="51">
        <f t="shared" si="353"/>
        <v>48256300</v>
      </c>
      <c r="FO174" s="51">
        <f t="shared" si="353"/>
        <v>24388300</v>
      </c>
      <c r="FP174" s="51">
        <f t="shared" si="353"/>
        <v>0</v>
      </c>
      <c r="FQ174" s="51">
        <f t="shared" si="353"/>
        <v>0</v>
      </c>
      <c r="FR174" s="51">
        <f t="shared" si="353"/>
        <v>0</v>
      </c>
      <c r="FS174" s="51">
        <f t="shared" si="353"/>
        <v>0</v>
      </c>
      <c r="FT174" s="51">
        <f t="shared" si="353"/>
        <v>0</v>
      </c>
      <c r="FU174" s="51">
        <f t="shared" si="353"/>
        <v>0</v>
      </c>
      <c r="FV174" s="51">
        <f t="shared" si="353"/>
        <v>0</v>
      </c>
      <c r="FW174" s="51">
        <f t="shared" si="353"/>
        <v>0</v>
      </c>
      <c r="FX174" s="51">
        <f t="shared" si="353"/>
        <v>0</v>
      </c>
      <c r="FY174" s="51">
        <f t="shared" si="353"/>
        <v>0</v>
      </c>
      <c r="FZ174" s="51">
        <f t="shared" si="353"/>
        <v>0</v>
      </c>
      <c r="GA174" s="51">
        <f t="shared" si="353"/>
        <v>0</v>
      </c>
      <c r="GB174" s="51">
        <f t="shared" si="353"/>
        <v>0</v>
      </c>
      <c r="GC174" s="51">
        <f t="shared" si="353"/>
        <v>0</v>
      </c>
      <c r="GD174" s="51">
        <f t="shared" si="353"/>
        <v>0</v>
      </c>
      <c r="GE174" s="51">
        <f t="shared" si="353"/>
        <v>0</v>
      </c>
      <c r="GF174" s="51">
        <f t="shared" si="353"/>
        <v>0</v>
      </c>
      <c r="GG174" s="51">
        <f t="shared" si="353"/>
        <v>0</v>
      </c>
      <c r="GH174" s="51">
        <f t="shared" si="353"/>
        <v>0</v>
      </c>
      <c r="GI174" s="51">
        <f t="shared" si="353"/>
        <v>0</v>
      </c>
      <c r="GJ174" s="51">
        <f t="shared" si="353"/>
        <v>0</v>
      </c>
      <c r="GK174" s="51">
        <f t="shared" si="353"/>
        <v>0</v>
      </c>
      <c r="GL174" s="51">
        <f t="shared" si="353"/>
        <v>0</v>
      </c>
      <c r="GM174" s="51">
        <f t="shared" si="353"/>
        <v>0</v>
      </c>
      <c r="GN174" s="51">
        <f t="shared" si="353"/>
        <v>0</v>
      </c>
      <c r="GO174" s="51">
        <f t="shared" si="353"/>
        <v>0</v>
      </c>
      <c r="GP174" s="51">
        <f t="shared" si="353"/>
        <v>0</v>
      </c>
      <c r="GQ174" s="51">
        <f t="shared" si="353"/>
        <v>0</v>
      </c>
      <c r="GR174" s="51">
        <f t="shared" si="353"/>
        <v>0</v>
      </c>
      <c r="GS174" s="51">
        <f t="shared" si="353"/>
        <v>0</v>
      </c>
      <c r="GT174" s="51">
        <f t="shared" si="353"/>
        <v>0</v>
      </c>
      <c r="GU174" s="51">
        <f t="shared" si="353"/>
        <v>15000000</v>
      </c>
      <c r="GV174" s="51">
        <f t="shared" si="353"/>
        <v>79400000</v>
      </c>
      <c r="GW174" s="51">
        <f t="shared" si="353"/>
        <v>48256300</v>
      </c>
      <c r="GX174" s="51">
        <f t="shared" si="353"/>
        <v>24388300</v>
      </c>
      <c r="GY174" s="51">
        <f t="shared" si="353"/>
        <v>0</v>
      </c>
      <c r="GZ174" s="51">
        <f t="shared" si="353"/>
        <v>100000000</v>
      </c>
    </row>
    <row r="175" spans="1:208" ht="59.25" customHeight="1" x14ac:dyDescent="0.2">
      <c r="A175" s="326"/>
      <c r="B175" s="326"/>
      <c r="C175" s="456">
        <v>5</v>
      </c>
      <c r="D175" s="721" t="s">
        <v>411</v>
      </c>
      <c r="E175" s="988" t="s">
        <v>121</v>
      </c>
      <c r="F175" s="379" t="s">
        <v>121</v>
      </c>
      <c r="G175" s="265">
        <v>120</v>
      </c>
      <c r="H175" s="261" t="s">
        <v>420</v>
      </c>
      <c r="I175" s="275" t="s">
        <v>421</v>
      </c>
      <c r="J175" s="262" t="s">
        <v>401</v>
      </c>
      <c r="K175" s="415">
        <v>5</v>
      </c>
      <c r="L175" s="304" t="s">
        <v>73</v>
      </c>
      <c r="M175" s="288">
        <v>0</v>
      </c>
      <c r="N175" s="264">
        <v>10</v>
      </c>
      <c r="O175" s="259">
        <v>2</v>
      </c>
      <c r="P175" s="387">
        <v>2</v>
      </c>
      <c r="Q175" s="288">
        <v>3</v>
      </c>
      <c r="R175" s="268"/>
      <c r="S175" s="389">
        <v>3</v>
      </c>
      <c r="T175" s="288">
        <v>3</v>
      </c>
      <c r="U175" s="288"/>
      <c r="V175" s="389">
        <v>3</v>
      </c>
      <c r="W175" s="288">
        <v>2</v>
      </c>
      <c r="X175" s="304"/>
      <c r="Y175" s="631">
        <v>1</v>
      </c>
      <c r="Z175" s="443">
        <f>BM175/BM174</f>
        <v>0.5</v>
      </c>
      <c r="AA175" s="264">
        <v>11</v>
      </c>
      <c r="AB175" s="263" t="s">
        <v>229</v>
      </c>
      <c r="AC175" s="57"/>
      <c r="AD175" s="58"/>
      <c r="AE175" s="59"/>
      <c r="AF175" s="59"/>
      <c r="AG175" s="57"/>
      <c r="AH175" s="58"/>
      <c r="AI175" s="58"/>
      <c r="AJ175" s="58"/>
      <c r="AK175" s="57">
        <v>15000000</v>
      </c>
      <c r="AL175" s="55">
        <v>15000000</v>
      </c>
      <c r="AM175" s="58">
        <v>13000000</v>
      </c>
      <c r="AN175" s="58">
        <v>13000000</v>
      </c>
      <c r="AO175" s="57"/>
      <c r="AP175" s="58"/>
      <c r="AQ175" s="58"/>
      <c r="AR175" s="58"/>
      <c r="AS175" s="57"/>
      <c r="AT175" s="58"/>
      <c r="AU175" s="59"/>
      <c r="AV175" s="59"/>
      <c r="AW175" s="57"/>
      <c r="AX175" s="58"/>
      <c r="AY175" s="58"/>
      <c r="AZ175" s="58"/>
      <c r="BA175" s="57"/>
      <c r="BB175" s="58"/>
      <c r="BC175" s="58"/>
      <c r="BD175" s="58"/>
      <c r="BE175" s="57"/>
      <c r="BF175" s="58"/>
      <c r="BG175" s="59"/>
      <c r="BH175" s="59"/>
      <c r="BI175" s="57"/>
      <c r="BJ175" s="58"/>
      <c r="BK175" s="58"/>
      <c r="BL175" s="58"/>
      <c r="BM175" s="53">
        <f>+AC175+AG175+AK175+AO175+AS175+AW175+BA175+BE175+BI175</f>
        <v>15000000</v>
      </c>
      <c r="BN175" s="54">
        <f t="shared" ref="BN175:BP176" si="354">AD175+AH175+AL175+AP175+AT175+AX175+BB175+BF175+BJ175</f>
        <v>15000000</v>
      </c>
      <c r="BO175" s="54">
        <f t="shared" si="354"/>
        <v>13000000</v>
      </c>
      <c r="BP175" s="54">
        <f t="shared" si="354"/>
        <v>13000000</v>
      </c>
      <c r="BQ175" s="83"/>
      <c r="BR175" s="83"/>
      <c r="BS175" s="83"/>
      <c r="BT175" s="83"/>
      <c r="BU175" s="83"/>
      <c r="BV175" s="83"/>
      <c r="BW175" s="83"/>
      <c r="BX175" s="83"/>
      <c r="BY175" s="83"/>
      <c r="BZ175" s="83">
        <v>20000000</v>
      </c>
      <c r="CA175" s="83">
        <v>23000000</v>
      </c>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1">
        <f t="shared" ref="DE175:DH176" si="355">BQ175+BU175+BZ175+CE175+CI175+CM175+CQ175+CV175+DA175</f>
        <v>20000000</v>
      </c>
      <c r="DF175" s="95">
        <f t="shared" si="355"/>
        <v>23000000</v>
      </c>
      <c r="DG175" s="95">
        <f t="shared" si="355"/>
        <v>0</v>
      </c>
      <c r="DH175" s="95">
        <f t="shared" si="355"/>
        <v>0</v>
      </c>
      <c r="DI175" s="95"/>
      <c r="DJ175" s="84"/>
      <c r="DK175" s="65"/>
      <c r="DL175" s="84"/>
      <c r="DM175" s="84"/>
      <c r="DN175" s="84"/>
      <c r="DO175" s="84">
        <v>450000000</v>
      </c>
      <c r="DP175" s="84"/>
      <c r="DQ175" s="84"/>
      <c r="DR175" s="84"/>
      <c r="DS175" s="84">
        <v>7500000</v>
      </c>
      <c r="DT175" s="84">
        <v>24230000</v>
      </c>
      <c r="DU175" s="84">
        <v>24229000</v>
      </c>
      <c r="DV175" s="84">
        <v>24229000</v>
      </c>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3"/>
      <c r="EU175" s="83"/>
      <c r="EV175" s="83"/>
      <c r="EW175" s="81">
        <f t="shared" ref="EW175:EX176" si="356">DJ175+DN175+DS175+DX175+EB175+EF175+EJ175+EN175+ES175</f>
        <v>7500000</v>
      </c>
      <c r="EX175" s="86">
        <f t="shared" si="356"/>
        <v>474230000</v>
      </c>
      <c r="EY175" s="86">
        <f t="shared" ref="EY175:EZ176" si="357">DL175+DP175+DU175+DZ175+ED175+EH175+EL175+EP175+EU175</f>
        <v>24229000</v>
      </c>
      <c r="EZ175" s="86">
        <f t="shared" si="357"/>
        <v>24229000</v>
      </c>
      <c r="FA175" s="176"/>
      <c r="FB175" s="83"/>
      <c r="FC175" s="84"/>
      <c r="FD175" s="84"/>
      <c r="FE175" s="84"/>
      <c r="FF175" s="140"/>
      <c r="FG175" s="83"/>
      <c r="FH175" s="83"/>
      <c r="FI175" s="83"/>
      <c r="FJ175" s="83"/>
      <c r="FK175" s="83"/>
      <c r="FL175" s="83">
        <v>7500000</v>
      </c>
      <c r="FM175" s="83">
        <v>15484348</v>
      </c>
      <c r="FN175" s="83">
        <v>15484000</v>
      </c>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1">
        <f>FB175+FG175+FL175+FQ175+FV175+GA175+GF175+GK175+GP175</f>
        <v>7500000</v>
      </c>
      <c r="GV175" s="81">
        <f t="shared" ref="GV175:GY176" si="358">GQ175+GL175+GG175+GB175+FW175+FR175+FM175+FH175+FC175</f>
        <v>15484348</v>
      </c>
      <c r="GW175" s="81">
        <f t="shared" si="358"/>
        <v>15484000</v>
      </c>
      <c r="GX175" s="81">
        <f t="shared" si="358"/>
        <v>0</v>
      </c>
      <c r="GY175" s="673">
        <f t="shared" si="358"/>
        <v>0</v>
      </c>
      <c r="GZ175" s="67">
        <f>BM175+DE175+EW175+GU175</f>
        <v>50000000</v>
      </c>
    </row>
    <row r="176" spans="1:208" ht="78.75" customHeight="1" x14ac:dyDescent="0.2">
      <c r="A176" s="326"/>
      <c r="B176" s="372"/>
      <c r="C176" s="277"/>
      <c r="D176" s="723"/>
      <c r="E176" s="724"/>
      <c r="F176" s="378"/>
      <c r="G176" s="265">
        <v>121</v>
      </c>
      <c r="H176" s="261" t="s">
        <v>422</v>
      </c>
      <c r="I176" s="275" t="s">
        <v>423</v>
      </c>
      <c r="J176" s="262" t="s">
        <v>401</v>
      </c>
      <c r="K176" s="415">
        <v>5</v>
      </c>
      <c r="L176" s="460" t="s">
        <v>73</v>
      </c>
      <c r="M176" s="288">
        <v>9</v>
      </c>
      <c r="N176" s="264">
        <v>16</v>
      </c>
      <c r="O176" s="461">
        <v>4</v>
      </c>
      <c r="P176" s="394">
        <v>4</v>
      </c>
      <c r="Q176" s="462">
        <v>4</v>
      </c>
      <c r="R176" s="268"/>
      <c r="S176" s="388">
        <v>4</v>
      </c>
      <c r="T176" s="462">
        <v>4</v>
      </c>
      <c r="U176" s="462"/>
      <c r="V176" s="388">
        <v>4</v>
      </c>
      <c r="W176" s="462">
        <v>4</v>
      </c>
      <c r="X176" s="460"/>
      <c r="Y176" s="562">
        <v>3</v>
      </c>
      <c r="Z176" s="443">
        <f>BM176/BM174</f>
        <v>0.5</v>
      </c>
      <c r="AA176" s="264">
        <v>11</v>
      </c>
      <c r="AB176" s="263" t="s">
        <v>229</v>
      </c>
      <c r="AC176" s="57"/>
      <c r="AD176" s="58"/>
      <c r="AE176" s="59"/>
      <c r="AF176" s="59"/>
      <c r="AG176" s="57"/>
      <c r="AH176" s="58"/>
      <c r="AI176" s="58"/>
      <c r="AJ176" s="58"/>
      <c r="AK176" s="57">
        <v>15000000</v>
      </c>
      <c r="AL176" s="55">
        <v>15000000</v>
      </c>
      <c r="AM176" s="58">
        <v>15000000</v>
      </c>
      <c r="AN176" s="58">
        <v>15000000</v>
      </c>
      <c r="AO176" s="57"/>
      <c r="AP176" s="58"/>
      <c r="AQ176" s="58"/>
      <c r="AR176" s="58"/>
      <c r="AS176" s="57"/>
      <c r="AT176" s="58"/>
      <c r="AU176" s="59"/>
      <c r="AV176" s="59"/>
      <c r="AW176" s="57"/>
      <c r="AX176" s="58"/>
      <c r="AY176" s="58"/>
      <c r="AZ176" s="58"/>
      <c r="BA176" s="57"/>
      <c r="BB176" s="58"/>
      <c r="BC176" s="58"/>
      <c r="BD176" s="58"/>
      <c r="BE176" s="57"/>
      <c r="BF176" s="58"/>
      <c r="BG176" s="59"/>
      <c r="BH176" s="59"/>
      <c r="BI176" s="57"/>
      <c r="BJ176" s="58"/>
      <c r="BK176" s="58"/>
      <c r="BL176" s="58"/>
      <c r="BM176" s="53">
        <f>+AC176+AG176+AK176+AO176+AS176+AW176+BA176+BE176+BI176</f>
        <v>15000000</v>
      </c>
      <c r="BN176" s="54">
        <f t="shared" si="354"/>
        <v>15000000</v>
      </c>
      <c r="BO176" s="54">
        <f t="shared" si="354"/>
        <v>15000000</v>
      </c>
      <c r="BP176" s="54">
        <f t="shared" si="354"/>
        <v>15000000</v>
      </c>
      <c r="BQ176" s="83"/>
      <c r="BR176" s="83"/>
      <c r="BS176" s="83"/>
      <c r="BT176" s="83"/>
      <c r="BU176" s="83"/>
      <c r="BV176" s="83">
        <v>50000000</v>
      </c>
      <c r="BW176" s="83">
        <v>50000000</v>
      </c>
      <c r="BX176" s="83">
        <v>50000000</v>
      </c>
      <c r="BY176" s="83"/>
      <c r="BZ176" s="83">
        <v>20000000</v>
      </c>
      <c r="CA176" s="83">
        <v>77000000</v>
      </c>
      <c r="CB176" s="83">
        <v>76436000</v>
      </c>
      <c r="CC176" s="83">
        <v>76436000</v>
      </c>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1">
        <f t="shared" si="355"/>
        <v>20000000</v>
      </c>
      <c r="DF176" s="95">
        <f t="shared" si="355"/>
        <v>127000000</v>
      </c>
      <c r="DG176" s="95">
        <f t="shared" si="355"/>
        <v>126436000</v>
      </c>
      <c r="DH176" s="95">
        <f t="shared" si="355"/>
        <v>126436000</v>
      </c>
      <c r="DI176" s="95"/>
      <c r="DJ176" s="84"/>
      <c r="DK176" s="65"/>
      <c r="DL176" s="84"/>
      <c r="DM176" s="84"/>
      <c r="DN176" s="84"/>
      <c r="DO176" s="84">
        <v>20000000</v>
      </c>
      <c r="DP176" s="84">
        <v>20000000</v>
      </c>
      <c r="DQ176" s="84">
        <v>20000000</v>
      </c>
      <c r="DR176" s="84"/>
      <c r="DS176" s="84">
        <v>7500000</v>
      </c>
      <c r="DT176" s="84">
        <v>55770000</v>
      </c>
      <c r="DU176" s="84">
        <v>55770000</v>
      </c>
      <c r="DV176" s="84">
        <v>55770000</v>
      </c>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3"/>
      <c r="EU176" s="83"/>
      <c r="EV176" s="83"/>
      <c r="EW176" s="81">
        <f t="shared" si="356"/>
        <v>7500000</v>
      </c>
      <c r="EX176" s="86">
        <f t="shared" si="356"/>
        <v>75770000</v>
      </c>
      <c r="EY176" s="86">
        <f t="shared" si="357"/>
        <v>75770000</v>
      </c>
      <c r="EZ176" s="86">
        <f t="shared" si="357"/>
        <v>75770000</v>
      </c>
      <c r="FA176" s="176"/>
      <c r="FB176" s="83"/>
      <c r="FC176" s="84"/>
      <c r="FD176" s="84"/>
      <c r="FE176" s="84"/>
      <c r="FF176" s="140"/>
      <c r="FG176" s="83"/>
      <c r="FH176" s="83"/>
      <c r="FI176" s="83"/>
      <c r="FJ176" s="83"/>
      <c r="FK176" s="83"/>
      <c r="FL176" s="83">
        <v>7500000</v>
      </c>
      <c r="FM176" s="83">
        <v>63915652</v>
      </c>
      <c r="FN176" s="83">
        <v>32772300</v>
      </c>
      <c r="FO176" s="83">
        <v>24388300</v>
      </c>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1">
        <f>FB176+FG176+FL176+FQ176+FV176+GA176+GF176+GK176+GP176</f>
        <v>7500000</v>
      </c>
      <c r="GV176" s="81">
        <f t="shared" si="358"/>
        <v>63915652</v>
      </c>
      <c r="GW176" s="81">
        <f t="shared" si="358"/>
        <v>32772300</v>
      </c>
      <c r="GX176" s="81">
        <f t="shared" si="358"/>
        <v>24388300</v>
      </c>
      <c r="GY176" s="673">
        <f t="shared" si="358"/>
        <v>0</v>
      </c>
      <c r="GZ176" s="67">
        <f>BM176+DE176+EW176+GU176</f>
        <v>50000000</v>
      </c>
    </row>
    <row r="177" spans="1:208" s="468" customFormat="1" ht="24.75" customHeight="1" x14ac:dyDescent="0.2">
      <c r="A177" s="463"/>
      <c r="B177" s="464">
        <v>11</v>
      </c>
      <c r="C177" s="465" t="s">
        <v>424</v>
      </c>
      <c r="D177" s="466"/>
      <c r="E177" s="466"/>
      <c r="F177" s="466"/>
      <c r="G177" s="467"/>
      <c r="H177" s="467"/>
      <c r="I177" s="467"/>
      <c r="J177" s="467"/>
      <c r="K177" s="467"/>
      <c r="L177" s="467"/>
      <c r="M177" s="467"/>
      <c r="N177" s="467"/>
      <c r="O177" s="467"/>
      <c r="P177" s="467"/>
      <c r="Q177" s="467"/>
      <c r="R177" s="467"/>
      <c r="S177" s="467"/>
      <c r="T177" s="467"/>
      <c r="U177" s="467"/>
      <c r="V177" s="467"/>
      <c r="W177" s="467"/>
      <c r="X177" s="467"/>
      <c r="Y177" s="241"/>
      <c r="Z177" s="467"/>
      <c r="AA177" s="467"/>
      <c r="AB177" s="467"/>
      <c r="AC177" s="193">
        <f t="shared" ref="AC177:CN177" si="359">AC178+AC184</f>
        <v>0</v>
      </c>
      <c r="AD177" s="193">
        <f t="shared" si="359"/>
        <v>0</v>
      </c>
      <c r="AE177" s="193">
        <f t="shared" si="359"/>
        <v>0</v>
      </c>
      <c r="AF177" s="193">
        <f t="shared" si="359"/>
        <v>0</v>
      </c>
      <c r="AG177" s="193">
        <f t="shared" si="359"/>
        <v>0</v>
      </c>
      <c r="AH177" s="193">
        <f t="shared" si="359"/>
        <v>0</v>
      </c>
      <c r="AI177" s="193">
        <f t="shared" si="359"/>
        <v>0</v>
      </c>
      <c r="AJ177" s="193">
        <f t="shared" si="359"/>
        <v>0</v>
      </c>
      <c r="AK177" s="193">
        <f t="shared" si="359"/>
        <v>50000000</v>
      </c>
      <c r="AL177" s="193">
        <f t="shared" si="359"/>
        <v>460000000</v>
      </c>
      <c r="AM177" s="193">
        <f t="shared" si="359"/>
        <v>453355232</v>
      </c>
      <c r="AN177" s="193">
        <f t="shared" si="359"/>
        <v>262997576</v>
      </c>
      <c r="AO177" s="193">
        <f t="shared" si="359"/>
        <v>0</v>
      </c>
      <c r="AP177" s="193">
        <f t="shared" si="359"/>
        <v>0</v>
      </c>
      <c r="AQ177" s="193">
        <f t="shared" si="359"/>
        <v>0</v>
      </c>
      <c r="AR177" s="193">
        <f t="shared" si="359"/>
        <v>0</v>
      </c>
      <c r="AS177" s="193">
        <f t="shared" si="359"/>
        <v>0</v>
      </c>
      <c r="AT177" s="193">
        <f t="shared" si="359"/>
        <v>0</v>
      </c>
      <c r="AU177" s="193">
        <f t="shared" si="359"/>
        <v>0</v>
      </c>
      <c r="AV177" s="193">
        <f t="shared" si="359"/>
        <v>0</v>
      </c>
      <c r="AW177" s="193">
        <f t="shared" si="359"/>
        <v>0</v>
      </c>
      <c r="AX177" s="193">
        <f t="shared" si="359"/>
        <v>0</v>
      </c>
      <c r="AY177" s="193">
        <f t="shared" si="359"/>
        <v>0</v>
      </c>
      <c r="AZ177" s="193">
        <f t="shared" si="359"/>
        <v>0</v>
      </c>
      <c r="BA177" s="193">
        <f t="shared" si="359"/>
        <v>0</v>
      </c>
      <c r="BB177" s="193">
        <f t="shared" si="359"/>
        <v>0</v>
      </c>
      <c r="BC177" s="193">
        <f t="shared" si="359"/>
        <v>0</v>
      </c>
      <c r="BD177" s="193">
        <f t="shared" si="359"/>
        <v>0</v>
      </c>
      <c r="BE177" s="193">
        <f t="shared" si="359"/>
        <v>100000000</v>
      </c>
      <c r="BF177" s="193">
        <f t="shared" si="359"/>
        <v>100000000</v>
      </c>
      <c r="BG177" s="193">
        <f t="shared" si="359"/>
        <v>70813333</v>
      </c>
      <c r="BH177" s="193">
        <f t="shared" si="359"/>
        <v>70813333</v>
      </c>
      <c r="BI177" s="193">
        <f t="shared" si="359"/>
        <v>1250000000</v>
      </c>
      <c r="BJ177" s="193">
        <f t="shared" si="359"/>
        <v>0</v>
      </c>
      <c r="BK177" s="193">
        <f t="shared" si="359"/>
        <v>0</v>
      </c>
      <c r="BL177" s="193">
        <f t="shared" si="359"/>
        <v>0</v>
      </c>
      <c r="BM177" s="193">
        <f t="shared" si="359"/>
        <v>1400000000</v>
      </c>
      <c r="BN177" s="193">
        <f t="shared" si="359"/>
        <v>560000000</v>
      </c>
      <c r="BO177" s="193">
        <f t="shared" si="359"/>
        <v>524168565</v>
      </c>
      <c r="BP177" s="193">
        <f t="shared" si="359"/>
        <v>333810909</v>
      </c>
      <c r="BQ177" s="193">
        <f t="shared" si="359"/>
        <v>0</v>
      </c>
      <c r="BR177" s="193">
        <f t="shared" si="359"/>
        <v>0</v>
      </c>
      <c r="BS177" s="193">
        <f t="shared" si="359"/>
        <v>0</v>
      </c>
      <c r="BT177" s="193">
        <f t="shared" si="359"/>
        <v>0</v>
      </c>
      <c r="BU177" s="193">
        <f t="shared" si="359"/>
        <v>0</v>
      </c>
      <c r="BV177" s="193">
        <f t="shared" si="359"/>
        <v>115000000</v>
      </c>
      <c r="BW177" s="193">
        <f t="shared" si="359"/>
        <v>93894761</v>
      </c>
      <c r="BX177" s="193">
        <f t="shared" si="359"/>
        <v>93894761</v>
      </c>
      <c r="BY177" s="193">
        <f t="shared" si="359"/>
        <v>0</v>
      </c>
      <c r="BZ177" s="193">
        <f t="shared" si="359"/>
        <v>50000000</v>
      </c>
      <c r="CA177" s="193">
        <f t="shared" si="359"/>
        <v>180000000</v>
      </c>
      <c r="CB177" s="193">
        <f t="shared" si="359"/>
        <v>78513332</v>
      </c>
      <c r="CC177" s="193">
        <f t="shared" si="359"/>
        <v>78513332</v>
      </c>
      <c r="CD177" s="193">
        <f t="shared" si="359"/>
        <v>0</v>
      </c>
      <c r="CE177" s="193">
        <f t="shared" si="359"/>
        <v>0</v>
      </c>
      <c r="CF177" s="193">
        <f t="shared" si="359"/>
        <v>0</v>
      </c>
      <c r="CG177" s="193">
        <f t="shared" si="359"/>
        <v>0</v>
      </c>
      <c r="CH177" s="193">
        <f t="shared" si="359"/>
        <v>0</v>
      </c>
      <c r="CI177" s="193">
        <f t="shared" si="359"/>
        <v>0</v>
      </c>
      <c r="CJ177" s="193">
        <f t="shared" si="359"/>
        <v>0</v>
      </c>
      <c r="CK177" s="193">
        <f t="shared" si="359"/>
        <v>0</v>
      </c>
      <c r="CL177" s="193">
        <f t="shared" si="359"/>
        <v>0</v>
      </c>
      <c r="CM177" s="193">
        <f t="shared" si="359"/>
        <v>0</v>
      </c>
      <c r="CN177" s="193">
        <f t="shared" si="359"/>
        <v>0</v>
      </c>
      <c r="CO177" s="193">
        <f t="shared" ref="CO177:EV177" si="360">CO178+CO184</f>
        <v>0</v>
      </c>
      <c r="CP177" s="193">
        <f t="shared" si="360"/>
        <v>0</v>
      </c>
      <c r="CQ177" s="193">
        <f t="shared" si="360"/>
        <v>0</v>
      </c>
      <c r="CR177" s="193">
        <f t="shared" si="360"/>
        <v>0</v>
      </c>
      <c r="CS177" s="193">
        <f t="shared" si="360"/>
        <v>0</v>
      </c>
      <c r="CT177" s="193">
        <f t="shared" si="360"/>
        <v>0</v>
      </c>
      <c r="CU177" s="193">
        <f t="shared" si="360"/>
        <v>0</v>
      </c>
      <c r="CV177" s="193">
        <f t="shared" si="360"/>
        <v>103000000</v>
      </c>
      <c r="CW177" s="193">
        <f t="shared" si="360"/>
        <v>189400000</v>
      </c>
      <c r="CX177" s="193">
        <f t="shared" si="360"/>
        <v>165315000</v>
      </c>
      <c r="CY177" s="193">
        <f t="shared" si="360"/>
        <v>150805000</v>
      </c>
      <c r="CZ177" s="193">
        <f t="shared" si="360"/>
        <v>0</v>
      </c>
      <c r="DA177" s="193">
        <f t="shared" si="360"/>
        <v>1250000000</v>
      </c>
      <c r="DB177" s="193">
        <f t="shared" si="360"/>
        <v>0</v>
      </c>
      <c r="DC177" s="193">
        <f t="shared" si="360"/>
        <v>0</v>
      </c>
      <c r="DD177" s="193">
        <f t="shared" si="360"/>
        <v>0</v>
      </c>
      <c r="DE177" s="193">
        <f t="shared" si="360"/>
        <v>1403000000</v>
      </c>
      <c r="DF177" s="193">
        <f t="shared" si="360"/>
        <v>484400000</v>
      </c>
      <c r="DG177" s="193">
        <f t="shared" si="360"/>
        <v>337723093</v>
      </c>
      <c r="DH177" s="193">
        <f t="shared" si="360"/>
        <v>323213093</v>
      </c>
      <c r="DI177" s="193">
        <f t="shared" si="360"/>
        <v>0</v>
      </c>
      <c r="DJ177" s="193">
        <f t="shared" si="360"/>
        <v>0</v>
      </c>
      <c r="DK177" s="193">
        <f t="shared" si="360"/>
        <v>0</v>
      </c>
      <c r="DL177" s="193">
        <f t="shared" si="360"/>
        <v>0</v>
      </c>
      <c r="DM177" s="193">
        <f t="shared" si="360"/>
        <v>0</v>
      </c>
      <c r="DN177" s="193">
        <f t="shared" si="360"/>
        <v>0</v>
      </c>
      <c r="DO177" s="193">
        <f t="shared" si="360"/>
        <v>125000000</v>
      </c>
      <c r="DP177" s="193">
        <f t="shared" si="360"/>
        <v>108481083</v>
      </c>
      <c r="DQ177" s="193">
        <f t="shared" si="360"/>
        <v>107556283</v>
      </c>
      <c r="DR177" s="193">
        <f t="shared" si="360"/>
        <v>0</v>
      </c>
      <c r="DS177" s="193">
        <f t="shared" si="360"/>
        <v>15000000</v>
      </c>
      <c r="DT177" s="193">
        <f t="shared" si="360"/>
        <v>190000000</v>
      </c>
      <c r="DU177" s="193">
        <f t="shared" si="360"/>
        <v>144255487</v>
      </c>
      <c r="DV177" s="193">
        <f t="shared" si="360"/>
        <v>144222287</v>
      </c>
      <c r="DW177" s="193">
        <f t="shared" si="360"/>
        <v>0</v>
      </c>
      <c r="DX177" s="193">
        <f t="shared" si="360"/>
        <v>0</v>
      </c>
      <c r="DY177" s="193">
        <f t="shared" si="360"/>
        <v>0</v>
      </c>
      <c r="DZ177" s="193">
        <f t="shared" si="360"/>
        <v>0</v>
      </c>
      <c r="EA177" s="193">
        <f t="shared" si="360"/>
        <v>0</v>
      </c>
      <c r="EB177" s="193">
        <f t="shared" si="360"/>
        <v>0</v>
      </c>
      <c r="EC177" s="193">
        <f t="shared" si="360"/>
        <v>0</v>
      </c>
      <c r="ED177" s="193">
        <f t="shared" si="360"/>
        <v>0</v>
      </c>
      <c r="EE177" s="193">
        <f t="shared" si="360"/>
        <v>0</v>
      </c>
      <c r="EF177" s="193">
        <f t="shared" si="360"/>
        <v>0</v>
      </c>
      <c r="EG177" s="193">
        <f t="shared" si="360"/>
        <v>0</v>
      </c>
      <c r="EH177" s="193">
        <f t="shared" si="360"/>
        <v>0</v>
      </c>
      <c r="EI177" s="193">
        <f t="shared" si="360"/>
        <v>0</v>
      </c>
      <c r="EJ177" s="193">
        <f t="shared" si="360"/>
        <v>0</v>
      </c>
      <c r="EK177" s="193">
        <f t="shared" si="360"/>
        <v>0</v>
      </c>
      <c r="EL177" s="193">
        <f t="shared" si="360"/>
        <v>0</v>
      </c>
      <c r="EM177" s="193">
        <f t="shared" si="360"/>
        <v>0</v>
      </c>
      <c r="EN177" s="193">
        <f t="shared" si="360"/>
        <v>106090000</v>
      </c>
      <c r="EO177" s="193">
        <f t="shared" si="360"/>
        <v>157282000</v>
      </c>
      <c r="EP177" s="193">
        <f t="shared" si="360"/>
        <v>152523333</v>
      </c>
      <c r="EQ177" s="193">
        <f t="shared" si="360"/>
        <v>152523333</v>
      </c>
      <c r="ER177" s="193">
        <f t="shared" si="360"/>
        <v>0</v>
      </c>
      <c r="ES177" s="193">
        <f t="shared" si="360"/>
        <v>1250000000</v>
      </c>
      <c r="ET177" s="193">
        <f t="shared" si="360"/>
        <v>0</v>
      </c>
      <c r="EU177" s="193">
        <f t="shared" si="360"/>
        <v>0</v>
      </c>
      <c r="EV177" s="193">
        <f t="shared" si="360"/>
        <v>0</v>
      </c>
      <c r="EW177" s="193">
        <f t="shared" ref="EW177" si="361">EW178+EW184</f>
        <v>1371090000</v>
      </c>
      <c r="EX177" s="193">
        <f t="shared" ref="EX177:GZ177" si="362">EX178+EX184</f>
        <v>472282000</v>
      </c>
      <c r="EY177" s="193">
        <f t="shared" si="362"/>
        <v>405259903</v>
      </c>
      <c r="EZ177" s="193">
        <f t="shared" si="362"/>
        <v>404301903</v>
      </c>
      <c r="FA177" s="193">
        <f t="shared" si="362"/>
        <v>0</v>
      </c>
      <c r="FB177" s="193">
        <f t="shared" si="362"/>
        <v>0</v>
      </c>
      <c r="FC177" s="193">
        <f t="shared" si="362"/>
        <v>0</v>
      </c>
      <c r="FD177" s="193">
        <f t="shared" si="362"/>
        <v>0</v>
      </c>
      <c r="FE177" s="193">
        <f t="shared" si="362"/>
        <v>0</v>
      </c>
      <c r="FF177" s="193">
        <f t="shared" si="362"/>
        <v>0</v>
      </c>
      <c r="FG177" s="193">
        <f t="shared" si="362"/>
        <v>0</v>
      </c>
      <c r="FH177" s="193">
        <f t="shared" si="362"/>
        <v>0</v>
      </c>
      <c r="FI177" s="193">
        <f t="shared" si="362"/>
        <v>0</v>
      </c>
      <c r="FJ177" s="193">
        <f t="shared" si="362"/>
        <v>0</v>
      </c>
      <c r="FK177" s="193">
        <f t="shared" si="362"/>
        <v>924800</v>
      </c>
      <c r="FL177" s="193">
        <f t="shared" si="362"/>
        <v>12500000</v>
      </c>
      <c r="FM177" s="193">
        <f t="shared" si="362"/>
        <v>168373530</v>
      </c>
      <c r="FN177" s="193">
        <f t="shared" si="362"/>
        <v>97504426</v>
      </c>
      <c r="FO177" s="193">
        <f t="shared" si="362"/>
        <v>63375000</v>
      </c>
      <c r="FP177" s="193">
        <f t="shared" si="362"/>
        <v>33200</v>
      </c>
      <c r="FQ177" s="193">
        <f t="shared" si="362"/>
        <v>0</v>
      </c>
      <c r="FR177" s="193">
        <f t="shared" si="362"/>
        <v>0</v>
      </c>
      <c r="FS177" s="193">
        <f t="shared" si="362"/>
        <v>0</v>
      </c>
      <c r="FT177" s="193">
        <f t="shared" si="362"/>
        <v>0</v>
      </c>
      <c r="FU177" s="193">
        <f t="shared" si="362"/>
        <v>0</v>
      </c>
      <c r="FV177" s="193">
        <f t="shared" si="362"/>
        <v>0</v>
      </c>
      <c r="FW177" s="193">
        <f t="shared" si="362"/>
        <v>0</v>
      </c>
      <c r="FX177" s="193">
        <f t="shared" si="362"/>
        <v>0</v>
      </c>
      <c r="FY177" s="193">
        <f t="shared" si="362"/>
        <v>0</v>
      </c>
      <c r="FZ177" s="193">
        <f t="shared" si="362"/>
        <v>0</v>
      </c>
      <c r="GA177" s="193">
        <f t="shared" si="362"/>
        <v>0</v>
      </c>
      <c r="GB177" s="193">
        <f t="shared" si="362"/>
        <v>0</v>
      </c>
      <c r="GC177" s="193">
        <f t="shared" si="362"/>
        <v>0</v>
      </c>
      <c r="GD177" s="193">
        <f t="shared" si="362"/>
        <v>0</v>
      </c>
      <c r="GE177" s="193">
        <f t="shared" si="362"/>
        <v>0</v>
      </c>
      <c r="GF177" s="193">
        <f t="shared" si="362"/>
        <v>0</v>
      </c>
      <c r="GG177" s="193">
        <f t="shared" si="362"/>
        <v>0</v>
      </c>
      <c r="GH177" s="193">
        <f t="shared" si="362"/>
        <v>0</v>
      </c>
      <c r="GI177" s="193">
        <f t="shared" si="362"/>
        <v>0</v>
      </c>
      <c r="GJ177" s="193">
        <f t="shared" si="362"/>
        <v>0</v>
      </c>
      <c r="GK177" s="193">
        <f t="shared" si="362"/>
        <v>109272700</v>
      </c>
      <c r="GL177" s="193">
        <f t="shared" si="362"/>
        <v>196000000</v>
      </c>
      <c r="GM177" s="193">
        <f t="shared" si="362"/>
        <v>114996666</v>
      </c>
      <c r="GN177" s="193">
        <f t="shared" si="362"/>
        <v>85214000</v>
      </c>
      <c r="GO177" s="193">
        <f t="shared" si="362"/>
        <v>0</v>
      </c>
      <c r="GP177" s="193">
        <f t="shared" si="362"/>
        <v>2247500000</v>
      </c>
      <c r="GQ177" s="193">
        <f t="shared" si="362"/>
        <v>0</v>
      </c>
      <c r="GR177" s="193">
        <f t="shared" si="362"/>
        <v>0</v>
      </c>
      <c r="GS177" s="193">
        <f t="shared" si="362"/>
        <v>0</v>
      </c>
      <c r="GT177" s="193">
        <f t="shared" si="362"/>
        <v>0</v>
      </c>
      <c r="GU177" s="193">
        <f t="shared" si="362"/>
        <v>2369272700</v>
      </c>
      <c r="GV177" s="193">
        <f t="shared" si="362"/>
        <v>364373530</v>
      </c>
      <c r="GW177" s="193">
        <f t="shared" si="362"/>
        <v>212501092</v>
      </c>
      <c r="GX177" s="193">
        <f t="shared" si="362"/>
        <v>148589000</v>
      </c>
      <c r="GY177" s="193">
        <f t="shared" si="362"/>
        <v>958000</v>
      </c>
      <c r="GZ177" s="606">
        <f t="shared" si="362"/>
        <v>6543362700</v>
      </c>
    </row>
    <row r="178" spans="1:208" s="468" customFormat="1" ht="24.75" customHeight="1" x14ac:dyDescent="0.2">
      <c r="A178" s="463"/>
      <c r="B178" s="1030"/>
      <c r="C178" s="469">
        <v>34</v>
      </c>
      <c r="D178" s="470" t="s">
        <v>425</v>
      </c>
      <c r="E178" s="471"/>
      <c r="F178" s="471"/>
      <c r="G178" s="469"/>
      <c r="H178" s="469"/>
      <c r="I178" s="469"/>
      <c r="J178" s="469"/>
      <c r="K178" s="469"/>
      <c r="L178" s="469"/>
      <c r="M178" s="469"/>
      <c r="N178" s="469"/>
      <c r="O178" s="469"/>
      <c r="P178" s="469"/>
      <c r="Q178" s="469"/>
      <c r="R178" s="469"/>
      <c r="S178" s="469"/>
      <c r="T178" s="469"/>
      <c r="U178" s="469"/>
      <c r="V178" s="469"/>
      <c r="W178" s="469"/>
      <c r="X178" s="469"/>
      <c r="Y178" s="625"/>
      <c r="Z178" s="469"/>
      <c r="AA178" s="469"/>
      <c r="AB178" s="469"/>
      <c r="AC178" s="194">
        <f t="shared" ref="AC178:BL178" si="363">SUM(AC179:AC183)</f>
        <v>0</v>
      </c>
      <c r="AD178" s="194">
        <f t="shared" si="363"/>
        <v>0</v>
      </c>
      <c r="AE178" s="194">
        <f t="shared" si="363"/>
        <v>0</v>
      </c>
      <c r="AF178" s="194">
        <f t="shared" si="363"/>
        <v>0</v>
      </c>
      <c r="AG178" s="194">
        <f t="shared" si="363"/>
        <v>0</v>
      </c>
      <c r="AH178" s="194">
        <f t="shared" si="363"/>
        <v>0</v>
      </c>
      <c r="AI178" s="194">
        <f t="shared" si="363"/>
        <v>0</v>
      </c>
      <c r="AJ178" s="194">
        <f t="shared" si="363"/>
        <v>0</v>
      </c>
      <c r="AK178" s="194">
        <f t="shared" si="363"/>
        <v>50000000</v>
      </c>
      <c r="AL178" s="194">
        <f t="shared" si="363"/>
        <v>460000000</v>
      </c>
      <c r="AM178" s="194">
        <f t="shared" si="363"/>
        <v>453355232</v>
      </c>
      <c r="AN178" s="194">
        <f t="shared" si="363"/>
        <v>262997576</v>
      </c>
      <c r="AO178" s="194">
        <f t="shared" si="363"/>
        <v>0</v>
      </c>
      <c r="AP178" s="194">
        <f t="shared" si="363"/>
        <v>0</v>
      </c>
      <c r="AQ178" s="194">
        <f t="shared" si="363"/>
        <v>0</v>
      </c>
      <c r="AR178" s="194">
        <f t="shared" si="363"/>
        <v>0</v>
      </c>
      <c r="AS178" s="194">
        <f t="shared" si="363"/>
        <v>0</v>
      </c>
      <c r="AT178" s="194">
        <f t="shared" si="363"/>
        <v>0</v>
      </c>
      <c r="AU178" s="194">
        <f t="shared" si="363"/>
        <v>0</v>
      </c>
      <c r="AV178" s="194">
        <f t="shared" si="363"/>
        <v>0</v>
      </c>
      <c r="AW178" s="194">
        <f t="shared" si="363"/>
        <v>0</v>
      </c>
      <c r="AX178" s="194">
        <f t="shared" si="363"/>
        <v>0</v>
      </c>
      <c r="AY178" s="194">
        <f t="shared" si="363"/>
        <v>0</v>
      </c>
      <c r="AZ178" s="194">
        <f t="shared" si="363"/>
        <v>0</v>
      </c>
      <c r="BA178" s="194">
        <f t="shared" si="363"/>
        <v>0</v>
      </c>
      <c r="BB178" s="194">
        <f t="shared" si="363"/>
        <v>0</v>
      </c>
      <c r="BC178" s="194">
        <f t="shared" si="363"/>
        <v>0</v>
      </c>
      <c r="BD178" s="194">
        <f t="shared" si="363"/>
        <v>0</v>
      </c>
      <c r="BE178" s="194">
        <f t="shared" si="363"/>
        <v>0</v>
      </c>
      <c r="BF178" s="194">
        <f t="shared" si="363"/>
        <v>0</v>
      </c>
      <c r="BG178" s="194">
        <f t="shared" si="363"/>
        <v>0</v>
      </c>
      <c r="BH178" s="194">
        <f t="shared" si="363"/>
        <v>0</v>
      </c>
      <c r="BI178" s="194">
        <f t="shared" si="363"/>
        <v>1250000000</v>
      </c>
      <c r="BJ178" s="194">
        <f t="shared" si="363"/>
        <v>0</v>
      </c>
      <c r="BK178" s="194">
        <f t="shared" si="363"/>
        <v>0</v>
      </c>
      <c r="BL178" s="194">
        <f t="shared" si="363"/>
        <v>0</v>
      </c>
      <c r="BM178" s="194">
        <f t="shared" ref="BM178:DX178" si="364">SUM(BM179:BM183)</f>
        <v>1300000000</v>
      </c>
      <c r="BN178" s="194">
        <f t="shared" si="364"/>
        <v>460000000</v>
      </c>
      <c r="BO178" s="194">
        <f t="shared" si="364"/>
        <v>453355232</v>
      </c>
      <c r="BP178" s="194">
        <f t="shared" si="364"/>
        <v>262997576</v>
      </c>
      <c r="BQ178" s="194">
        <f t="shared" si="364"/>
        <v>0</v>
      </c>
      <c r="BR178" s="194">
        <f t="shared" si="364"/>
        <v>0</v>
      </c>
      <c r="BS178" s="194">
        <f t="shared" si="364"/>
        <v>0</v>
      </c>
      <c r="BT178" s="194">
        <f t="shared" si="364"/>
        <v>0</v>
      </c>
      <c r="BU178" s="194">
        <f t="shared" si="364"/>
        <v>0</v>
      </c>
      <c r="BV178" s="194">
        <f t="shared" si="364"/>
        <v>115000000</v>
      </c>
      <c r="BW178" s="194">
        <f t="shared" si="364"/>
        <v>93894761</v>
      </c>
      <c r="BX178" s="194">
        <f t="shared" si="364"/>
        <v>93894761</v>
      </c>
      <c r="BY178" s="194">
        <f t="shared" si="364"/>
        <v>0</v>
      </c>
      <c r="BZ178" s="194">
        <f t="shared" si="364"/>
        <v>50000000</v>
      </c>
      <c r="CA178" s="194">
        <f t="shared" si="364"/>
        <v>180000000</v>
      </c>
      <c r="CB178" s="194">
        <f t="shared" si="364"/>
        <v>78513332</v>
      </c>
      <c r="CC178" s="194">
        <f t="shared" si="364"/>
        <v>78513332</v>
      </c>
      <c r="CD178" s="194">
        <f t="shared" si="364"/>
        <v>0</v>
      </c>
      <c r="CE178" s="194">
        <f t="shared" si="364"/>
        <v>0</v>
      </c>
      <c r="CF178" s="194">
        <f t="shared" si="364"/>
        <v>0</v>
      </c>
      <c r="CG178" s="194">
        <f t="shared" si="364"/>
        <v>0</v>
      </c>
      <c r="CH178" s="194">
        <f t="shared" si="364"/>
        <v>0</v>
      </c>
      <c r="CI178" s="194">
        <f t="shared" si="364"/>
        <v>0</v>
      </c>
      <c r="CJ178" s="194">
        <f t="shared" si="364"/>
        <v>0</v>
      </c>
      <c r="CK178" s="194">
        <f t="shared" si="364"/>
        <v>0</v>
      </c>
      <c r="CL178" s="194">
        <f t="shared" si="364"/>
        <v>0</v>
      </c>
      <c r="CM178" s="194">
        <f t="shared" si="364"/>
        <v>0</v>
      </c>
      <c r="CN178" s="194">
        <f t="shared" si="364"/>
        <v>0</v>
      </c>
      <c r="CO178" s="194">
        <f t="shared" si="364"/>
        <v>0</v>
      </c>
      <c r="CP178" s="194">
        <f t="shared" si="364"/>
        <v>0</v>
      </c>
      <c r="CQ178" s="194">
        <f t="shared" si="364"/>
        <v>0</v>
      </c>
      <c r="CR178" s="194">
        <f t="shared" si="364"/>
        <v>0</v>
      </c>
      <c r="CS178" s="194">
        <f t="shared" si="364"/>
        <v>0</v>
      </c>
      <c r="CT178" s="194">
        <f t="shared" si="364"/>
        <v>0</v>
      </c>
      <c r="CU178" s="194">
        <f t="shared" si="364"/>
        <v>0</v>
      </c>
      <c r="CV178" s="194">
        <f t="shared" si="364"/>
        <v>0</v>
      </c>
      <c r="CW178" s="194">
        <f t="shared" si="364"/>
        <v>0</v>
      </c>
      <c r="CX178" s="194">
        <f t="shared" si="364"/>
        <v>0</v>
      </c>
      <c r="CY178" s="194">
        <f t="shared" si="364"/>
        <v>0</v>
      </c>
      <c r="CZ178" s="194">
        <f t="shared" si="364"/>
        <v>0</v>
      </c>
      <c r="DA178" s="194">
        <f t="shared" si="364"/>
        <v>1250000000</v>
      </c>
      <c r="DB178" s="194">
        <f t="shared" si="364"/>
        <v>0</v>
      </c>
      <c r="DC178" s="194">
        <f t="shared" si="364"/>
        <v>0</v>
      </c>
      <c r="DD178" s="194">
        <f t="shared" si="364"/>
        <v>0</v>
      </c>
      <c r="DE178" s="194">
        <f t="shared" si="364"/>
        <v>1300000000</v>
      </c>
      <c r="DF178" s="194">
        <f t="shared" si="364"/>
        <v>295000000</v>
      </c>
      <c r="DG178" s="194">
        <f t="shared" si="364"/>
        <v>172408093</v>
      </c>
      <c r="DH178" s="194">
        <f t="shared" si="364"/>
        <v>172408093</v>
      </c>
      <c r="DI178" s="194">
        <f t="shared" si="364"/>
        <v>0</v>
      </c>
      <c r="DJ178" s="194">
        <f t="shared" si="364"/>
        <v>0</v>
      </c>
      <c r="DK178" s="194">
        <f t="shared" si="364"/>
        <v>0</v>
      </c>
      <c r="DL178" s="194">
        <f t="shared" si="364"/>
        <v>0</v>
      </c>
      <c r="DM178" s="194">
        <f t="shared" si="364"/>
        <v>0</v>
      </c>
      <c r="DN178" s="194">
        <f t="shared" si="364"/>
        <v>0</v>
      </c>
      <c r="DO178" s="194">
        <f t="shared" si="364"/>
        <v>100000000</v>
      </c>
      <c r="DP178" s="194">
        <f t="shared" si="364"/>
        <v>87217083</v>
      </c>
      <c r="DQ178" s="194">
        <f t="shared" si="364"/>
        <v>86292283</v>
      </c>
      <c r="DR178" s="194">
        <f t="shared" si="364"/>
        <v>0</v>
      </c>
      <c r="DS178" s="194">
        <f t="shared" si="364"/>
        <v>15000000</v>
      </c>
      <c r="DT178" s="194">
        <f t="shared" si="364"/>
        <v>190000000</v>
      </c>
      <c r="DU178" s="194">
        <f t="shared" si="364"/>
        <v>144255487</v>
      </c>
      <c r="DV178" s="194">
        <f t="shared" si="364"/>
        <v>144222287</v>
      </c>
      <c r="DW178" s="194">
        <f t="shared" si="364"/>
        <v>0</v>
      </c>
      <c r="DX178" s="194">
        <f t="shared" si="364"/>
        <v>0</v>
      </c>
      <c r="DY178" s="194">
        <f t="shared" ref="DY178:EW178" si="365">SUM(DY179:DY183)</f>
        <v>0</v>
      </c>
      <c r="DZ178" s="194">
        <f t="shared" si="365"/>
        <v>0</v>
      </c>
      <c r="EA178" s="194">
        <f t="shared" si="365"/>
        <v>0</v>
      </c>
      <c r="EB178" s="194">
        <f t="shared" si="365"/>
        <v>0</v>
      </c>
      <c r="EC178" s="194">
        <f t="shared" si="365"/>
        <v>0</v>
      </c>
      <c r="ED178" s="194">
        <f t="shared" si="365"/>
        <v>0</v>
      </c>
      <c r="EE178" s="194">
        <f t="shared" si="365"/>
        <v>0</v>
      </c>
      <c r="EF178" s="194">
        <f t="shared" si="365"/>
        <v>0</v>
      </c>
      <c r="EG178" s="194">
        <f t="shared" si="365"/>
        <v>0</v>
      </c>
      <c r="EH178" s="194">
        <f t="shared" si="365"/>
        <v>0</v>
      </c>
      <c r="EI178" s="194">
        <f t="shared" si="365"/>
        <v>0</v>
      </c>
      <c r="EJ178" s="194">
        <f t="shared" si="365"/>
        <v>0</v>
      </c>
      <c r="EK178" s="194">
        <f t="shared" si="365"/>
        <v>0</v>
      </c>
      <c r="EL178" s="194">
        <f t="shared" si="365"/>
        <v>0</v>
      </c>
      <c r="EM178" s="194">
        <f t="shared" si="365"/>
        <v>0</v>
      </c>
      <c r="EN178" s="194">
        <f t="shared" si="365"/>
        <v>0</v>
      </c>
      <c r="EO178" s="194">
        <f t="shared" si="365"/>
        <v>0</v>
      </c>
      <c r="EP178" s="194">
        <f t="shared" si="365"/>
        <v>0</v>
      </c>
      <c r="EQ178" s="194">
        <f t="shared" si="365"/>
        <v>0</v>
      </c>
      <c r="ER178" s="194">
        <f t="shared" si="365"/>
        <v>0</v>
      </c>
      <c r="ES178" s="194">
        <f t="shared" si="365"/>
        <v>1250000000</v>
      </c>
      <c r="ET178" s="194">
        <f t="shared" si="365"/>
        <v>0</v>
      </c>
      <c r="EU178" s="194">
        <f t="shared" si="365"/>
        <v>0</v>
      </c>
      <c r="EV178" s="194">
        <f t="shared" si="365"/>
        <v>0</v>
      </c>
      <c r="EW178" s="194">
        <f t="shared" si="365"/>
        <v>1265000000</v>
      </c>
      <c r="EX178" s="194">
        <f t="shared" ref="EX178:GZ178" si="366">SUM(EX179:EX183)</f>
        <v>290000000</v>
      </c>
      <c r="EY178" s="194">
        <f t="shared" si="366"/>
        <v>231472570</v>
      </c>
      <c r="EZ178" s="194">
        <f t="shared" si="366"/>
        <v>230514570</v>
      </c>
      <c r="FA178" s="194">
        <f t="shared" si="366"/>
        <v>0</v>
      </c>
      <c r="FB178" s="194">
        <f t="shared" si="366"/>
        <v>0</v>
      </c>
      <c r="FC178" s="194">
        <f t="shared" si="366"/>
        <v>0</v>
      </c>
      <c r="FD178" s="194">
        <f t="shared" si="366"/>
        <v>0</v>
      </c>
      <c r="FE178" s="194">
        <f t="shared" si="366"/>
        <v>0</v>
      </c>
      <c r="FF178" s="194">
        <f t="shared" si="366"/>
        <v>0</v>
      </c>
      <c r="FG178" s="194">
        <f t="shared" si="366"/>
        <v>0</v>
      </c>
      <c r="FH178" s="194">
        <f t="shared" si="366"/>
        <v>0</v>
      </c>
      <c r="FI178" s="194">
        <f t="shared" si="366"/>
        <v>0</v>
      </c>
      <c r="FJ178" s="194">
        <f t="shared" si="366"/>
        <v>0</v>
      </c>
      <c r="FK178" s="194">
        <f t="shared" si="366"/>
        <v>924800</v>
      </c>
      <c r="FL178" s="194">
        <f t="shared" si="366"/>
        <v>12500000</v>
      </c>
      <c r="FM178" s="194">
        <f t="shared" si="366"/>
        <v>168373530</v>
      </c>
      <c r="FN178" s="194">
        <f t="shared" si="366"/>
        <v>97504426</v>
      </c>
      <c r="FO178" s="194">
        <f t="shared" si="366"/>
        <v>63375000</v>
      </c>
      <c r="FP178" s="194">
        <f t="shared" si="366"/>
        <v>33200</v>
      </c>
      <c r="FQ178" s="194">
        <f t="shared" si="366"/>
        <v>0</v>
      </c>
      <c r="FR178" s="194">
        <f t="shared" si="366"/>
        <v>0</v>
      </c>
      <c r="FS178" s="194">
        <f t="shared" si="366"/>
        <v>0</v>
      </c>
      <c r="FT178" s="194">
        <f t="shared" si="366"/>
        <v>0</v>
      </c>
      <c r="FU178" s="194">
        <f t="shared" si="366"/>
        <v>0</v>
      </c>
      <c r="FV178" s="194">
        <f t="shared" si="366"/>
        <v>0</v>
      </c>
      <c r="FW178" s="194">
        <f t="shared" si="366"/>
        <v>0</v>
      </c>
      <c r="FX178" s="194">
        <f t="shared" si="366"/>
        <v>0</v>
      </c>
      <c r="FY178" s="194">
        <f t="shared" si="366"/>
        <v>0</v>
      </c>
      <c r="FZ178" s="194">
        <f t="shared" si="366"/>
        <v>0</v>
      </c>
      <c r="GA178" s="194">
        <f t="shared" si="366"/>
        <v>0</v>
      </c>
      <c r="GB178" s="194">
        <f t="shared" si="366"/>
        <v>0</v>
      </c>
      <c r="GC178" s="194">
        <f t="shared" si="366"/>
        <v>0</v>
      </c>
      <c r="GD178" s="194">
        <f t="shared" si="366"/>
        <v>0</v>
      </c>
      <c r="GE178" s="194">
        <f t="shared" si="366"/>
        <v>0</v>
      </c>
      <c r="GF178" s="194">
        <f t="shared" si="366"/>
        <v>0</v>
      </c>
      <c r="GG178" s="194">
        <f t="shared" si="366"/>
        <v>0</v>
      </c>
      <c r="GH178" s="194">
        <f t="shared" si="366"/>
        <v>0</v>
      </c>
      <c r="GI178" s="194">
        <f t="shared" si="366"/>
        <v>0</v>
      </c>
      <c r="GJ178" s="194">
        <f t="shared" si="366"/>
        <v>0</v>
      </c>
      <c r="GK178" s="194">
        <f t="shared" si="366"/>
        <v>0</v>
      </c>
      <c r="GL178" s="194">
        <f t="shared" si="366"/>
        <v>0</v>
      </c>
      <c r="GM178" s="194">
        <f t="shared" si="366"/>
        <v>0</v>
      </c>
      <c r="GN178" s="194">
        <f t="shared" si="366"/>
        <v>0</v>
      </c>
      <c r="GO178" s="194">
        <f t="shared" si="366"/>
        <v>0</v>
      </c>
      <c r="GP178" s="194">
        <f t="shared" si="366"/>
        <v>2247500000</v>
      </c>
      <c r="GQ178" s="194">
        <f t="shared" si="366"/>
        <v>0</v>
      </c>
      <c r="GR178" s="194">
        <f t="shared" si="366"/>
        <v>0</v>
      </c>
      <c r="GS178" s="194">
        <f t="shared" si="366"/>
        <v>0</v>
      </c>
      <c r="GT178" s="194">
        <f t="shared" si="366"/>
        <v>0</v>
      </c>
      <c r="GU178" s="194">
        <f t="shared" si="366"/>
        <v>2260000000</v>
      </c>
      <c r="GV178" s="194">
        <f t="shared" si="366"/>
        <v>168373530</v>
      </c>
      <c r="GW178" s="194">
        <f t="shared" si="366"/>
        <v>97504426</v>
      </c>
      <c r="GX178" s="194">
        <f t="shared" si="366"/>
        <v>63375000</v>
      </c>
      <c r="GY178" s="194">
        <f t="shared" si="366"/>
        <v>958000</v>
      </c>
      <c r="GZ178" s="199">
        <f t="shared" si="366"/>
        <v>6125000000</v>
      </c>
    </row>
    <row r="179" spans="1:208" ht="90.75" customHeight="1" x14ac:dyDescent="0.2">
      <c r="A179" s="326"/>
      <c r="B179" s="326"/>
      <c r="C179" s="456"/>
      <c r="D179" s="991"/>
      <c r="E179" s="993"/>
      <c r="F179" s="993"/>
      <c r="G179" s="265">
        <v>122</v>
      </c>
      <c r="H179" s="261" t="s">
        <v>426</v>
      </c>
      <c r="I179" s="258" t="s">
        <v>427</v>
      </c>
      <c r="J179" s="262" t="s">
        <v>428</v>
      </c>
      <c r="K179" s="262">
        <v>8</v>
      </c>
      <c r="L179" s="263" t="s">
        <v>58</v>
      </c>
      <c r="M179" s="264">
        <v>0</v>
      </c>
      <c r="N179" s="264">
        <v>1</v>
      </c>
      <c r="O179" s="265">
        <v>1</v>
      </c>
      <c r="P179" s="266">
        <v>1</v>
      </c>
      <c r="Q179" s="264">
        <v>1</v>
      </c>
      <c r="R179" s="268"/>
      <c r="S179" s="286">
        <v>1</v>
      </c>
      <c r="T179" s="264">
        <v>1</v>
      </c>
      <c r="U179" s="264"/>
      <c r="V179" s="270">
        <v>1</v>
      </c>
      <c r="W179" s="264">
        <v>1</v>
      </c>
      <c r="X179" s="263"/>
      <c r="Y179" s="271">
        <v>0.7</v>
      </c>
      <c r="Z179" s="315">
        <f>BM179/$BM$178</f>
        <v>0.99615384615384617</v>
      </c>
      <c r="AA179" s="265">
        <v>2</v>
      </c>
      <c r="AB179" s="262" t="s">
        <v>141</v>
      </c>
      <c r="AC179" s="53"/>
      <c r="AD179" s="54"/>
      <c r="AE179" s="54"/>
      <c r="AF179" s="54"/>
      <c r="AG179" s="53"/>
      <c r="AH179" s="54"/>
      <c r="AI179" s="54"/>
      <c r="AJ179" s="54"/>
      <c r="AK179" s="53">
        <v>45000000</v>
      </c>
      <c r="AL179" s="55">
        <v>95000000</v>
      </c>
      <c r="AM179" s="54">
        <v>88355232</v>
      </c>
      <c r="AN179" s="54">
        <v>88355232</v>
      </c>
      <c r="AO179" s="53"/>
      <c r="AP179" s="54"/>
      <c r="AQ179" s="54"/>
      <c r="AR179" s="54"/>
      <c r="AS179" s="53"/>
      <c r="AT179" s="54"/>
      <c r="AU179" s="54"/>
      <c r="AV179" s="54"/>
      <c r="AW179" s="53"/>
      <c r="AX179" s="54"/>
      <c r="AY179" s="54"/>
      <c r="AZ179" s="54"/>
      <c r="BA179" s="53"/>
      <c r="BB179" s="54"/>
      <c r="BC179" s="54"/>
      <c r="BD179" s="54"/>
      <c r="BE179" s="53"/>
      <c r="BF179" s="54"/>
      <c r="BG179" s="54"/>
      <c r="BH179" s="54"/>
      <c r="BI179" s="53">
        <v>1250000000</v>
      </c>
      <c r="BJ179" s="54"/>
      <c r="BK179" s="54"/>
      <c r="BL179" s="54"/>
      <c r="BM179" s="53">
        <f>+AC179+AG179+AK179+AO179+AS179+AW179+BA179+BE179+BI179</f>
        <v>1295000000</v>
      </c>
      <c r="BN179" s="54">
        <f t="shared" ref="BN179:BP183" si="367">AD179+AH179+AL179+AP179+AT179+AX179+BB179+BF179+BJ179</f>
        <v>95000000</v>
      </c>
      <c r="BO179" s="54">
        <f t="shared" si="367"/>
        <v>88355232</v>
      </c>
      <c r="BP179" s="54">
        <f t="shared" si="367"/>
        <v>88355232</v>
      </c>
      <c r="BQ179" s="83"/>
      <c r="BR179" s="83"/>
      <c r="BS179" s="83"/>
      <c r="BT179" s="83"/>
      <c r="BU179" s="83"/>
      <c r="BV179" s="83">
        <v>3290000</v>
      </c>
      <c r="BW179" s="83">
        <v>2184761</v>
      </c>
      <c r="BX179" s="83">
        <v>2184761</v>
      </c>
      <c r="BY179" s="83"/>
      <c r="BZ179" s="83">
        <v>10000000</v>
      </c>
      <c r="CA179" s="83">
        <v>51710000</v>
      </c>
      <c r="CB179" s="83">
        <v>9500000</v>
      </c>
      <c r="CC179" s="83">
        <v>9500000</v>
      </c>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v>390000000</v>
      </c>
      <c r="DB179" s="83"/>
      <c r="DC179" s="83"/>
      <c r="DD179" s="83"/>
      <c r="DE179" s="81">
        <f t="shared" ref="DE179:DH183" si="368">BQ179+BU179+BZ179+CE179+CI179+CM179+CQ179+CV179+DA179</f>
        <v>400000000</v>
      </c>
      <c r="DF179" s="95">
        <f t="shared" si="368"/>
        <v>55000000</v>
      </c>
      <c r="DG179" s="95">
        <f t="shared" si="368"/>
        <v>11684761</v>
      </c>
      <c r="DH179" s="95">
        <f t="shared" si="368"/>
        <v>11684761</v>
      </c>
      <c r="DI179" s="95"/>
      <c r="DJ179" s="84"/>
      <c r="DK179" s="65"/>
      <c r="DL179" s="84"/>
      <c r="DM179" s="84"/>
      <c r="DN179" s="84"/>
      <c r="DO179" s="84">
        <v>70000000</v>
      </c>
      <c r="DP179" s="84">
        <v>64290999</v>
      </c>
      <c r="DQ179" s="84">
        <v>63366199</v>
      </c>
      <c r="DR179" s="84"/>
      <c r="DS179" s="84">
        <v>3000000</v>
      </c>
      <c r="DT179" s="84">
        <v>116174667</v>
      </c>
      <c r="DU179" s="84">
        <v>79137154</v>
      </c>
      <c r="DV179" s="84">
        <v>79103954</v>
      </c>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v>410500000</v>
      </c>
      <c r="ET179" s="83"/>
      <c r="EU179" s="83"/>
      <c r="EV179" s="83"/>
      <c r="EW179" s="81">
        <f t="shared" ref="EW179:EX183" si="369">DJ179+DN179+DS179+DX179+EB179+EF179+EJ179+EN179+ES179</f>
        <v>413500000</v>
      </c>
      <c r="EX179" s="86">
        <f t="shared" si="369"/>
        <v>186174667</v>
      </c>
      <c r="EY179" s="86">
        <f t="shared" ref="EY179:EZ183" si="370">DL179+DP179+DU179+DZ179+ED179+EH179+EL179+EP179+EU179</f>
        <v>143428153</v>
      </c>
      <c r="EZ179" s="86">
        <f t="shared" si="370"/>
        <v>142470153</v>
      </c>
      <c r="FA179" s="176"/>
      <c r="FB179" s="83"/>
      <c r="FC179" s="84"/>
      <c r="FD179" s="84"/>
      <c r="FE179" s="84"/>
      <c r="FF179" s="140"/>
      <c r="FG179" s="83"/>
      <c r="FH179" s="83"/>
      <c r="FI179" s="83"/>
      <c r="FJ179" s="83"/>
      <c r="FK179" s="83">
        <v>924800</v>
      </c>
      <c r="FL179" s="83">
        <v>2500000</v>
      </c>
      <c r="FM179" s="83">
        <v>41423530</v>
      </c>
      <c r="FN179" s="83">
        <v>39725000</v>
      </c>
      <c r="FO179" s="83">
        <v>27401666</v>
      </c>
      <c r="FP179" s="83">
        <v>33200</v>
      </c>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v>506500000</v>
      </c>
      <c r="GQ179" s="83"/>
      <c r="GR179" s="83"/>
      <c r="GS179" s="83"/>
      <c r="GT179" s="83"/>
      <c r="GU179" s="81">
        <f>FB179+FG179+FL179+FQ179+FV179+GA179+GF179+GK179+GP179</f>
        <v>509000000</v>
      </c>
      <c r="GV179" s="81">
        <f t="shared" ref="GV179:GY183" si="371">GQ179+GL179+GG179+GB179+FW179+FR179+FM179+FH179</f>
        <v>41423530</v>
      </c>
      <c r="GW179" s="81">
        <f t="shared" si="371"/>
        <v>39725000</v>
      </c>
      <c r="GX179" s="81">
        <f t="shared" si="371"/>
        <v>27401666</v>
      </c>
      <c r="GY179" s="673">
        <f t="shared" si="371"/>
        <v>958000</v>
      </c>
      <c r="GZ179" s="67">
        <f>BM179+DE179+EW179+GU179</f>
        <v>2617500000</v>
      </c>
    </row>
    <row r="180" spans="1:208" ht="90.75" customHeight="1" x14ac:dyDescent="0.2">
      <c r="A180" s="326"/>
      <c r="B180" s="326"/>
      <c r="C180" s="277">
        <v>23</v>
      </c>
      <c r="D180" s="472" t="s">
        <v>429</v>
      </c>
      <c r="E180" s="375">
        <v>0.92</v>
      </c>
      <c r="F180" s="473">
        <v>0.85</v>
      </c>
      <c r="G180" s="265">
        <v>123</v>
      </c>
      <c r="H180" s="261" t="s">
        <v>430</v>
      </c>
      <c r="I180" s="258" t="s">
        <v>431</v>
      </c>
      <c r="J180" s="262" t="s">
        <v>428</v>
      </c>
      <c r="K180" s="262">
        <v>8</v>
      </c>
      <c r="L180" s="263" t="s">
        <v>58</v>
      </c>
      <c r="M180" s="264" t="s">
        <v>53</v>
      </c>
      <c r="N180" s="264">
        <v>4</v>
      </c>
      <c r="O180" s="265">
        <v>4</v>
      </c>
      <c r="P180" s="266">
        <v>6</v>
      </c>
      <c r="Q180" s="264">
        <v>4</v>
      </c>
      <c r="R180" s="268"/>
      <c r="S180" s="286">
        <v>4</v>
      </c>
      <c r="T180" s="264">
        <v>4</v>
      </c>
      <c r="U180" s="264"/>
      <c r="V180" s="270">
        <v>8</v>
      </c>
      <c r="W180" s="264">
        <v>4</v>
      </c>
      <c r="X180" s="263"/>
      <c r="Y180" s="271">
        <v>1.8</v>
      </c>
      <c r="Z180" s="315">
        <f>BM180/$BM$178</f>
        <v>0</v>
      </c>
      <c r="AA180" s="265">
        <v>2</v>
      </c>
      <c r="AB180" s="262" t="s">
        <v>141</v>
      </c>
      <c r="AC180" s="53"/>
      <c r="AD180" s="54"/>
      <c r="AE180" s="54"/>
      <c r="AF180" s="54"/>
      <c r="AG180" s="53"/>
      <c r="AH180" s="54"/>
      <c r="AI180" s="54"/>
      <c r="AJ180" s="54"/>
      <c r="AK180" s="53"/>
      <c r="AL180" s="55">
        <v>360000000</v>
      </c>
      <c r="AM180" s="54">
        <v>360000000</v>
      </c>
      <c r="AN180" s="54">
        <v>169642344</v>
      </c>
      <c r="AO180" s="53"/>
      <c r="AP180" s="54"/>
      <c r="AQ180" s="54"/>
      <c r="AR180" s="54"/>
      <c r="AS180" s="53"/>
      <c r="AT180" s="54"/>
      <c r="AU180" s="54"/>
      <c r="AV180" s="54"/>
      <c r="AW180" s="53"/>
      <c r="AX180" s="54"/>
      <c r="AY180" s="54"/>
      <c r="AZ180" s="54"/>
      <c r="BA180" s="53"/>
      <c r="BB180" s="54"/>
      <c r="BC180" s="54"/>
      <c r="BD180" s="54"/>
      <c r="BE180" s="53"/>
      <c r="BF180" s="54"/>
      <c r="BG180" s="54"/>
      <c r="BH180" s="54"/>
      <c r="BI180" s="53"/>
      <c r="BJ180" s="54"/>
      <c r="BK180" s="54"/>
      <c r="BL180" s="54"/>
      <c r="BM180" s="53">
        <f>+AC180+AG180+AK180+AO180+AS180+AW180+BA180+BE180+BI180</f>
        <v>0</v>
      </c>
      <c r="BN180" s="54">
        <f t="shared" si="367"/>
        <v>360000000</v>
      </c>
      <c r="BO180" s="54">
        <f t="shared" si="367"/>
        <v>360000000</v>
      </c>
      <c r="BP180" s="54">
        <f t="shared" si="367"/>
        <v>169642344</v>
      </c>
      <c r="BQ180" s="83"/>
      <c r="BR180" s="83"/>
      <c r="BS180" s="83"/>
      <c r="BT180" s="83"/>
      <c r="BU180" s="83"/>
      <c r="BV180" s="83">
        <v>60000000</v>
      </c>
      <c r="BW180" s="83">
        <v>60000000</v>
      </c>
      <c r="BX180" s="83">
        <v>60000000</v>
      </c>
      <c r="BY180" s="83"/>
      <c r="BZ180" s="83">
        <v>10000000</v>
      </c>
      <c r="CA180" s="83">
        <v>10000000</v>
      </c>
      <c r="CB180" s="83">
        <v>10000000</v>
      </c>
      <c r="CC180" s="83">
        <v>10000000</v>
      </c>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v>85000000</v>
      </c>
      <c r="DB180" s="83"/>
      <c r="DC180" s="83"/>
      <c r="DD180" s="83"/>
      <c r="DE180" s="81">
        <f t="shared" si="368"/>
        <v>95000000</v>
      </c>
      <c r="DF180" s="95">
        <f t="shared" si="368"/>
        <v>70000000</v>
      </c>
      <c r="DG180" s="95">
        <f t="shared" si="368"/>
        <v>70000000</v>
      </c>
      <c r="DH180" s="95">
        <f t="shared" si="368"/>
        <v>70000000</v>
      </c>
      <c r="DI180" s="95"/>
      <c r="DJ180" s="84"/>
      <c r="DK180" s="65"/>
      <c r="DL180" s="84"/>
      <c r="DM180" s="84"/>
      <c r="DN180" s="84"/>
      <c r="DO180" s="84"/>
      <c r="DP180" s="84"/>
      <c r="DQ180" s="84"/>
      <c r="DR180" s="84"/>
      <c r="DS180" s="84">
        <v>3000000</v>
      </c>
      <c r="DT180" s="84">
        <v>12000000</v>
      </c>
      <c r="DU180" s="84">
        <v>12000000</v>
      </c>
      <c r="DV180" s="84">
        <v>12000000</v>
      </c>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v>42000000</v>
      </c>
      <c r="ET180" s="83"/>
      <c r="EU180" s="83"/>
      <c r="EV180" s="83"/>
      <c r="EW180" s="81">
        <f t="shared" si="369"/>
        <v>45000000</v>
      </c>
      <c r="EX180" s="86">
        <f t="shared" si="369"/>
        <v>12000000</v>
      </c>
      <c r="EY180" s="86">
        <f t="shared" si="370"/>
        <v>12000000</v>
      </c>
      <c r="EZ180" s="86">
        <f t="shared" si="370"/>
        <v>12000000</v>
      </c>
      <c r="FA180" s="176"/>
      <c r="FB180" s="83"/>
      <c r="FC180" s="84"/>
      <c r="FD180" s="84"/>
      <c r="FE180" s="84"/>
      <c r="FF180" s="140"/>
      <c r="FG180" s="83"/>
      <c r="FH180" s="83"/>
      <c r="FI180" s="83"/>
      <c r="FJ180" s="83"/>
      <c r="FK180" s="83"/>
      <c r="FL180" s="83">
        <v>2500000</v>
      </c>
      <c r="FM180" s="83">
        <v>19000000</v>
      </c>
      <c r="FN180" s="83">
        <v>6875000</v>
      </c>
      <c r="FO180" s="83">
        <v>2660000</v>
      </c>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v>247500000</v>
      </c>
      <c r="GQ180" s="83"/>
      <c r="GR180" s="83"/>
      <c r="GS180" s="83"/>
      <c r="GT180" s="83"/>
      <c r="GU180" s="81">
        <f>FB180+FG180+FL180+FQ180+FV180+GA180+GF180+GK180+GP180</f>
        <v>250000000</v>
      </c>
      <c r="GV180" s="81">
        <f t="shared" si="371"/>
        <v>19000000</v>
      </c>
      <c r="GW180" s="81">
        <f t="shared" si="371"/>
        <v>6875000</v>
      </c>
      <c r="GX180" s="81">
        <f t="shared" si="371"/>
        <v>2660000</v>
      </c>
      <c r="GY180" s="673">
        <f t="shared" si="371"/>
        <v>0</v>
      </c>
      <c r="GZ180" s="67">
        <f>BM180+DE180+EW180+GU180</f>
        <v>390000000</v>
      </c>
    </row>
    <row r="181" spans="1:208" ht="134.25" customHeight="1" x14ac:dyDescent="0.2">
      <c r="A181" s="326"/>
      <c r="B181" s="326"/>
      <c r="C181" s="279">
        <v>24</v>
      </c>
      <c r="D181" s="722" t="s">
        <v>432</v>
      </c>
      <c r="E181" s="306" t="s">
        <v>433</v>
      </c>
      <c r="F181" s="305" t="s">
        <v>433</v>
      </c>
      <c r="G181" s="264">
        <v>124</v>
      </c>
      <c r="H181" s="261" t="s">
        <v>434</v>
      </c>
      <c r="I181" s="258" t="s">
        <v>435</v>
      </c>
      <c r="J181" s="262" t="s">
        <v>428</v>
      </c>
      <c r="K181" s="262">
        <v>8</v>
      </c>
      <c r="L181" s="263" t="s">
        <v>73</v>
      </c>
      <c r="M181" s="264">
        <v>40</v>
      </c>
      <c r="N181" s="264">
        <v>500</v>
      </c>
      <c r="O181" s="264">
        <v>0</v>
      </c>
      <c r="P181" s="270"/>
      <c r="Q181" s="264">
        <v>150</v>
      </c>
      <c r="R181" s="268"/>
      <c r="S181" s="286">
        <v>48</v>
      </c>
      <c r="T181" s="474">
        <v>200</v>
      </c>
      <c r="U181" s="264"/>
      <c r="V181" s="270">
        <v>402</v>
      </c>
      <c r="W181" s="264">
        <v>150</v>
      </c>
      <c r="X181" s="263"/>
      <c r="Y181" s="271">
        <v>44.2</v>
      </c>
      <c r="Z181" s="315">
        <f>BM181/$BM$178</f>
        <v>0</v>
      </c>
      <c r="AA181" s="265">
        <v>2</v>
      </c>
      <c r="AB181" s="262" t="s">
        <v>141</v>
      </c>
      <c r="AC181" s="53"/>
      <c r="AD181" s="54"/>
      <c r="AE181" s="54"/>
      <c r="AF181" s="54"/>
      <c r="AG181" s="53"/>
      <c r="AH181" s="54"/>
      <c r="AI181" s="54"/>
      <c r="AJ181" s="54"/>
      <c r="AK181" s="53"/>
      <c r="AL181" s="54"/>
      <c r="AM181" s="54"/>
      <c r="AN181" s="54"/>
      <c r="AO181" s="53"/>
      <c r="AP181" s="54"/>
      <c r="AQ181" s="54"/>
      <c r="AR181" s="54"/>
      <c r="AS181" s="53"/>
      <c r="AT181" s="54"/>
      <c r="AU181" s="54"/>
      <c r="AV181" s="54"/>
      <c r="AW181" s="53"/>
      <c r="AX181" s="54"/>
      <c r="AY181" s="54"/>
      <c r="AZ181" s="54"/>
      <c r="BA181" s="53"/>
      <c r="BB181" s="54"/>
      <c r="BC181" s="54"/>
      <c r="BD181" s="54"/>
      <c r="BE181" s="53"/>
      <c r="BF181" s="54"/>
      <c r="BG181" s="54"/>
      <c r="BH181" s="54"/>
      <c r="BI181" s="53"/>
      <c r="BJ181" s="54"/>
      <c r="BK181" s="54"/>
      <c r="BL181" s="54"/>
      <c r="BM181" s="53">
        <f>+AC181+AG181+AK181+AO181+AS181+AW181+BA181+BE181+BI181</f>
        <v>0</v>
      </c>
      <c r="BN181" s="54">
        <f t="shared" si="367"/>
        <v>0</v>
      </c>
      <c r="BO181" s="54">
        <f t="shared" si="367"/>
        <v>0</v>
      </c>
      <c r="BP181" s="54">
        <f t="shared" si="367"/>
        <v>0</v>
      </c>
      <c r="BQ181" s="83"/>
      <c r="BR181" s="83"/>
      <c r="BS181" s="83"/>
      <c r="BT181" s="83"/>
      <c r="BU181" s="83"/>
      <c r="BV181" s="83">
        <v>11000000</v>
      </c>
      <c r="BW181" s="83">
        <v>11000000</v>
      </c>
      <c r="BX181" s="83">
        <v>11000000</v>
      </c>
      <c r="BY181" s="83"/>
      <c r="BZ181" s="83">
        <v>10000000</v>
      </c>
      <c r="CA181" s="83">
        <v>75000000</v>
      </c>
      <c r="CB181" s="83">
        <v>24757000</v>
      </c>
      <c r="CC181" s="83">
        <v>24757000</v>
      </c>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v>390000000</v>
      </c>
      <c r="DB181" s="83"/>
      <c r="DC181" s="83"/>
      <c r="DD181" s="83"/>
      <c r="DE181" s="81">
        <f t="shared" si="368"/>
        <v>400000000</v>
      </c>
      <c r="DF181" s="95">
        <f t="shared" si="368"/>
        <v>86000000</v>
      </c>
      <c r="DG181" s="95">
        <f t="shared" si="368"/>
        <v>35757000</v>
      </c>
      <c r="DH181" s="95">
        <f t="shared" si="368"/>
        <v>35757000</v>
      </c>
      <c r="DI181" s="95"/>
      <c r="DJ181" s="84"/>
      <c r="DK181" s="65"/>
      <c r="DL181" s="84"/>
      <c r="DM181" s="84"/>
      <c r="DN181" s="84"/>
      <c r="DO181" s="84">
        <v>30000000</v>
      </c>
      <c r="DP181" s="84">
        <v>22926084</v>
      </c>
      <c r="DQ181" s="84">
        <v>22926084</v>
      </c>
      <c r="DR181" s="84"/>
      <c r="DS181" s="84">
        <v>3000000</v>
      </c>
      <c r="DT181" s="84">
        <v>28000000</v>
      </c>
      <c r="DU181" s="84">
        <v>26130000</v>
      </c>
      <c r="DV181" s="84">
        <v>26130000</v>
      </c>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v>397000000</v>
      </c>
      <c r="ET181" s="83"/>
      <c r="EU181" s="83"/>
      <c r="EV181" s="83"/>
      <c r="EW181" s="81">
        <f t="shared" si="369"/>
        <v>400000000</v>
      </c>
      <c r="EX181" s="86">
        <f t="shared" si="369"/>
        <v>58000000</v>
      </c>
      <c r="EY181" s="86">
        <f t="shared" si="370"/>
        <v>49056084</v>
      </c>
      <c r="EZ181" s="86">
        <f t="shared" si="370"/>
        <v>49056084</v>
      </c>
      <c r="FA181" s="176"/>
      <c r="FB181" s="83"/>
      <c r="FC181" s="84"/>
      <c r="FD181" s="84"/>
      <c r="FE181" s="84"/>
      <c r="FF181" s="140"/>
      <c r="FG181" s="83"/>
      <c r="FH181" s="83"/>
      <c r="FI181" s="83"/>
      <c r="FJ181" s="83"/>
      <c r="FK181" s="83"/>
      <c r="FL181" s="83">
        <v>2500000</v>
      </c>
      <c r="FM181" s="83">
        <v>44350000</v>
      </c>
      <c r="FN181" s="83">
        <v>15700000</v>
      </c>
      <c r="FO181" s="83">
        <v>11926667</v>
      </c>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v>497500000</v>
      </c>
      <c r="GQ181" s="83"/>
      <c r="GR181" s="83"/>
      <c r="GS181" s="83"/>
      <c r="GT181" s="83"/>
      <c r="GU181" s="81">
        <f>FB181+FG181+FL181+FQ181+FV181+GA181+GF181+GK181+GP181</f>
        <v>500000000</v>
      </c>
      <c r="GV181" s="81">
        <f t="shared" si="371"/>
        <v>44350000</v>
      </c>
      <c r="GW181" s="81">
        <f t="shared" si="371"/>
        <v>15700000</v>
      </c>
      <c r="GX181" s="81">
        <f t="shared" si="371"/>
        <v>11926667</v>
      </c>
      <c r="GY181" s="673">
        <f t="shared" si="371"/>
        <v>0</v>
      </c>
      <c r="GZ181" s="67">
        <f>BM181+DE181+EW181+GU181</f>
        <v>1300000000</v>
      </c>
    </row>
    <row r="182" spans="1:208" s="711" customFormat="1" ht="171.75" customHeight="1" x14ac:dyDescent="0.2">
      <c r="A182" s="703"/>
      <c r="B182" s="703"/>
      <c r="C182" s="822"/>
      <c r="D182" s="862"/>
      <c r="E182" s="703"/>
      <c r="F182" s="703"/>
      <c r="G182" s="682">
        <v>125</v>
      </c>
      <c r="H182" s="676" t="s">
        <v>436</v>
      </c>
      <c r="I182" s="821" t="s">
        <v>437</v>
      </c>
      <c r="J182" s="813" t="s">
        <v>428</v>
      </c>
      <c r="K182" s="813">
        <v>8</v>
      </c>
      <c r="L182" s="892" t="s">
        <v>73</v>
      </c>
      <c r="M182" s="621">
        <v>1200</v>
      </c>
      <c r="N182" s="621">
        <v>2400</v>
      </c>
      <c r="O182" s="621">
        <v>150</v>
      </c>
      <c r="P182" s="893">
        <v>129</v>
      </c>
      <c r="Q182" s="621">
        <v>750</v>
      </c>
      <c r="R182" s="814"/>
      <c r="S182" s="851">
        <v>774</v>
      </c>
      <c r="T182" s="621">
        <v>750</v>
      </c>
      <c r="U182" s="621">
        <v>761</v>
      </c>
      <c r="V182" s="893">
        <v>774</v>
      </c>
      <c r="W182" s="621">
        <v>750</v>
      </c>
      <c r="X182" s="892">
        <v>760</v>
      </c>
      <c r="Y182" s="639">
        <v>432</v>
      </c>
      <c r="Z182" s="809">
        <f>BM182/$BM$178</f>
        <v>3.8461538461538464E-3</v>
      </c>
      <c r="AA182" s="682">
        <v>2</v>
      </c>
      <c r="AB182" s="813" t="s">
        <v>141</v>
      </c>
      <c r="AC182" s="817"/>
      <c r="AD182" s="818"/>
      <c r="AE182" s="818"/>
      <c r="AF182" s="818"/>
      <c r="AG182" s="817"/>
      <c r="AH182" s="818"/>
      <c r="AI182" s="818"/>
      <c r="AJ182" s="818"/>
      <c r="AK182" s="817">
        <v>5000000</v>
      </c>
      <c r="AL182" s="831">
        <v>5000000</v>
      </c>
      <c r="AM182" s="818">
        <v>5000000</v>
      </c>
      <c r="AN182" s="818">
        <v>5000000</v>
      </c>
      <c r="AO182" s="817"/>
      <c r="AP182" s="818"/>
      <c r="AQ182" s="818"/>
      <c r="AR182" s="818"/>
      <c r="AS182" s="817"/>
      <c r="AT182" s="818"/>
      <c r="AU182" s="818"/>
      <c r="AV182" s="818"/>
      <c r="AW182" s="817"/>
      <c r="AX182" s="818"/>
      <c r="AY182" s="818"/>
      <c r="AZ182" s="818"/>
      <c r="BA182" s="817"/>
      <c r="BB182" s="818"/>
      <c r="BC182" s="818"/>
      <c r="BD182" s="818"/>
      <c r="BE182" s="817"/>
      <c r="BF182" s="818"/>
      <c r="BG182" s="818"/>
      <c r="BH182" s="818"/>
      <c r="BI182" s="817"/>
      <c r="BJ182" s="818"/>
      <c r="BK182" s="818"/>
      <c r="BL182" s="818"/>
      <c r="BM182" s="817">
        <f>+AC182+AG182+AK182+AO182+AS182+AW182+BA182+BE182+BI182</f>
        <v>5000000</v>
      </c>
      <c r="BN182" s="818">
        <f t="shared" si="367"/>
        <v>5000000</v>
      </c>
      <c r="BO182" s="818">
        <f t="shared" si="367"/>
        <v>5000000</v>
      </c>
      <c r="BP182" s="818">
        <f t="shared" si="367"/>
        <v>5000000</v>
      </c>
      <c r="BQ182" s="667"/>
      <c r="BR182" s="667"/>
      <c r="BS182" s="667"/>
      <c r="BT182" s="667"/>
      <c r="BU182" s="667"/>
      <c r="BV182" s="667">
        <v>20710000</v>
      </c>
      <c r="BW182" s="667">
        <v>20710000</v>
      </c>
      <c r="BX182" s="667">
        <v>20710000</v>
      </c>
      <c r="BY182" s="667"/>
      <c r="BZ182" s="667">
        <v>10000000</v>
      </c>
      <c r="CA182" s="667">
        <v>19290000</v>
      </c>
      <c r="CB182" s="667">
        <v>19290000</v>
      </c>
      <c r="CC182" s="667">
        <v>19290000</v>
      </c>
      <c r="CD182" s="667"/>
      <c r="CE182" s="667"/>
      <c r="CF182" s="667"/>
      <c r="CG182" s="667"/>
      <c r="CH182" s="667"/>
      <c r="CI182" s="667"/>
      <c r="CJ182" s="667"/>
      <c r="CK182" s="667"/>
      <c r="CL182" s="667"/>
      <c r="CM182" s="667"/>
      <c r="CN182" s="667"/>
      <c r="CO182" s="667"/>
      <c r="CP182" s="667"/>
      <c r="CQ182" s="667"/>
      <c r="CR182" s="667"/>
      <c r="CS182" s="667"/>
      <c r="CT182" s="667"/>
      <c r="CU182" s="667"/>
      <c r="CV182" s="667"/>
      <c r="CW182" s="667"/>
      <c r="CX182" s="667"/>
      <c r="CY182" s="667"/>
      <c r="CZ182" s="667"/>
      <c r="DA182" s="667">
        <v>195000000</v>
      </c>
      <c r="DB182" s="667"/>
      <c r="DC182" s="667"/>
      <c r="DD182" s="667"/>
      <c r="DE182" s="708">
        <f t="shared" si="368"/>
        <v>205000000</v>
      </c>
      <c r="DF182" s="708">
        <f t="shared" si="368"/>
        <v>40000000</v>
      </c>
      <c r="DG182" s="708">
        <f t="shared" si="368"/>
        <v>40000000</v>
      </c>
      <c r="DH182" s="708">
        <f t="shared" si="368"/>
        <v>40000000</v>
      </c>
      <c r="DI182" s="708"/>
      <c r="DJ182" s="706"/>
      <c r="DK182" s="706"/>
      <c r="DL182" s="706"/>
      <c r="DM182" s="706"/>
      <c r="DN182" s="706"/>
      <c r="DO182" s="706"/>
      <c r="DP182" s="706"/>
      <c r="DQ182" s="706"/>
      <c r="DR182" s="706"/>
      <c r="DS182" s="706">
        <v>3000000</v>
      </c>
      <c r="DT182" s="706">
        <v>27825333</v>
      </c>
      <c r="DU182" s="706">
        <v>20988333</v>
      </c>
      <c r="DV182" s="706">
        <v>20988333</v>
      </c>
      <c r="DW182" s="706"/>
      <c r="DX182" s="706"/>
      <c r="DY182" s="706"/>
      <c r="DZ182" s="706"/>
      <c r="EA182" s="706"/>
      <c r="EB182" s="706"/>
      <c r="EC182" s="706"/>
      <c r="ED182" s="706"/>
      <c r="EE182" s="706"/>
      <c r="EF182" s="706"/>
      <c r="EG182" s="706"/>
      <c r="EH182" s="706"/>
      <c r="EI182" s="706"/>
      <c r="EJ182" s="706"/>
      <c r="EK182" s="706"/>
      <c r="EL182" s="706"/>
      <c r="EM182" s="706"/>
      <c r="EN182" s="706"/>
      <c r="EO182" s="706"/>
      <c r="EP182" s="706"/>
      <c r="EQ182" s="706"/>
      <c r="ER182" s="706"/>
      <c r="ES182" s="706">
        <v>203500000</v>
      </c>
      <c r="ET182" s="667"/>
      <c r="EU182" s="667"/>
      <c r="EV182" s="667"/>
      <c r="EW182" s="708">
        <f t="shared" si="369"/>
        <v>206500000</v>
      </c>
      <c r="EX182" s="819">
        <f t="shared" si="369"/>
        <v>27825333</v>
      </c>
      <c r="EY182" s="819">
        <f t="shared" si="370"/>
        <v>20988333</v>
      </c>
      <c r="EZ182" s="819">
        <f t="shared" si="370"/>
        <v>20988333</v>
      </c>
      <c r="FA182" s="820"/>
      <c r="FB182" s="667"/>
      <c r="FC182" s="706"/>
      <c r="FD182" s="706"/>
      <c r="FE182" s="706"/>
      <c r="FF182" s="707"/>
      <c r="FG182" s="667"/>
      <c r="FH182" s="667"/>
      <c r="FI182" s="667"/>
      <c r="FJ182" s="667"/>
      <c r="FK182" s="667"/>
      <c r="FL182" s="667">
        <v>2500000</v>
      </c>
      <c r="FM182" s="667">
        <v>44100000</v>
      </c>
      <c r="FN182" s="667">
        <v>23433333</v>
      </c>
      <c r="FO182" s="667">
        <v>16236667</v>
      </c>
      <c r="FP182" s="667"/>
      <c r="FQ182" s="667"/>
      <c r="FR182" s="667"/>
      <c r="FS182" s="667"/>
      <c r="FT182" s="667"/>
      <c r="FU182" s="667"/>
      <c r="FV182" s="667"/>
      <c r="FW182" s="667"/>
      <c r="FX182" s="667"/>
      <c r="FY182" s="667"/>
      <c r="FZ182" s="667"/>
      <c r="GA182" s="667"/>
      <c r="GB182" s="667"/>
      <c r="GC182" s="667"/>
      <c r="GD182" s="667"/>
      <c r="GE182" s="667"/>
      <c r="GF182" s="667"/>
      <c r="GG182" s="667"/>
      <c r="GH182" s="667"/>
      <c r="GI182" s="667"/>
      <c r="GJ182" s="667"/>
      <c r="GK182" s="667"/>
      <c r="GL182" s="667"/>
      <c r="GM182" s="667"/>
      <c r="GN182" s="667"/>
      <c r="GO182" s="667"/>
      <c r="GP182" s="667">
        <v>498500000</v>
      </c>
      <c r="GQ182" s="667"/>
      <c r="GR182" s="667"/>
      <c r="GS182" s="667"/>
      <c r="GT182" s="667"/>
      <c r="GU182" s="708">
        <f>FB182+FG182+FL182+FQ182+FV182+GA182+GF182+GK182+GP182</f>
        <v>501000000</v>
      </c>
      <c r="GV182" s="708">
        <f t="shared" si="371"/>
        <v>44100000</v>
      </c>
      <c r="GW182" s="708">
        <f t="shared" si="371"/>
        <v>23433333</v>
      </c>
      <c r="GX182" s="708">
        <f t="shared" si="371"/>
        <v>16236667</v>
      </c>
      <c r="GY182" s="709">
        <f t="shared" si="371"/>
        <v>0</v>
      </c>
      <c r="GZ182" s="710">
        <f>BM182+DE182+EW182+GU182</f>
        <v>917500000</v>
      </c>
    </row>
    <row r="183" spans="1:208" ht="140.25" customHeight="1" x14ac:dyDescent="0.2">
      <c r="A183" s="326"/>
      <c r="B183" s="326"/>
      <c r="C183" s="277"/>
      <c r="D183" s="303"/>
      <c r="E183" s="372"/>
      <c r="F183" s="372"/>
      <c r="G183" s="264">
        <v>126</v>
      </c>
      <c r="H183" s="258" t="s">
        <v>438</v>
      </c>
      <c r="I183" s="258" t="s">
        <v>439</v>
      </c>
      <c r="J183" s="263" t="s">
        <v>428</v>
      </c>
      <c r="K183" s="263">
        <v>8</v>
      </c>
      <c r="L183" s="263" t="s">
        <v>58</v>
      </c>
      <c r="M183" s="264" t="s">
        <v>53</v>
      </c>
      <c r="N183" s="264">
        <f>1795+1531</f>
        <v>3326</v>
      </c>
      <c r="O183" s="264">
        <v>0</v>
      </c>
      <c r="P183" s="270"/>
      <c r="Q183" s="264">
        <f>1795 +  1531</f>
        <v>3326</v>
      </c>
      <c r="R183" s="268"/>
      <c r="S183" s="286">
        <v>700</v>
      </c>
      <c r="T183" s="475">
        <f>1795+1531</f>
        <v>3326</v>
      </c>
      <c r="U183" s="264"/>
      <c r="V183" s="270">
        <v>1418</v>
      </c>
      <c r="W183" s="475">
        <f>1795+1531</f>
        <v>3326</v>
      </c>
      <c r="X183" s="263"/>
      <c r="Y183" s="271">
        <v>939</v>
      </c>
      <c r="Z183" s="371">
        <f>BM183/$BM$178</f>
        <v>0</v>
      </c>
      <c r="AA183" s="264">
        <v>2</v>
      </c>
      <c r="AB183" s="263" t="s">
        <v>141</v>
      </c>
      <c r="AC183" s="60"/>
      <c r="AD183" s="59"/>
      <c r="AE183" s="59"/>
      <c r="AF183" s="59"/>
      <c r="AG183" s="60"/>
      <c r="AH183" s="59"/>
      <c r="AI183" s="59"/>
      <c r="AJ183" s="59"/>
      <c r="AK183" s="60"/>
      <c r="AL183" s="59"/>
      <c r="AM183" s="59"/>
      <c r="AN183" s="59"/>
      <c r="AO183" s="60"/>
      <c r="AP183" s="59"/>
      <c r="AQ183" s="59"/>
      <c r="AR183" s="59"/>
      <c r="AS183" s="60"/>
      <c r="AT183" s="59"/>
      <c r="AU183" s="59"/>
      <c r="AV183" s="59"/>
      <c r="AW183" s="60"/>
      <c r="AX183" s="59"/>
      <c r="AY183" s="59"/>
      <c r="AZ183" s="59"/>
      <c r="BA183" s="60"/>
      <c r="BB183" s="59"/>
      <c r="BC183" s="59"/>
      <c r="BD183" s="59"/>
      <c r="BE183" s="60"/>
      <c r="BF183" s="59"/>
      <c r="BG183" s="59"/>
      <c r="BH183" s="59"/>
      <c r="BI183" s="60"/>
      <c r="BJ183" s="59"/>
      <c r="BK183" s="59"/>
      <c r="BL183" s="59"/>
      <c r="BM183" s="60">
        <f>+AC183+AG183+AK183+AO183+AS183+AW183+BA183+BE183+BI183</f>
        <v>0</v>
      </c>
      <c r="BN183" s="59">
        <f t="shared" si="367"/>
        <v>0</v>
      </c>
      <c r="BO183" s="59">
        <f t="shared" si="367"/>
        <v>0</v>
      </c>
      <c r="BP183" s="59">
        <f t="shared" si="367"/>
        <v>0</v>
      </c>
      <c r="BQ183" s="83"/>
      <c r="BR183" s="83"/>
      <c r="BS183" s="83"/>
      <c r="BT183" s="83"/>
      <c r="BU183" s="83"/>
      <c r="BV183" s="83">
        <v>20000000</v>
      </c>
      <c r="BW183" s="83"/>
      <c r="BX183" s="83"/>
      <c r="BY183" s="83"/>
      <c r="BZ183" s="83">
        <v>10000000</v>
      </c>
      <c r="CA183" s="83">
        <v>24000000</v>
      </c>
      <c r="CB183" s="83">
        <v>14966332</v>
      </c>
      <c r="CC183" s="83">
        <v>14966332</v>
      </c>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v>190000000</v>
      </c>
      <c r="DB183" s="83"/>
      <c r="DC183" s="83"/>
      <c r="DD183" s="83"/>
      <c r="DE183" s="81">
        <f t="shared" si="368"/>
        <v>200000000</v>
      </c>
      <c r="DF183" s="81">
        <f t="shared" si="368"/>
        <v>44000000</v>
      </c>
      <c r="DG183" s="81">
        <f t="shared" si="368"/>
        <v>14966332</v>
      </c>
      <c r="DH183" s="81">
        <f t="shared" si="368"/>
        <v>14966332</v>
      </c>
      <c r="DI183" s="81"/>
      <c r="DJ183" s="84"/>
      <c r="DK183" s="65"/>
      <c r="DL183" s="84"/>
      <c r="DM183" s="84"/>
      <c r="DN183" s="84"/>
      <c r="DO183" s="84"/>
      <c r="DP183" s="84"/>
      <c r="DQ183" s="84"/>
      <c r="DR183" s="84"/>
      <c r="DS183" s="84">
        <v>3000000</v>
      </c>
      <c r="DT183" s="84">
        <v>6000000</v>
      </c>
      <c r="DU183" s="84">
        <v>6000000</v>
      </c>
      <c r="DV183" s="84">
        <v>6000000</v>
      </c>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v>197000000</v>
      </c>
      <c r="ET183" s="83"/>
      <c r="EU183" s="83"/>
      <c r="EV183" s="83"/>
      <c r="EW183" s="81">
        <f t="shared" si="369"/>
        <v>200000000</v>
      </c>
      <c r="EX183" s="86">
        <f t="shared" si="369"/>
        <v>6000000</v>
      </c>
      <c r="EY183" s="86">
        <f t="shared" si="370"/>
        <v>6000000</v>
      </c>
      <c r="EZ183" s="86">
        <f t="shared" si="370"/>
        <v>6000000</v>
      </c>
      <c r="FA183" s="176"/>
      <c r="FB183" s="83"/>
      <c r="FC183" s="84"/>
      <c r="FD183" s="84"/>
      <c r="FE183" s="84"/>
      <c r="FF183" s="140"/>
      <c r="FG183" s="83"/>
      <c r="FH183" s="83"/>
      <c r="FI183" s="83"/>
      <c r="FJ183" s="83"/>
      <c r="FK183" s="83"/>
      <c r="FL183" s="83">
        <v>2500000</v>
      </c>
      <c r="FM183" s="83">
        <v>19500000</v>
      </c>
      <c r="FN183" s="83">
        <v>11771093</v>
      </c>
      <c r="FO183" s="83">
        <v>5150000</v>
      </c>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v>497500000</v>
      </c>
      <c r="GQ183" s="83"/>
      <c r="GR183" s="83"/>
      <c r="GS183" s="83"/>
      <c r="GT183" s="83"/>
      <c r="GU183" s="81">
        <f>FB183+FG183+FL183+FQ183+FV183+GA183+GF183+GK183+GP183</f>
        <v>500000000</v>
      </c>
      <c r="GV183" s="81">
        <f t="shared" si="371"/>
        <v>19500000</v>
      </c>
      <c r="GW183" s="81">
        <f t="shared" si="371"/>
        <v>11771093</v>
      </c>
      <c r="GX183" s="81">
        <f t="shared" si="371"/>
        <v>5150000</v>
      </c>
      <c r="GY183" s="673">
        <f t="shared" si="371"/>
        <v>0</v>
      </c>
      <c r="GZ183" s="67">
        <f>BM183+DE183+EW183+GU183</f>
        <v>900000000</v>
      </c>
    </row>
    <row r="184" spans="1:208" ht="24.75" customHeight="1" x14ac:dyDescent="0.2">
      <c r="A184" s="326"/>
      <c r="B184" s="326"/>
      <c r="C184" s="246">
        <v>35</v>
      </c>
      <c r="D184" s="247" t="s">
        <v>440</v>
      </c>
      <c r="E184" s="248"/>
      <c r="F184" s="412"/>
      <c r="G184" s="246"/>
      <c r="H184" s="246"/>
      <c r="I184" s="246"/>
      <c r="J184" s="246"/>
      <c r="K184" s="246"/>
      <c r="L184" s="246"/>
      <c r="M184" s="246"/>
      <c r="N184" s="246"/>
      <c r="O184" s="246"/>
      <c r="P184" s="246"/>
      <c r="Q184" s="246"/>
      <c r="R184" s="246"/>
      <c r="S184" s="246"/>
      <c r="T184" s="246"/>
      <c r="U184" s="246"/>
      <c r="V184" s="246"/>
      <c r="W184" s="246"/>
      <c r="X184" s="246"/>
      <c r="Y184" s="625"/>
      <c r="Z184" s="246"/>
      <c r="AA184" s="246"/>
      <c r="AB184" s="246"/>
      <c r="AC184" s="186">
        <f t="shared" ref="AC184:BL184" si="372">SUM(AC185:AC187)</f>
        <v>0</v>
      </c>
      <c r="AD184" s="186">
        <f t="shared" si="372"/>
        <v>0</v>
      </c>
      <c r="AE184" s="186">
        <f t="shared" si="372"/>
        <v>0</v>
      </c>
      <c r="AF184" s="186">
        <f t="shared" si="372"/>
        <v>0</v>
      </c>
      <c r="AG184" s="186">
        <f t="shared" si="372"/>
        <v>0</v>
      </c>
      <c r="AH184" s="186">
        <f t="shared" si="372"/>
        <v>0</v>
      </c>
      <c r="AI184" s="186">
        <f t="shared" si="372"/>
        <v>0</v>
      </c>
      <c r="AJ184" s="186">
        <f t="shared" si="372"/>
        <v>0</v>
      </c>
      <c r="AK184" s="186">
        <f t="shared" si="372"/>
        <v>0</v>
      </c>
      <c r="AL184" s="186">
        <f t="shared" si="372"/>
        <v>0</v>
      </c>
      <c r="AM184" s="186">
        <f t="shared" si="372"/>
        <v>0</v>
      </c>
      <c r="AN184" s="186">
        <f t="shared" si="372"/>
        <v>0</v>
      </c>
      <c r="AO184" s="186">
        <f t="shared" si="372"/>
        <v>0</v>
      </c>
      <c r="AP184" s="186">
        <f t="shared" si="372"/>
        <v>0</v>
      </c>
      <c r="AQ184" s="186">
        <f t="shared" si="372"/>
        <v>0</v>
      </c>
      <c r="AR184" s="186">
        <f t="shared" si="372"/>
        <v>0</v>
      </c>
      <c r="AS184" s="186">
        <f t="shared" si="372"/>
        <v>0</v>
      </c>
      <c r="AT184" s="186">
        <f t="shared" si="372"/>
        <v>0</v>
      </c>
      <c r="AU184" s="186">
        <f t="shared" si="372"/>
        <v>0</v>
      </c>
      <c r="AV184" s="186">
        <f t="shared" si="372"/>
        <v>0</v>
      </c>
      <c r="AW184" s="186">
        <f t="shared" si="372"/>
        <v>0</v>
      </c>
      <c r="AX184" s="186">
        <f t="shared" si="372"/>
        <v>0</v>
      </c>
      <c r="AY184" s="186">
        <f t="shared" si="372"/>
        <v>0</v>
      </c>
      <c r="AZ184" s="186">
        <f t="shared" si="372"/>
        <v>0</v>
      </c>
      <c r="BA184" s="186">
        <f t="shared" si="372"/>
        <v>0</v>
      </c>
      <c r="BB184" s="186">
        <f t="shared" si="372"/>
        <v>0</v>
      </c>
      <c r="BC184" s="186">
        <f t="shared" si="372"/>
        <v>0</v>
      </c>
      <c r="BD184" s="186">
        <f t="shared" si="372"/>
        <v>0</v>
      </c>
      <c r="BE184" s="186">
        <f t="shared" si="372"/>
        <v>100000000</v>
      </c>
      <c r="BF184" s="186">
        <f t="shared" si="372"/>
        <v>100000000</v>
      </c>
      <c r="BG184" s="186">
        <f t="shared" si="372"/>
        <v>70813333</v>
      </c>
      <c r="BH184" s="186">
        <f t="shared" si="372"/>
        <v>70813333</v>
      </c>
      <c r="BI184" s="186">
        <f t="shared" si="372"/>
        <v>0</v>
      </c>
      <c r="BJ184" s="186">
        <f t="shared" si="372"/>
        <v>0</v>
      </c>
      <c r="BK184" s="186">
        <f t="shared" si="372"/>
        <v>0</v>
      </c>
      <c r="BL184" s="186">
        <f t="shared" si="372"/>
        <v>0</v>
      </c>
      <c r="BM184" s="186">
        <f t="shared" ref="BM184:DX184" si="373">SUM(BM185:BM187)</f>
        <v>100000000</v>
      </c>
      <c r="BN184" s="186">
        <f t="shared" si="373"/>
        <v>100000000</v>
      </c>
      <c r="BO184" s="186">
        <f t="shared" si="373"/>
        <v>70813333</v>
      </c>
      <c r="BP184" s="186">
        <f t="shared" si="373"/>
        <v>70813333</v>
      </c>
      <c r="BQ184" s="186">
        <f t="shared" si="373"/>
        <v>0</v>
      </c>
      <c r="BR184" s="186">
        <f t="shared" si="373"/>
        <v>0</v>
      </c>
      <c r="BS184" s="186">
        <f t="shared" si="373"/>
        <v>0</v>
      </c>
      <c r="BT184" s="186">
        <f t="shared" si="373"/>
        <v>0</v>
      </c>
      <c r="BU184" s="186">
        <f t="shared" si="373"/>
        <v>0</v>
      </c>
      <c r="BV184" s="186">
        <f t="shared" si="373"/>
        <v>0</v>
      </c>
      <c r="BW184" s="186">
        <f t="shared" si="373"/>
        <v>0</v>
      </c>
      <c r="BX184" s="186">
        <f t="shared" si="373"/>
        <v>0</v>
      </c>
      <c r="BY184" s="186">
        <f t="shared" si="373"/>
        <v>0</v>
      </c>
      <c r="BZ184" s="186">
        <f t="shared" si="373"/>
        <v>0</v>
      </c>
      <c r="CA184" s="186">
        <f t="shared" si="373"/>
        <v>0</v>
      </c>
      <c r="CB184" s="186">
        <f t="shared" si="373"/>
        <v>0</v>
      </c>
      <c r="CC184" s="186">
        <f t="shared" si="373"/>
        <v>0</v>
      </c>
      <c r="CD184" s="186">
        <f t="shared" si="373"/>
        <v>0</v>
      </c>
      <c r="CE184" s="186">
        <f t="shared" si="373"/>
        <v>0</v>
      </c>
      <c r="CF184" s="186">
        <f t="shared" si="373"/>
        <v>0</v>
      </c>
      <c r="CG184" s="186">
        <f t="shared" si="373"/>
        <v>0</v>
      </c>
      <c r="CH184" s="186">
        <f t="shared" si="373"/>
        <v>0</v>
      </c>
      <c r="CI184" s="186">
        <f t="shared" si="373"/>
        <v>0</v>
      </c>
      <c r="CJ184" s="186">
        <f t="shared" si="373"/>
        <v>0</v>
      </c>
      <c r="CK184" s="186">
        <f t="shared" si="373"/>
        <v>0</v>
      </c>
      <c r="CL184" s="186">
        <f t="shared" si="373"/>
        <v>0</v>
      </c>
      <c r="CM184" s="186">
        <f t="shared" si="373"/>
        <v>0</v>
      </c>
      <c r="CN184" s="186">
        <f t="shared" si="373"/>
        <v>0</v>
      </c>
      <c r="CO184" s="186">
        <f t="shared" si="373"/>
        <v>0</v>
      </c>
      <c r="CP184" s="186">
        <f t="shared" si="373"/>
        <v>0</v>
      </c>
      <c r="CQ184" s="186">
        <f t="shared" si="373"/>
        <v>0</v>
      </c>
      <c r="CR184" s="186">
        <f t="shared" si="373"/>
        <v>0</v>
      </c>
      <c r="CS184" s="186">
        <f t="shared" si="373"/>
        <v>0</v>
      </c>
      <c r="CT184" s="186">
        <f t="shared" si="373"/>
        <v>0</v>
      </c>
      <c r="CU184" s="186">
        <f t="shared" si="373"/>
        <v>0</v>
      </c>
      <c r="CV184" s="186">
        <f t="shared" si="373"/>
        <v>103000000</v>
      </c>
      <c r="CW184" s="186">
        <f t="shared" si="373"/>
        <v>189400000</v>
      </c>
      <c r="CX184" s="186">
        <f t="shared" si="373"/>
        <v>165315000</v>
      </c>
      <c r="CY184" s="186">
        <f t="shared" si="373"/>
        <v>150805000</v>
      </c>
      <c r="CZ184" s="186">
        <f t="shared" si="373"/>
        <v>0</v>
      </c>
      <c r="DA184" s="186">
        <f t="shared" si="373"/>
        <v>0</v>
      </c>
      <c r="DB184" s="186">
        <f t="shared" si="373"/>
        <v>0</v>
      </c>
      <c r="DC184" s="186">
        <f t="shared" si="373"/>
        <v>0</v>
      </c>
      <c r="DD184" s="186">
        <f t="shared" si="373"/>
        <v>0</v>
      </c>
      <c r="DE184" s="186">
        <f t="shared" si="373"/>
        <v>103000000</v>
      </c>
      <c r="DF184" s="186">
        <f t="shared" si="373"/>
        <v>189400000</v>
      </c>
      <c r="DG184" s="186">
        <f t="shared" si="373"/>
        <v>165315000</v>
      </c>
      <c r="DH184" s="186">
        <f t="shared" si="373"/>
        <v>150805000</v>
      </c>
      <c r="DI184" s="186">
        <f t="shared" si="373"/>
        <v>0</v>
      </c>
      <c r="DJ184" s="186">
        <f t="shared" si="373"/>
        <v>0</v>
      </c>
      <c r="DK184" s="186">
        <f t="shared" si="373"/>
        <v>0</v>
      </c>
      <c r="DL184" s="186">
        <f t="shared" si="373"/>
        <v>0</v>
      </c>
      <c r="DM184" s="186">
        <f t="shared" si="373"/>
        <v>0</v>
      </c>
      <c r="DN184" s="186">
        <f t="shared" si="373"/>
        <v>0</v>
      </c>
      <c r="DO184" s="186">
        <f t="shared" si="373"/>
        <v>25000000</v>
      </c>
      <c r="DP184" s="186">
        <f t="shared" si="373"/>
        <v>21264000</v>
      </c>
      <c r="DQ184" s="186">
        <f t="shared" si="373"/>
        <v>21264000</v>
      </c>
      <c r="DR184" s="186">
        <f t="shared" si="373"/>
        <v>0</v>
      </c>
      <c r="DS184" s="186">
        <f t="shared" si="373"/>
        <v>0</v>
      </c>
      <c r="DT184" s="186">
        <f t="shared" si="373"/>
        <v>0</v>
      </c>
      <c r="DU184" s="186">
        <f t="shared" si="373"/>
        <v>0</v>
      </c>
      <c r="DV184" s="186">
        <f t="shared" si="373"/>
        <v>0</v>
      </c>
      <c r="DW184" s="186">
        <f t="shared" si="373"/>
        <v>0</v>
      </c>
      <c r="DX184" s="186">
        <f t="shared" si="373"/>
        <v>0</v>
      </c>
      <c r="DY184" s="186">
        <f t="shared" ref="DY184:EW184" si="374">SUM(DY185:DY187)</f>
        <v>0</v>
      </c>
      <c r="DZ184" s="186">
        <f t="shared" si="374"/>
        <v>0</v>
      </c>
      <c r="EA184" s="186">
        <f t="shared" si="374"/>
        <v>0</v>
      </c>
      <c r="EB184" s="186">
        <f t="shared" si="374"/>
        <v>0</v>
      </c>
      <c r="EC184" s="186">
        <f t="shared" si="374"/>
        <v>0</v>
      </c>
      <c r="ED184" s="186">
        <f t="shared" si="374"/>
        <v>0</v>
      </c>
      <c r="EE184" s="186">
        <f t="shared" si="374"/>
        <v>0</v>
      </c>
      <c r="EF184" s="186">
        <f t="shared" si="374"/>
        <v>0</v>
      </c>
      <c r="EG184" s="186">
        <f t="shared" si="374"/>
        <v>0</v>
      </c>
      <c r="EH184" s="186">
        <f t="shared" si="374"/>
        <v>0</v>
      </c>
      <c r="EI184" s="186">
        <f t="shared" si="374"/>
        <v>0</v>
      </c>
      <c r="EJ184" s="186">
        <f t="shared" si="374"/>
        <v>0</v>
      </c>
      <c r="EK184" s="186">
        <f t="shared" si="374"/>
        <v>0</v>
      </c>
      <c r="EL184" s="186">
        <f t="shared" si="374"/>
        <v>0</v>
      </c>
      <c r="EM184" s="186">
        <f t="shared" si="374"/>
        <v>0</v>
      </c>
      <c r="EN184" s="186">
        <f t="shared" si="374"/>
        <v>106090000</v>
      </c>
      <c r="EO184" s="186">
        <f t="shared" si="374"/>
        <v>157282000</v>
      </c>
      <c r="EP184" s="186">
        <f t="shared" si="374"/>
        <v>152523333</v>
      </c>
      <c r="EQ184" s="186">
        <f t="shared" si="374"/>
        <v>152523333</v>
      </c>
      <c r="ER184" s="186">
        <f t="shared" si="374"/>
        <v>0</v>
      </c>
      <c r="ES184" s="186">
        <f t="shared" si="374"/>
        <v>0</v>
      </c>
      <c r="ET184" s="186">
        <f t="shared" si="374"/>
        <v>0</v>
      </c>
      <c r="EU184" s="186">
        <f t="shared" si="374"/>
        <v>0</v>
      </c>
      <c r="EV184" s="186">
        <f t="shared" si="374"/>
        <v>0</v>
      </c>
      <c r="EW184" s="186">
        <f t="shared" si="374"/>
        <v>106090000</v>
      </c>
      <c r="EX184" s="186">
        <f t="shared" ref="EX184:GZ184" si="375">SUM(EX185:EX187)</f>
        <v>182282000</v>
      </c>
      <c r="EY184" s="186">
        <f t="shared" si="375"/>
        <v>173787333</v>
      </c>
      <c r="EZ184" s="186">
        <f t="shared" si="375"/>
        <v>173787333</v>
      </c>
      <c r="FA184" s="186">
        <f t="shared" si="375"/>
        <v>0</v>
      </c>
      <c r="FB184" s="186">
        <f t="shared" si="375"/>
        <v>0</v>
      </c>
      <c r="FC184" s="186">
        <f t="shared" si="375"/>
        <v>0</v>
      </c>
      <c r="FD184" s="186">
        <f t="shared" si="375"/>
        <v>0</v>
      </c>
      <c r="FE184" s="186">
        <f t="shared" si="375"/>
        <v>0</v>
      </c>
      <c r="FF184" s="186">
        <f t="shared" si="375"/>
        <v>0</v>
      </c>
      <c r="FG184" s="186">
        <f t="shared" si="375"/>
        <v>0</v>
      </c>
      <c r="FH184" s="186">
        <f t="shared" si="375"/>
        <v>0</v>
      </c>
      <c r="FI184" s="186">
        <f t="shared" si="375"/>
        <v>0</v>
      </c>
      <c r="FJ184" s="186">
        <f t="shared" si="375"/>
        <v>0</v>
      </c>
      <c r="FK184" s="186">
        <f t="shared" si="375"/>
        <v>0</v>
      </c>
      <c r="FL184" s="186">
        <f t="shared" si="375"/>
        <v>0</v>
      </c>
      <c r="FM184" s="186">
        <f t="shared" si="375"/>
        <v>0</v>
      </c>
      <c r="FN184" s="186">
        <f t="shared" si="375"/>
        <v>0</v>
      </c>
      <c r="FO184" s="186">
        <f t="shared" si="375"/>
        <v>0</v>
      </c>
      <c r="FP184" s="186">
        <f t="shared" si="375"/>
        <v>0</v>
      </c>
      <c r="FQ184" s="186">
        <f t="shared" si="375"/>
        <v>0</v>
      </c>
      <c r="FR184" s="186">
        <f t="shared" si="375"/>
        <v>0</v>
      </c>
      <c r="FS184" s="186">
        <f t="shared" si="375"/>
        <v>0</v>
      </c>
      <c r="FT184" s="186">
        <f t="shared" si="375"/>
        <v>0</v>
      </c>
      <c r="FU184" s="186">
        <f t="shared" si="375"/>
        <v>0</v>
      </c>
      <c r="FV184" s="186">
        <f t="shared" si="375"/>
        <v>0</v>
      </c>
      <c r="FW184" s="186">
        <f t="shared" si="375"/>
        <v>0</v>
      </c>
      <c r="FX184" s="186">
        <f t="shared" si="375"/>
        <v>0</v>
      </c>
      <c r="FY184" s="186">
        <f t="shared" si="375"/>
        <v>0</v>
      </c>
      <c r="FZ184" s="186">
        <f t="shared" si="375"/>
        <v>0</v>
      </c>
      <c r="GA184" s="186">
        <f t="shared" si="375"/>
        <v>0</v>
      </c>
      <c r="GB184" s="186">
        <f t="shared" si="375"/>
        <v>0</v>
      </c>
      <c r="GC184" s="186">
        <f t="shared" si="375"/>
        <v>0</v>
      </c>
      <c r="GD184" s="186">
        <f t="shared" si="375"/>
        <v>0</v>
      </c>
      <c r="GE184" s="186">
        <f t="shared" si="375"/>
        <v>0</v>
      </c>
      <c r="GF184" s="186">
        <f t="shared" si="375"/>
        <v>0</v>
      </c>
      <c r="GG184" s="186">
        <f t="shared" si="375"/>
        <v>0</v>
      </c>
      <c r="GH184" s="186">
        <f t="shared" si="375"/>
        <v>0</v>
      </c>
      <c r="GI184" s="186">
        <f t="shared" si="375"/>
        <v>0</v>
      </c>
      <c r="GJ184" s="186">
        <f t="shared" si="375"/>
        <v>0</v>
      </c>
      <c r="GK184" s="186">
        <f t="shared" si="375"/>
        <v>109272700</v>
      </c>
      <c r="GL184" s="186">
        <f t="shared" si="375"/>
        <v>196000000</v>
      </c>
      <c r="GM184" s="186">
        <f t="shared" si="375"/>
        <v>114996666</v>
      </c>
      <c r="GN184" s="186">
        <f t="shared" si="375"/>
        <v>85214000</v>
      </c>
      <c r="GO184" s="186">
        <f t="shared" si="375"/>
        <v>0</v>
      </c>
      <c r="GP184" s="186">
        <f t="shared" si="375"/>
        <v>0</v>
      </c>
      <c r="GQ184" s="186">
        <f t="shared" si="375"/>
        <v>0</v>
      </c>
      <c r="GR184" s="186">
        <f t="shared" si="375"/>
        <v>0</v>
      </c>
      <c r="GS184" s="186">
        <f t="shared" si="375"/>
        <v>0</v>
      </c>
      <c r="GT184" s="186">
        <f t="shared" si="375"/>
        <v>0</v>
      </c>
      <c r="GU184" s="186">
        <f t="shared" si="375"/>
        <v>109272700</v>
      </c>
      <c r="GV184" s="186">
        <f t="shared" si="375"/>
        <v>196000000</v>
      </c>
      <c r="GW184" s="186">
        <f t="shared" si="375"/>
        <v>114996666</v>
      </c>
      <c r="GX184" s="186">
        <f t="shared" si="375"/>
        <v>85214000</v>
      </c>
      <c r="GY184" s="186">
        <f t="shared" si="375"/>
        <v>0</v>
      </c>
      <c r="GZ184" s="186">
        <f t="shared" si="375"/>
        <v>418362700</v>
      </c>
    </row>
    <row r="185" spans="1:208" ht="143.25" customHeight="1" x14ac:dyDescent="0.2">
      <c r="A185" s="326"/>
      <c r="B185" s="326"/>
      <c r="C185" s="456">
        <v>24</v>
      </c>
      <c r="D185" s="721" t="s">
        <v>441</v>
      </c>
      <c r="E185" s="1031" t="s">
        <v>433</v>
      </c>
      <c r="F185" s="994" t="s">
        <v>433</v>
      </c>
      <c r="G185" s="265">
        <v>127</v>
      </c>
      <c r="H185" s="261" t="s">
        <v>442</v>
      </c>
      <c r="I185" s="275" t="s">
        <v>443</v>
      </c>
      <c r="J185" s="262" t="s">
        <v>444</v>
      </c>
      <c r="K185" s="415">
        <v>2</v>
      </c>
      <c r="L185" s="476" t="s">
        <v>58</v>
      </c>
      <c r="M185" s="264" t="s">
        <v>53</v>
      </c>
      <c r="N185" s="264">
        <v>1</v>
      </c>
      <c r="O185" s="477">
        <v>1</v>
      </c>
      <c r="P185" s="478">
        <v>1</v>
      </c>
      <c r="Q185" s="479">
        <v>1</v>
      </c>
      <c r="R185" s="268"/>
      <c r="S185" s="480">
        <v>1</v>
      </c>
      <c r="T185" s="479">
        <v>1</v>
      </c>
      <c r="U185" s="479"/>
      <c r="V185" s="481">
        <v>1</v>
      </c>
      <c r="W185" s="482">
        <v>1</v>
      </c>
      <c r="X185" s="476"/>
      <c r="Y185" s="640">
        <v>0.5</v>
      </c>
      <c r="Z185" s="390">
        <f>BM185/$BM$184</f>
        <v>0.18</v>
      </c>
      <c r="AA185" s="265">
        <v>2</v>
      </c>
      <c r="AB185" s="262" t="s">
        <v>141</v>
      </c>
      <c r="AC185" s="56"/>
      <c r="AD185" s="55"/>
      <c r="AE185" s="54"/>
      <c r="AF185" s="54"/>
      <c r="AG185" s="56"/>
      <c r="AH185" s="55"/>
      <c r="AI185" s="55"/>
      <c r="AJ185" s="55"/>
      <c r="AK185" s="56"/>
      <c r="AL185" s="55"/>
      <c r="AM185" s="55"/>
      <c r="AN185" s="55"/>
      <c r="AO185" s="56"/>
      <c r="AP185" s="55"/>
      <c r="AQ185" s="55"/>
      <c r="AR185" s="55"/>
      <c r="AS185" s="56"/>
      <c r="AT185" s="55"/>
      <c r="AU185" s="54"/>
      <c r="AV185" s="54"/>
      <c r="AW185" s="56"/>
      <c r="AX185" s="55"/>
      <c r="AY185" s="55"/>
      <c r="AZ185" s="55"/>
      <c r="BA185" s="56"/>
      <c r="BB185" s="55"/>
      <c r="BC185" s="55"/>
      <c r="BD185" s="55"/>
      <c r="BE185" s="57">
        <v>18000000</v>
      </c>
      <c r="BF185" s="54">
        <v>18000000</v>
      </c>
      <c r="BG185" s="54">
        <v>18000000</v>
      </c>
      <c r="BH185" s="54">
        <v>18000000</v>
      </c>
      <c r="BI185" s="57"/>
      <c r="BJ185" s="58"/>
      <c r="BK185" s="58"/>
      <c r="BL185" s="55"/>
      <c r="BM185" s="53">
        <f>+AC185+AG185+AK185+AO185+AS185+AW185+BA185+BE185+BI185</f>
        <v>18000000</v>
      </c>
      <c r="BN185" s="54">
        <f t="shared" ref="BN185:BP187" si="376">AD185+AH185+AL185+AP185+AT185+AX185+BB185+BF185+BJ185</f>
        <v>18000000</v>
      </c>
      <c r="BO185" s="54">
        <f t="shared" si="376"/>
        <v>18000000</v>
      </c>
      <c r="BP185" s="54">
        <f t="shared" si="376"/>
        <v>18000000</v>
      </c>
      <c r="BQ185" s="83"/>
      <c r="BR185" s="83"/>
      <c r="BS185" s="83"/>
      <c r="BT185" s="83"/>
      <c r="BU185" s="83"/>
      <c r="BV185" s="82"/>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4">
        <v>18540000</v>
      </c>
      <c r="CW185" s="83">
        <v>104940000</v>
      </c>
      <c r="CX185" s="83">
        <v>104760000</v>
      </c>
      <c r="CY185" s="83">
        <v>104760000</v>
      </c>
      <c r="CZ185" s="83"/>
      <c r="DA185" s="83"/>
      <c r="DB185" s="83"/>
      <c r="DC185" s="83"/>
      <c r="DD185" s="83"/>
      <c r="DE185" s="81">
        <f t="shared" ref="DE185:DH187" si="377">BQ185+BU185+BZ185+CE185+CI185+CM185+CQ185+CV185+DA185</f>
        <v>18540000</v>
      </c>
      <c r="DF185" s="95">
        <f t="shared" si="377"/>
        <v>104940000</v>
      </c>
      <c r="DG185" s="95">
        <f t="shared" si="377"/>
        <v>104760000</v>
      </c>
      <c r="DH185" s="95">
        <f t="shared" si="377"/>
        <v>104760000</v>
      </c>
      <c r="DI185" s="95"/>
      <c r="DJ185" s="84"/>
      <c r="DK185" s="65"/>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v>19000000</v>
      </c>
      <c r="EO185" s="84">
        <v>92282000</v>
      </c>
      <c r="EP185" s="84">
        <v>87543333</v>
      </c>
      <c r="EQ185" s="84">
        <v>87543333</v>
      </c>
      <c r="ER185" s="84"/>
      <c r="ES185" s="84"/>
      <c r="ET185" s="83"/>
      <c r="EU185" s="83"/>
      <c r="EV185" s="83"/>
      <c r="EW185" s="81">
        <f t="shared" ref="EW185:EX187" si="378">DJ185+DN185+DS185+DX185+EB185+EF185+EJ185+EN185+ES185</f>
        <v>19000000</v>
      </c>
      <c r="EX185" s="86">
        <f t="shared" si="378"/>
        <v>92282000</v>
      </c>
      <c r="EY185" s="86">
        <f t="shared" ref="EY185:EZ187" si="379">DL185+DP185+DU185+DZ185+ED185+EH185+EL185+EP185+EU185</f>
        <v>87543333</v>
      </c>
      <c r="EZ185" s="86">
        <f t="shared" si="379"/>
        <v>87543333</v>
      </c>
      <c r="FA185" s="176"/>
      <c r="FB185" s="83"/>
      <c r="FC185" s="84"/>
      <c r="FD185" s="84"/>
      <c r="FE185" s="84"/>
      <c r="FF185" s="140"/>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v>19600000</v>
      </c>
      <c r="GL185" s="83">
        <f>28000000+'[5]MP SALUD'!$O$17</f>
        <v>63000000</v>
      </c>
      <c r="GM185" s="83">
        <v>28000000</v>
      </c>
      <c r="GN185" s="83">
        <v>23082000</v>
      </c>
      <c r="GO185" s="83"/>
      <c r="GP185" s="83"/>
      <c r="GQ185" s="83"/>
      <c r="GR185" s="83"/>
      <c r="GS185" s="83"/>
      <c r="GT185" s="83"/>
      <c r="GU185" s="81">
        <f t="shared" ref="GU185:GY187" si="380">FB185+FG185+FL185+FQ185+FV185+GA185+GF185+GK185+GP185</f>
        <v>19600000</v>
      </c>
      <c r="GV185" s="81">
        <f t="shared" si="380"/>
        <v>63000000</v>
      </c>
      <c r="GW185" s="81">
        <f t="shared" si="380"/>
        <v>28000000</v>
      </c>
      <c r="GX185" s="81">
        <f t="shared" si="380"/>
        <v>23082000</v>
      </c>
      <c r="GY185" s="673">
        <f t="shared" si="380"/>
        <v>0</v>
      </c>
      <c r="GZ185" s="67">
        <f>BM185+DE185+EW185+GU185</f>
        <v>75140000</v>
      </c>
    </row>
    <row r="186" spans="1:208" ht="112.5" customHeight="1" x14ac:dyDescent="0.2">
      <c r="A186" s="326"/>
      <c r="B186" s="326"/>
      <c r="C186" s="279"/>
      <c r="D186" s="335"/>
      <c r="E186" s="483"/>
      <c r="F186" s="353"/>
      <c r="G186" s="265">
        <v>128</v>
      </c>
      <c r="H186" s="261" t="s">
        <v>445</v>
      </c>
      <c r="I186" s="275" t="s">
        <v>446</v>
      </c>
      <c r="J186" s="262" t="s">
        <v>444</v>
      </c>
      <c r="K186" s="415">
        <v>2</v>
      </c>
      <c r="L186" s="476" t="s">
        <v>58</v>
      </c>
      <c r="M186" s="264">
        <v>1</v>
      </c>
      <c r="N186" s="264">
        <v>1</v>
      </c>
      <c r="O186" s="475">
        <v>1</v>
      </c>
      <c r="P186" s="484">
        <v>1</v>
      </c>
      <c r="Q186" s="482">
        <v>1</v>
      </c>
      <c r="R186" s="485"/>
      <c r="S186" s="480">
        <v>1</v>
      </c>
      <c r="T186" s="482">
        <v>1</v>
      </c>
      <c r="U186" s="482"/>
      <c r="V186" s="481">
        <v>1</v>
      </c>
      <c r="W186" s="482">
        <v>1</v>
      </c>
      <c r="X186" s="476"/>
      <c r="Y186" s="640">
        <v>0.5</v>
      </c>
      <c r="Z186" s="390">
        <f>BM186/$BM$184</f>
        <v>0.25</v>
      </c>
      <c r="AA186" s="265">
        <v>2</v>
      </c>
      <c r="AB186" s="262" t="s">
        <v>141</v>
      </c>
      <c r="AC186" s="56"/>
      <c r="AD186" s="55"/>
      <c r="AE186" s="54"/>
      <c r="AF186" s="54"/>
      <c r="AG186" s="56"/>
      <c r="AH186" s="55"/>
      <c r="AI186" s="55"/>
      <c r="AJ186" s="55"/>
      <c r="AK186" s="56"/>
      <c r="AL186" s="55"/>
      <c r="AM186" s="55"/>
      <c r="AN186" s="55"/>
      <c r="AO186" s="56"/>
      <c r="AP186" s="55"/>
      <c r="AQ186" s="55"/>
      <c r="AR186" s="55"/>
      <c r="AS186" s="56"/>
      <c r="AT186" s="55"/>
      <c r="AU186" s="54"/>
      <c r="AV186" s="54"/>
      <c r="AW186" s="56"/>
      <c r="AX186" s="55"/>
      <c r="AY186" s="55"/>
      <c r="AZ186" s="55"/>
      <c r="BA186" s="56"/>
      <c r="BB186" s="55"/>
      <c r="BC186" s="55"/>
      <c r="BD186" s="55"/>
      <c r="BE186" s="57">
        <v>25000000</v>
      </c>
      <c r="BF186" s="54">
        <v>25000000</v>
      </c>
      <c r="BG186" s="54">
        <v>14890000</v>
      </c>
      <c r="BH186" s="54">
        <v>14890000</v>
      </c>
      <c r="BI186" s="57"/>
      <c r="BJ186" s="58"/>
      <c r="BK186" s="58"/>
      <c r="BL186" s="55"/>
      <c r="BM186" s="53">
        <f>+AC186+AG186+AK186+AO186+AS186+AW186+BA186+BE186+BI186</f>
        <v>25000000</v>
      </c>
      <c r="BN186" s="54">
        <f t="shared" si="376"/>
        <v>25000000</v>
      </c>
      <c r="BO186" s="54">
        <f t="shared" si="376"/>
        <v>14890000</v>
      </c>
      <c r="BP186" s="54">
        <f t="shared" si="376"/>
        <v>14890000</v>
      </c>
      <c r="BQ186" s="83"/>
      <c r="BR186" s="83"/>
      <c r="BS186" s="83"/>
      <c r="BT186" s="83"/>
      <c r="BU186" s="83"/>
      <c r="BV186" s="82"/>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4">
        <v>25750000</v>
      </c>
      <c r="CW186" s="83">
        <v>25750000</v>
      </c>
      <c r="CX186" s="83">
        <v>12535000</v>
      </c>
      <c r="CY186" s="83">
        <v>5280000</v>
      </c>
      <c r="CZ186" s="83"/>
      <c r="DA186" s="83"/>
      <c r="DB186" s="83"/>
      <c r="DC186" s="83"/>
      <c r="DD186" s="83"/>
      <c r="DE186" s="81">
        <f t="shared" si="377"/>
        <v>25750000</v>
      </c>
      <c r="DF186" s="95">
        <f t="shared" si="377"/>
        <v>25750000</v>
      </c>
      <c r="DG186" s="95">
        <f t="shared" si="377"/>
        <v>12535000</v>
      </c>
      <c r="DH186" s="95">
        <f t="shared" si="377"/>
        <v>5280000</v>
      </c>
      <c r="DI186" s="95"/>
      <c r="DJ186" s="84"/>
      <c r="DK186" s="65"/>
      <c r="DL186" s="84"/>
      <c r="DM186" s="84"/>
      <c r="DN186" s="84"/>
      <c r="DO186" s="84">
        <v>11000000</v>
      </c>
      <c r="DP186" s="84">
        <v>10384000</v>
      </c>
      <c r="DQ186" s="84">
        <v>10384000</v>
      </c>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v>26530000</v>
      </c>
      <c r="EO186" s="84">
        <v>26000000</v>
      </c>
      <c r="EP186" s="84">
        <v>25980000</v>
      </c>
      <c r="EQ186" s="84">
        <v>25980000</v>
      </c>
      <c r="ER186" s="84"/>
      <c r="ES186" s="84"/>
      <c r="ET186" s="83"/>
      <c r="EU186" s="83"/>
      <c r="EV186" s="83"/>
      <c r="EW186" s="81">
        <f t="shared" si="378"/>
        <v>26530000</v>
      </c>
      <c r="EX186" s="86">
        <f t="shared" si="378"/>
        <v>37000000</v>
      </c>
      <c r="EY186" s="86">
        <f t="shared" si="379"/>
        <v>36364000</v>
      </c>
      <c r="EZ186" s="86">
        <f t="shared" si="379"/>
        <v>36364000</v>
      </c>
      <c r="FA186" s="176"/>
      <c r="FB186" s="83"/>
      <c r="FC186" s="84"/>
      <c r="FD186" s="84"/>
      <c r="FE186" s="84"/>
      <c r="FF186" s="140"/>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v>27300000</v>
      </c>
      <c r="GL186" s="83">
        <f>28000000+13000000</f>
        <v>41000000</v>
      </c>
      <c r="GM186" s="83">
        <v>22945000</v>
      </c>
      <c r="GN186" s="83">
        <v>18356000</v>
      </c>
      <c r="GO186" s="83"/>
      <c r="GP186" s="83"/>
      <c r="GQ186" s="83"/>
      <c r="GR186" s="83"/>
      <c r="GS186" s="83"/>
      <c r="GT186" s="83"/>
      <c r="GU186" s="81">
        <f t="shared" si="380"/>
        <v>27300000</v>
      </c>
      <c r="GV186" s="81">
        <f t="shared" si="380"/>
        <v>41000000</v>
      </c>
      <c r="GW186" s="81">
        <f t="shared" si="380"/>
        <v>22945000</v>
      </c>
      <c r="GX186" s="81">
        <f t="shared" si="380"/>
        <v>18356000</v>
      </c>
      <c r="GY186" s="673">
        <f t="shared" si="380"/>
        <v>0</v>
      </c>
      <c r="GZ186" s="67">
        <f>BM186+DE186+EW186+GU186</f>
        <v>104580000</v>
      </c>
    </row>
    <row r="187" spans="1:208" ht="252.75" customHeight="1" x14ac:dyDescent="0.2">
      <c r="A187" s="326"/>
      <c r="B187" s="372"/>
      <c r="C187" s="277"/>
      <c r="D187" s="718"/>
      <c r="E187" s="725"/>
      <c r="F187" s="375"/>
      <c r="G187" s="265">
        <v>129</v>
      </c>
      <c r="H187" s="261" t="s">
        <v>447</v>
      </c>
      <c r="I187" s="275" t="s">
        <v>448</v>
      </c>
      <c r="J187" s="262" t="s">
        <v>444</v>
      </c>
      <c r="K187" s="415">
        <v>2</v>
      </c>
      <c r="L187" s="476" t="s">
        <v>58</v>
      </c>
      <c r="M187" s="264" t="s">
        <v>53</v>
      </c>
      <c r="N187" s="264">
        <v>6</v>
      </c>
      <c r="O187" s="475">
        <v>6</v>
      </c>
      <c r="P187" s="484">
        <v>6</v>
      </c>
      <c r="Q187" s="482">
        <v>6</v>
      </c>
      <c r="R187" s="485"/>
      <c r="S187" s="480">
        <v>6</v>
      </c>
      <c r="T187" s="482">
        <v>6</v>
      </c>
      <c r="U187" s="482"/>
      <c r="V187" s="486">
        <v>5</v>
      </c>
      <c r="W187" s="482">
        <v>6</v>
      </c>
      <c r="X187" s="476"/>
      <c r="Y187" s="641">
        <v>3</v>
      </c>
      <c r="Z187" s="390">
        <f>BM187/$BM$184</f>
        <v>0.56999999999999995</v>
      </c>
      <c r="AA187" s="265">
        <v>2</v>
      </c>
      <c r="AB187" s="262" t="s">
        <v>141</v>
      </c>
      <c r="AC187" s="56"/>
      <c r="AD187" s="55"/>
      <c r="AE187" s="54"/>
      <c r="AF187" s="54"/>
      <c r="AG187" s="56"/>
      <c r="AH187" s="55"/>
      <c r="AI187" s="55"/>
      <c r="AJ187" s="55"/>
      <c r="AK187" s="56"/>
      <c r="AL187" s="55"/>
      <c r="AM187" s="55"/>
      <c r="AN187" s="55"/>
      <c r="AO187" s="56"/>
      <c r="AP187" s="55"/>
      <c r="AQ187" s="55"/>
      <c r="AR187" s="55"/>
      <c r="AS187" s="56"/>
      <c r="AT187" s="55"/>
      <c r="AU187" s="54"/>
      <c r="AV187" s="54"/>
      <c r="AW187" s="56"/>
      <c r="AX187" s="55"/>
      <c r="AY187" s="55"/>
      <c r="AZ187" s="55"/>
      <c r="BA187" s="56"/>
      <c r="BB187" s="55"/>
      <c r="BC187" s="55"/>
      <c r="BD187" s="55"/>
      <c r="BE187" s="57">
        <v>57000000</v>
      </c>
      <c r="BF187" s="54">
        <v>57000000</v>
      </c>
      <c r="BG187" s="54">
        <v>37923333</v>
      </c>
      <c r="BH187" s="54">
        <v>37923333</v>
      </c>
      <c r="BI187" s="57"/>
      <c r="BJ187" s="58"/>
      <c r="BK187" s="58"/>
      <c r="BL187" s="55"/>
      <c r="BM187" s="53">
        <f>+AC187+AG187+AK187+AO187+AS187+AW187+BA187+BE187+BI187</f>
        <v>57000000</v>
      </c>
      <c r="BN187" s="54">
        <f t="shared" si="376"/>
        <v>57000000</v>
      </c>
      <c r="BO187" s="54">
        <f t="shared" si="376"/>
        <v>37923333</v>
      </c>
      <c r="BP187" s="54">
        <f t="shared" si="376"/>
        <v>37923333</v>
      </c>
      <c r="BQ187" s="83"/>
      <c r="BR187" s="83"/>
      <c r="BS187" s="83"/>
      <c r="BT187" s="83"/>
      <c r="BU187" s="83"/>
      <c r="BV187" s="82"/>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4">
        <v>58709999.999999993</v>
      </c>
      <c r="CW187" s="83">
        <v>58709999.999999993</v>
      </c>
      <c r="CX187" s="83">
        <v>48020000</v>
      </c>
      <c r="CY187" s="83">
        <v>40765000</v>
      </c>
      <c r="CZ187" s="83"/>
      <c r="DA187" s="83"/>
      <c r="DB187" s="83"/>
      <c r="DC187" s="83"/>
      <c r="DD187" s="83"/>
      <c r="DE187" s="81">
        <f t="shared" si="377"/>
        <v>58709999.999999993</v>
      </c>
      <c r="DF187" s="95">
        <f t="shared" si="377"/>
        <v>58709999.999999993</v>
      </c>
      <c r="DG187" s="95">
        <f t="shared" si="377"/>
        <v>48020000</v>
      </c>
      <c r="DH187" s="95">
        <f t="shared" si="377"/>
        <v>40765000</v>
      </c>
      <c r="DI187" s="95"/>
      <c r="DJ187" s="84"/>
      <c r="DK187" s="65"/>
      <c r="DL187" s="84"/>
      <c r="DM187" s="84"/>
      <c r="DN187" s="84"/>
      <c r="DO187" s="84">
        <v>14000000</v>
      </c>
      <c r="DP187" s="84">
        <v>10880000</v>
      </c>
      <c r="DQ187" s="84">
        <v>10880000</v>
      </c>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v>60559999.999999993</v>
      </c>
      <c r="EO187" s="84">
        <v>39000000</v>
      </c>
      <c r="EP187" s="84">
        <v>39000000</v>
      </c>
      <c r="EQ187" s="84">
        <v>39000000</v>
      </c>
      <c r="ER187" s="84"/>
      <c r="ES187" s="84"/>
      <c r="ET187" s="83"/>
      <c r="EU187" s="83"/>
      <c r="EV187" s="83"/>
      <c r="EW187" s="81">
        <f t="shared" si="378"/>
        <v>60559999.999999993</v>
      </c>
      <c r="EX187" s="86">
        <f t="shared" si="378"/>
        <v>53000000</v>
      </c>
      <c r="EY187" s="86">
        <f t="shared" si="379"/>
        <v>49880000</v>
      </c>
      <c r="EZ187" s="86">
        <f t="shared" si="379"/>
        <v>49880000</v>
      </c>
      <c r="FA187" s="176"/>
      <c r="FB187" s="83"/>
      <c r="FC187" s="84"/>
      <c r="FD187" s="84"/>
      <c r="FE187" s="84"/>
      <c r="FF187" s="140"/>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v>62372700</v>
      </c>
      <c r="GL187" s="83">
        <f>70000000+22000000</f>
        <v>92000000</v>
      </c>
      <c r="GM187" s="83">
        <v>64051666</v>
      </c>
      <c r="GN187" s="83">
        <v>43776000</v>
      </c>
      <c r="GO187" s="83"/>
      <c r="GP187" s="83"/>
      <c r="GQ187" s="83"/>
      <c r="GR187" s="83"/>
      <c r="GS187" s="83"/>
      <c r="GT187" s="83"/>
      <c r="GU187" s="81">
        <f t="shared" si="380"/>
        <v>62372700</v>
      </c>
      <c r="GV187" s="81">
        <f t="shared" si="380"/>
        <v>92000000</v>
      </c>
      <c r="GW187" s="81">
        <f t="shared" si="380"/>
        <v>64051666</v>
      </c>
      <c r="GX187" s="81">
        <f t="shared" si="380"/>
        <v>43776000</v>
      </c>
      <c r="GY187" s="673">
        <f t="shared" si="380"/>
        <v>0</v>
      </c>
      <c r="GZ187" s="67">
        <f>BM187+DE187+EW187+GU187</f>
        <v>238642700</v>
      </c>
    </row>
    <row r="188" spans="1:208" ht="24.75" customHeight="1" x14ac:dyDescent="0.2">
      <c r="A188" s="326"/>
      <c r="B188" s="234">
        <v>12</v>
      </c>
      <c r="C188" s="324" t="s">
        <v>449</v>
      </c>
      <c r="D188" s="236"/>
      <c r="E188" s="237"/>
      <c r="F188" s="237"/>
      <c r="G188" s="238"/>
      <c r="H188" s="238"/>
      <c r="I188" s="238"/>
      <c r="J188" s="238"/>
      <c r="K188" s="238"/>
      <c r="L188" s="238"/>
      <c r="M188" s="238"/>
      <c r="N188" s="238"/>
      <c r="O188" s="238"/>
      <c r="P188" s="238"/>
      <c r="Q188" s="238"/>
      <c r="R188" s="238"/>
      <c r="S188" s="238"/>
      <c r="T188" s="238"/>
      <c r="U188" s="238"/>
      <c r="V188" s="238"/>
      <c r="W188" s="238"/>
      <c r="X188" s="238"/>
      <c r="Y188" s="241"/>
      <c r="Z188" s="238"/>
      <c r="AA188" s="238"/>
      <c r="AB188" s="238"/>
      <c r="AC188" s="193">
        <f t="shared" ref="AC188:CN188" si="381">AC189+AC192+AC197+AC201+AC205+AC211+AC214+AC217+AC221+AC226+AC229</f>
        <v>0</v>
      </c>
      <c r="AD188" s="193">
        <f t="shared" si="381"/>
        <v>0</v>
      </c>
      <c r="AE188" s="193">
        <f t="shared" si="381"/>
        <v>0</v>
      </c>
      <c r="AF188" s="193">
        <f t="shared" si="381"/>
        <v>0</v>
      </c>
      <c r="AG188" s="193">
        <f t="shared" si="381"/>
        <v>1159435758</v>
      </c>
      <c r="AH188" s="193">
        <f t="shared" si="381"/>
        <v>1267889758</v>
      </c>
      <c r="AI188" s="193">
        <f t="shared" si="381"/>
        <v>626143710</v>
      </c>
      <c r="AJ188" s="193">
        <f t="shared" si="381"/>
        <v>612473118</v>
      </c>
      <c r="AK188" s="193">
        <f t="shared" si="381"/>
        <v>190000000</v>
      </c>
      <c r="AL188" s="193">
        <f t="shared" si="381"/>
        <v>190000000</v>
      </c>
      <c r="AM188" s="193">
        <f t="shared" si="381"/>
        <v>27133000</v>
      </c>
      <c r="AN188" s="193">
        <f t="shared" si="381"/>
        <v>27133000</v>
      </c>
      <c r="AO188" s="193">
        <f t="shared" si="381"/>
        <v>7383</v>
      </c>
      <c r="AP188" s="193">
        <f t="shared" si="381"/>
        <v>295344126</v>
      </c>
      <c r="AQ188" s="193">
        <f t="shared" si="381"/>
        <v>101394245</v>
      </c>
      <c r="AR188" s="193">
        <f t="shared" si="381"/>
        <v>101394245</v>
      </c>
      <c r="AS188" s="193">
        <f t="shared" si="381"/>
        <v>0</v>
      </c>
      <c r="AT188" s="193">
        <f t="shared" si="381"/>
        <v>0</v>
      </c>
      <c r="AU188" s="193">
        <f t="shared" si="381"/>
        <v>0</v>
      </c>
      <c r="AV188" s="193">
        <f t="shared" si="381"/>
        <v>0</v>
      </c>
      <c r="AW188" s="193">
        <f t="shared" si="381"/>
        <v>0</v>
      </c>
      <c r="AX188" s="193">
        <f t="shared" si="381"/>
        <v>0</v>
      </c>
      <c r="AY188" s="193">
        <f t="shared" si="381"/>
        <v>0</v>
      </c>
      <c r="AZ188" s="193">
        <f t="shared" si="381"/>
        <v>0</v>
      </c>
      <c r="BA188" s="193">
        <f t="shared" si="381"/>
        <v>0</v>
      </c>
      <c r="BB188" s="193">
        <f t="shared" si="381"/>
        <v>0</v>
      </c>
      <c r="BC188" s="193">
        <f t="shared" si="381"/>
        <v>0</v>
      </c>
      <c r="BD188" s="193">
        <f t="shared" si="381"/>
        <v>0</v>
      </c>
      <c r="BE188" s="193">
        <f t="shared" si="381"/>
        <v>3383279853</v>
      </c>
      <c r="BF188" s="193">
        <f t="shared" si="381"/>
        <v>3400197430</v>
      </c>
      <c r="BG188" s="193">
        <f t="shared" si="381"/>
        <v>2242057529.6599998</v>
      </c>
      <c r="BH188" s="193">
        <f t="shared" si="381"/>
        <v>2035628794.6599998</v>
      </c>
      <c r="BI188" s="193">
        <f t="shared" si="381"/>
        <v>0</v>
      </c>
      <c r="BJ188" s="193">
        <f t="shared" si="381"/>
        <v>0</v>
      </c>
      <c r="BK188" s="193">
        <f t="shared" si="381"/>
        <v>0</v>
      </c>
      <c r="BL188" s="193">
        <f t="shared" si="381"/>
        <v>0</v>
      </c>
      <c r="BM188" s="193">
        <f t="shared" si="381"/>
        <v>4732722994</v>
      </c>
      <c r="BN188" s="193">
        <f t="shared" si="381"/>
        <v>5153431314</v>
      </c>
      <c r="BO188" s="193">
        <f t="shared" si="381"/>
        <v>2996728484.6599998</v>
      </c>
      <c r="BP188" s="193">
        <f t="shared" si="381"/>
        <v>2776629157.6599998</v>
      </c>
      <c r="BQ188" s="193">
        <f t="shared" si="381"/>
        <v>0</v>
      </c>
      <c r="BR188" s="193">
        <f t="shared" si="381"/>
        <v>0</v>
      </c>
      <c r="BS188" s="193">
        <f t="shared" si="381"/>
        <v>0</v>
      </c>
      <c r="BT188" s="193">
        <f t="shared" si="381"/>
        <v>0</v>
      </c>
      <c r="BU188" s="193">
        <f t="shared" si="381"/>
        <v>717874879</v>
      </c>
      <c r="BV188" s="193">
        <f t="shared" si="381"/>
        <v>855342908</v>
      </c>
      <c r="BW188" s="193">
        <f t="shared" si="381"/>
        <v>826650948</v>
      </c>
      <c r="BX188" s="193">
        <f t="shared" si="381"/>
        <v>822191083</v>
      </c>
      <c r="BY188" s="193">
        <f t="shared" si="381"/>
        <v>0</v>
      </c>
      <c r="BZ188" s="193">
        <f t="shared" si="381"/>
        <v>130000000</v>
      </c>
      <c r="CA188" s="193">
        <f t="shared" si="381"/>
        <v>130000000</v>
      </c>
      <c r="CB188" s="193">
        <f t="shared" si="381"/>
        <v>120400613.67</v>
      </c>
      <c r="CC188" s="193">
        <f t="shared" si="381"/>
        <v>112373947</v>
      </c>
      <c r="CD188" s="193">
        <f t="shared" si="381"/>
        <v>0</v>
      </c>
      <c r="CE188" s="193">
        <f t="shared" si="381"/>
        <v>0</v>
      </c>
      <c r="CF188" s="193">
        <f t="shared" si="381"/>
        <v>1127214649.1300001</v>
      </c>
      <c r="CG188" s="193">
        <f t="shared" si="381"/>
        <v>496369305</v>
      </c>
      <c r="CH188" s="193">
        <f t="shared" si="381"/>
        <v>436369305</v>
      </c>
      <c r="CI188" s="193">
        <f t="shared" si="381"/>
        <v>0</v>
      </c>
      <c r="CJ188" s="193">
        <f t="shared" si="381"/>
        <v>0</v>
      </c>
      <c r="CK188" s="193">
        <f t="shared" si="381"/>
        <v>0</v>
      </c>
      <c r="CL188" s="193">
        <f t="shared" si="381"/>
        <v>0</v>
      </c>
      <c r="CM188" s="193">
        <f t="shared" si="381"/>
        <v>0</v>
      </c>
      <c r="CN188" s="193">
        <f t="shared" si="381"/>
        <v>0</v>
      </c>
      <c r="CO188" s="193">
        <f t="shared" ref="CO188:EV188" si="382">CO189+CO192+CO197+CO201+CO205+CO211+CO214+CO217+CO221+CO226+CO229</f>
        <v>0</v>
      </c>
      <c r="CP188" s="193">
        <f t="shared" si="382"/>
        <v>0</v>
      </c>
      <c r="CQ188" s="193">
        <f t="shared" si="382"/>
        <v>0</v>
      </c>
      <c r="CR188" s="193">
        <f t="shared" si="382"/>
        <v>0</v>
      </c>
      <c r="CS188" s="193">
        <f t="shared" si="382"/>
        <v>0</v>
      </c>
      <c r="CT188" s="193">
        <f t="shared" si="382"/>
        <v>0</v>
      </c>
      <c r="CU188" s="193">
        <f t="shared" si="382"/>
        <v>0</v>
      </c>
      <c r="CV188" s="193">
        <f t="shared" si="382"/>
        <v>3362150103.7801847</v>
      </c>
      <c r="CW188" s="193">
        <f t="shared" si="382"/>
        <v>4531555903.996911</v>
      </c>
      <c r="CX188" s="193">
        <f t="shared" si="382"/>
        <v>4110793092.6599998</v>
      </c>
      <c r="CY188" s="193">
        <f t="shared" si="382"/>
        <v>3805308224.3299999</v>
      </c>
      <c r="CZ188" s="193">
        <f t="shared" si="382"/>
        <v>183025600</v>
      </c>
      <c r="DA188" s="193">
        <f t="shared" si="382"/>
        <v>0</v>
      </c>
      <c r="DB188" s="193">
        <f t="shared" si="382"/>
        <v>0</v>
      </c>
      <c r="DC188" s="193">
        <f t="shared" si="382"/>
        <v>0</v>
      </c>
      <c r="DD188" s="193">
        <f t="shared" si="382"/>
        <v>0</v>
      </c>
      <c r="DE188" s="193">
        <f t="shared" si="382"/>
        <v>4210024982.4200001</v>
      </c>
      <c r="DF188" s="193">
        <f t="shared" si="382"/>
        <v>6644113461.1269112</v>
      </c>
      <c r="DG188" s="193">
        <f t="shared" si="382"/>
        <v>5554213959.3299999</v>
      </c>
      <c r="DH188" s="193">
        <f t="shared" si="382"/>
        <v>5176242559.3299999</v>
      </c>
      <c r="DI188" s="193">
        <f t="shared" si="382"/>
        <v>183025600</v>
      </c>
      <c r="DJ188" s="193">
        <f t="shared" si="382"/>
        <v>0</v>
      </c>
      <c r="DK188" s="193">
        <f t="shared" si="382"/>
        <v>0</v>
      </c>
      <c r="DL188" s="193">
        <f t="shared" si="382"/>
        <v>0</v>
      </c>
      <c r="DM188" s="193">
        <f t="shared" si="382"/>
        <v>0</v>
      </c>
      <c r="DN188" s="193">
        <f t="shared" si="382"/>
        <v>739411125.43180001</v>
      </c>
      <c r="DO188" s="193">
        <f t="shared" si="382"/>
        <v>1172133606</v>
      </c>
      <c r="DP188" s="193">
        <f t="shared" si="382"/>
        <v>781284175</v>
      </c>
      <c r="DQ188" s="193">
        <f t="shared" si="382"/>
        <v>643601365</v>
      </c>
      <c r="DR188" s="193">
        <f t="shared" si="382"/>
        <v>0</v>
      </c>
      <c r="DS188" s="193">
        <f t="shared" si="382"/>
        <v>30000000</v>
      </c>
      <c r="DT188" s="193">
        <f t="shared" si="382"/>
        <v>60000000</v>
      </c>
      <c r="DU188" s="193">
        <f t="shared" si="382"/>
        <v>58620000</v>
      </c>
      <c r="DV188" s="193">
        <f t="shared" si="382"/>
        <v>58620000</v>
      </c>
      <c r="DW188" s="193">
        <f t="shared" si="382"/>
        <v>0</v>
      </c>
      <c r="DX188" s="193">
        <f t="shared" si="382"/>
        <v>0</v>
      </c>
      <c r="DY188" s="193">
        <f t="shared" si="382"/>
        <v>1142452652</v>
      </c>
      <c r="DZ188" s="193">
        <f t="shared" si="382"/>
        <v>674738805</v>
      </c>
      <c r="EA188" s="193">
        <f t="shared" si="382"/>
        <v>674738805</v>
      </c>
      <c r="EB188" s="193">
        <f t="shared" si="382"/>
        <v>0</v>
      </c>
      <c r="EC188" s="193">
        <f t="shared" si="382"/>
        <v>0</v>
      </c>
      <c r="ED188" s="193">
        <f t="shared" si="382"/>
        <v>0</v>
      </c>
      <c r="EE188" s="193">
        <f t="shared" si="382"/>
        <v>0</v>
      </c>
      <c r="EF188" s="193">
        <f t="shared" si="382"/>
        <v>0</v>
      </c>
      <c r="EG188" s="193">
        <f t="shared" si="382"/>
        <v>0</v>
      </c>
      <c r="EH188" s="193">
        <f t="shared" si="382"/>
        <v>0</v>
      </c>
      <c r="EI188" s="193">
        <f t="shared" si="382"/>
        <v>0</v>
      </c>
      <c r="EJ188" s="193">
        <f t="shared" si="382"/>
        <v>0</v>
      </c>
      <c r="EK188" s="193">
        <f t="shared" si="382"/>
        <v>0</v>
      </c>
      <c r="EL188" s="193">
        <f t="shared" si="382"/>
        <v>0</v>
      </c>
      <c r="EM188" s="193">
        <f t="shared" si="382"/>
        <v>0</v>
      </c>
      <c r="EN188" s="193">
        <f t="shared" si="382"/>
        <v>3463014606.5951176</v>
      </c>
      <c r="EO188" s="193">
        <f t="shared" si="382"/>
        <v>3957254361.0699997</v>
      </c>
      <c r="EP188" s="193">
        <f t="shared" si="382"/>
        <v>3587169073</v>
      </c>
      <c r="EQ188" s="193">
        <f t="shared" si="382"/>
        <v>3587169073</v>
      </c>
      <c r="ER188" s="193">
        <f t="shared" si="382"/>
        <v>42000000</v>
      </c>
      <c r="ES188" s="193">
        <f t="shared" si="382"/>
        <v>0</v>
      </c>
      <c r="ET188" s="193">
        <f t="shared" si="382"/>
        <v>0</v>
      </c>
      <c r="EU188" s="193">
        <f t="shared" si="382"/>
        <v>0</v>
      </c>
      <c r="EV188" s="193">
        <f t="shared" si="382"/>
        <v>0</v>
      </c>
      <c r="EW188" s="193">
        <f t="shared" ref="EW188" si="383">EW189+EW192+EW197+EW201+EW205+EW211+EW214+EW217+EW221+EW226+EW229</f>
        <v>4232425732.0269175</v>
      </c>
      <c r="EX188" s="193">
        <f t="shared" ref="EX188:GZ188" si="384">EX189+EX192+EX197+EX201+EX205+EX211+EX214+EX217+EX221+EX226+EX229</f>
        <v>6331840619.0699997</v>
      </c>
      <c r="EY188" s="193">
        <f t="shared" si="384"/>
        <v>5101812053</v>
      </c>
      <c r="EZ188" s="193">
        <f t="shared" si="384"/>
        <v>4964129243</v>
      </c>
      <c r="FA188" s="193">
        <f t="shared" si="384"/>
        <v>42000000</v>
      </c>
      <c r="FB188" s="193">
        <f t="shared" si="384"/>
        <v>0</v>
      </c>
      <c r="FC188" s="193">
        <f t="shared" si="384"/>
        <v>0</v>
      </c>
      <c r="FD188" s="193">
        <f t="shared" si="384"/>
        <v>0</v>
      </c>
      <c r="FE188" s="193">
        <f t="shared" si="384"/>
        <v>0</v>
      </c>
      <c r="FF188" s="193">
        <f t="shared" si="384"/>
        <v>0</v>
      </c>
      <c r="FG188" s="193">
        <f t="shared" si="384"/>
        <v>761593459</v>
      </c>
      <c r="FH188" s="193">
        <f t="shared" si="384"/>
        <v>767589858</v>
      </c>
      <c r="FI188" s="193">
        <f t="shared" si="384"/>
        <v>64055773</v>
      </c>
      <c r="FJ188" s="193">
        <f t="shared" si="384"/>
        <v>42719400</v>
      </c>
      <c r="FK188" s="193">
        <f t="shared" si="384"/>
        <v>0</v>
      </c>
      <c r="FL188" s="193">
        <f t="shared" si="384"/>
        <v>20000000</v>
      </c>
      <c r="FM188" s="193">
        <f t="shared" si="384"/>
        <v>327942000</v>
      </c>
      <c r="FN188" s="193">
        <f t="shared" si="384"/>
        <v>94504211</v>
      </c>
      <c r="FO188" s="193">
        <f t="shared" si="384"/>
        <v>53806211</v>
      </c>
      <c r="FP188" s="193">
        <f t="shared" si="384"/>
        <v>0</v>
      </c>
      <c r="FQ188" s="193">
        <f t="shared" si="384"/>
        <v>0</v>
      </c>
      <c r="FR188" s="193">
        <f t="shared" si="384"/>
        <v>1245246433</v>
      </c>
      <c r="FS188" s="193">
        <f t="shared" si="384"/>
        <v>350705728</v>
      </c>
      <c r="FT188" s="193">
        <f t="shared" si="384"/>
        <v>277931299</v>
      </c>
      <c r="FU188" s="193">
        <f t="shared" si="384"/>
        <v>0</v>
      </c>
      <c r="FV188" s="193">
        <f t="shared" si="384"/>
        <v>0</v>
      </c>
      <c r="FW188" s="193">
        <f t="shared" si="384"/>
        <v>0</v>
      </c>
      <c r="FX188" s="193">
        <f t="shared" si="384"/>
        <v>0</v>
      </c>
      <c r="FY188" s="193">
        <f t="shared" si="384"/>
        <v>0</v>
      </c>
      <c r="FZ188" s="193">
        <f t="shared" si="384"/>
        <v>0</v>
      </c>
      <c r="GA188" s="193">
        <f t="shared" si="384"/>
        <v>0</v>
      </c>
      <c r="GB188" s="193">
        <f t="shared" si="384"/>
        <v>0</v>
      </c>
      <c r="GC188" s="193">
        <f t="shared" si="384"/>
        <v>0</v>
      </c>
      <c r="GD188" s="193">
        <f t="shared" si="384"/>
        <v>0</v>
      </c>
      <c r="GE188" s="193">
        <f t="shared" si="384"/>
        <v>0</v>
      </c>
      <c r="GF188" s="193">
        <f t="shared" si="384"/>
        <v>0</v>
      </c>
      <c r="GG188" s="193">
        <f t="shared" si="384"/>
        <v>0</v>
      </c>
      <c r="GH188" s="193">
        <f t="shared" si="384"/>
        <v>0</v>
      </c>
      <c r="GI188" s="193">
        <f t="shared" si="384"/>
        <v>0</v>
      </c>
      <c r="GJ188" s="193">
        <f t="shared" si="384"/>
        <v>0</v>
      </c>
      <c r="GK188" s="193">
        <f t="shared" si="384"/>
        <v>3566905045.0244284</v>
      </c>
      <c r="GL188" s="193">
        <f t="shared" si="384"/>
        <v>4517149747</v>
      </c>
      <c r="GM188" s="193">
        <f t="shared" si="384"/>
        <v>2980239041</v>
      </c>
      <c r="GN188" s="193">
        <f t="shared" si="384"/>
        <v>1368853613</v>
      </c>
      <c r="GO188" s="193">
        <f t="shared" si="384"/>
        <v>0</v>
      </c>
      <c r="GP188" s="193">
        <f t="shared" si="384"/>
        <v>0</v>
      </c>
      <c r="GQ188" s="193">
        <f t="shared" si="384"/>
        <v>0</v>
      </c>
      <c r="GR188" s="193">
        <f t="shared" si="384"/>
        <v>0</v>
      </c>
      <c r="GS188" s="193">
        <f t="shared" si="384"/>
        <v>0</v>
      </c>
      <c r="GT188" s="193">
        <f t="shared" si="384"/>
        <v>0</v>
      </c>
      <c r="GU188" s="193">
        <f t="shared" si="384"/>
        <v>4348498504.0244284</v>
      </c>
      <c r="GV188" s="193">
        <f t="shared" si="384"/>
        <v>6857928038</v>
      </c>
      <c r="GW188" s="193">
        <f t="shared" si="384"/>
        <v>3489504753</v>
      </c>
      <c r="GX188" s="193">
        <f t="shared" si="384"/>
        <v>1743310523</v>
      </c>
      <c r="GY188" s="193">
        <f t="shared" si="384"/>
        <v>0</v>
      </c>
      <c r="GZ188" s="606">
        <f t="shared" si="384"/>
        <v>17523672212.471348</v>
      </c>
    </row>
    <row r="189" spans="1:208" ht="24.75" customHeight="1" x14ac:dyDescent="0.2">
      <c r="A189" s="326"/>
      <c r="B189" s="993"/>
      <c r="C189" s="246">
        <v>36</v>
      </c>
      <c r="D189" s="412" t="s">
        <v>450</v>
      </c>
      <c r="E189" s="294"/>
      <c r="F189" s="295"/>
      <c r="G189" s="249"/>
      <c r="H189" s="249"/>
      <c r="I189" s="249"/>
      <c r="J189" s="249"/>
      <c r="K189" s="249"/>
      <c r="L189" s="249"/>
      <c r="M189" s="249"/>
      <c r="N189" s="249"/>
      <c r="O189" s="249"/>
      <c r="P189" s="249"/>
      <c r="Q189" s="249"/>
      <c r="R189" s="249"/>
      <c r="S189" s="249"/>
      <c r="T189" s="249"/>
      <c r="U189" s="249"/>
      <c r="V189" s="249"/>
      <c r="W189" s="249"/>
      <c r="X189" s="249"/>
      <c r="Y189" s="296"/>
      <c r="Z189" s="249"/>
      <c r="AA189" s="249"/>
      <c r="AB189" s="249"/>
      <c r="AC189" s="186">
        <f t="shared" ref="AC189:BL189" si="385">SUM(AC190:AC191)</f>
        <v>0</v>
      </c>
      <c r="AD189" s="186">
        <f t="shared" si="385"/>
        <v>0</v>
      </c>
      <c r="AE189" s="186">
        <f t="shared" si="385"/>
        <v>0</v>
      </c>
      <c r="AF189" s="186">
        <f t="shared" si="385"/>
        <v>0</v>
      </c>
      <c r="AG189" s="186">
        <f t="shared" si="385"/>
        <v>0</v>
      </c>
      <c r="AH189" s="186">
        <f t="shared" si="385"/>
        <v>0</v>
      </c>
      <c r="AI189" s="186">
        <f t="shared" si="385"/>
        <v>0</v>
      </c>
      <c r="AJ189" s="186">
        <f t="shared" si="385"/>
        <v>0</v>
      </c>
      <c r="AK189" s="186">
        <f t="shared" si="385"/>
        <v>0</v>
      </c>
      <c r="AL189" s="186">
        <f t="shared" si="385"/>
        <v>0</v>
      </c>
      <c r="AM189" s="186">
        <f t="shared" si="385"/>
        <v>0</v>
      </c>
      <c r="AN189" s="186">
        <f t="shared" si="385"/>
        <v>0</v>
      </c>
      <c r="AO189" s="186">
        <f t="shared" si="385"/>
        <v>0</v>
      </c>
      <c r="AP189" s="186">
        <f t="shared" si="385"/>
        <v>0</v>
      </c>
      <c r="AQ189" s="186">
        <f t="shared" si="385"/>
        <v>0</v>
      </c>
      <c r="AR189" s="186">
        <f t="shared" si="385"/>
        <v>0</v>
      </c>
      <c r="AS189" s="186">
        <f t="shared" si="385"/>
        <v>0</v>
      </c>
      <c r="AT189" s="186">
        <f t="shared" si="385"/>
        <v>0</v>
      </c>
      <c r="AU189" s="186">
        <f t="shared" si="385"/>
        <v>0</v>
      </c>
      <c r="AV189" s="186">
        <f t="shared" si="385"/>
        <v>0</v>
      </c>
      <c r="AW189" s="186">
        <f t="shared" si="385"/>
        <v>0</v>
      </c>
      <c r="AX189" s="186">
        <f t="shared" si="385"/>
        <v>0</v>
      </c>
      <c r="AY189" s="186">
        <f t="shared" si="385"/>
        <v>0</v>
      </c>
      <c r="AZ189" s="186">
        <f t="shared" si="385"/>
        <v>0</v>
      </c>
      <c r="BA189" s="186">
        <f t="shared" si="385"/>
        <v>0</v>
      </c>
      <c r="BB189" s="186">
        <f t="shared" si="385"/>
        <v>0</v>
      </c>
      <c r="BC189" s="186">
        <f t="shared" si="385"/>
        <v>0</v>
      </c>
      <c r="BD189" s="186">
        <f t="shared" si="385"/>
        <v>0</v>
      </c>
      <c r="BE189" s="186">
        <f t="shared" si="385"/>
        <v>150000000</v>
      </c>
      <c r="BF189" s="186">
        <f t="shared" si="385"/>
        <v>150000000</v>
      </c>
      <c r="BG189" s="186">
        <f t="shared" si="385"/>
        <v>102517000</v>
      </c>
      <c r="BH189" s="186">
        <f t="shared" si="385"/>
        <v>98599565</v>
      </c>
      <c r="BI189" s="186">
        <f t="shared" si="385"/>
        <v>0</v>
      </c>
      <c r="BJ189" s="186">
        <f t="shared" si="385"/>
        <v>0</v>
      </c>
      <c r="BK189" s="186">
        <f t="shared" si="385"/>
        <v>0</v>
      </c>
      <c r="BL189" s="186">
        <f t="shared" si="385"/>
        <v>0</v>
      </c>
      <c r="BM189" s="186">
        <f t="shared" ref="BM189:DX189" si="386">SUM(BM190:BM191)</f>
        <v>150000000</v>
      </c>
      <c r="BN189" s="186">
        <f t="shared" si="386"/>
        <v>150000000</v>
      </c>
      <c r="BO189" s="186">
        <f t="shared" si="386"/>
        <v>102517000</v>
      </c>
      <c r="BP189" s="186">
        <f t="shared" si="386"/>
        <v>98599565</v>
      </c>
      <c r="BQ189" s="186">
        <f t="shared" si="386"/>
        <v>0</v>
      </c>
      <c r="BR189" s="186">
        <f t="shared" si="386"/>
        <v>0</v>
      </c>
      <c r="BS189" s="186">
        <f t="shared" si="386"/>
        <v>0</v>
      </c>
      <c r="BT189" s="186">
        <f t="shared" si="386"/>
        <v>0</v>
      </c>
      <c r="BU189" s="186">
        <f t="shared" si="386"/>
        <v>0</v>
      </c>
      <c r="BV189" s="186">
        <f t="shared" si="386"/>
        <v>0</v>
      </c>
      <c r="BW189" s="186">
        <f t="shared" si="386"/>
        <v>0</v>
      </c>
      <c r="BX189" s="186">
        <f t="shared" si="386"/>
        <v>0</v>
      </c>
      <c r="BY189" s="186">
        <f t="shared" si="386"/>
        <v>0</v>
      </c>
      <c r="BZ189" s="186">
        <f t="shared" si="386"/>
        <v>0</v>
      </c>
      <c r="CA189" s="186">
        <f t="shared" si="386"/>
        <v>0</v>
      </c>
      <c r="CB189" s="186">
        <f t="shared" si="386"/>
        <v>0</v>
      </c>
      <c r="CC189" s="186">
        <f t="shared" si="386"/>
        <v>0</v>
      </c>
      <c r="CD189" s="186">
        <f t="shared" si="386"/>
        <v>0</v>
      </c>
      <c r="CE189" s="186">
        <f t="shared" si="386"/>
        <v>0</v>
      </c>
      <c r="CF189" s="186">
        <f t="shared" si="386"/>
        <v>0</v>
      </c>
      <c r="CG189" s="186">
        <f t="shared" si="386"/>
        <v>0</v>
      </c>
      <c r="CH189" s="186">
        <f t="shared" si="386"/>
        <v>0</v>
      </c>
      <c r="CI189" s="186">
        <f t="shared" si="386"/>
        <v>0</v>
      </c>
      <c r="CJ189" s="186">
        <f t="shared" si="386"/>
        <v>0</v>
      </c>
      <c r="CK189" s="186">
        <f t="shared" si="386"/>
        <v>0</v>
      </c>
      <c r="CL189" s="186">
        <f t="shared" si="386"/>
        <v>0</v>
      </c>
      <c r="CM189" s="186">
        <f t="shared" si="386"/>
        <v>0</v>
      </c>
      <c r="CN189" s="186">
        <f t="shared" si="386"/>
        <v>0</v>
      </c>
      <c r="CO189" s="186">
        <f t="shared" si="386"/>
        <v>0</v>
      </c>
      <c r="CP189" s="186">
        <f t="shared" si="386"/>
        <v>0</v>
      </c>
      <c r="CQ189" s="186">
        <f t="shared" si="386"/>
        <v>0</v>
      </c>
      <c r="CR189" s="186">
        <f t="shared" si="386"/>
        <v>0</v>
      </c>
      <c r="CS189" s="186">
        <f t="shared" si="386"/>
        <v>0</v>
      </c>
      <c r="CT189" s="186">
        <f t="shared" si="386"/>
        <v>0</v>
      </c>
      <c r="CU189" s="186">
        <f t="shared" si="386"/>
        <v>0</v>
      </c>
      <c r="CV189" s="186">
        <f t="shared" si="386"/>
        <v>154500000</v>
      </c>
      <c r="CW189" s="186">
        <f t="shared" si="386"/>
        <v>154500000</v>
      </c>
      <c r="CX189" s="186">
        <f t="shared" si="386"/>
        <v>153695000</v>
      </c>
      <c r="CY189" s="186">
        <f t="shared" si="386"/>
        <v>146440000</v>
      </c>
      <c r="CZ189" s="186">
        <f t="shared" si="386"/>
        <v>0</v>
      </c>
      <c r="DA189" s="186">
        <f t="shared" si="386"/>
        <v>0</v>
      </c>
      <c r="DB189" s="186">
        <f t="shared" si="386"/>
        <v>0</v>
      </c>
      <c r="DC189" s="186">
        <f t="shared" si="386"/>
        <v>0</v>
      </c>
      <c r="DD189" s="186">
        <f t="shared" si="386"/>
        <v>0</v>
      </c>
      <c r="DE189" s="186">
        <f t="shared" si="386"/>
        <v>154500000</v>
      </c>
      <c r="DF189" s="186">
        <f t="shared" si="386"/>
        <v>154500000</v>
      </c>
      <c r="DG189" s="186">
        <f t="shared" si="386"/>
        <v>153695000</v>
      </c>
      <c r="DH189" s="186">
        <f t="shared" si="386"/>
        <v>146440000</v>
      </c>
      <c r="DI189" s="186">
        <f t="shared" si="386"/>
        <v>0</v>
      </c>
      <c r="DJ189" s="186">
        <f t="shared" si="386"/>
        <v>0</v>
      </c>
      <c r="DK189" s="186">
        <f t="shared" si="386"/>
        <v>0</v>
      </c>
      <c r="DL189" s="186">
        <f t="shared" si="386"/>
        <v>0</v>
      </c>
      <c r="DM189" s="186">
        <f t="shared" si="386"/>
        <v>0</v>
      </c>
      <c r="DN189" s="186">
        <f t="shared" si="386"/>
        <v>0</v>
      </c>
      <c r="DO189" s="186">
        <f t="shared" si="386"/>
        <v>35000000</v>
      </c>
      <c r="DP189" s="186">
        <f t="shared" si="386"/>
        <v>23093333</v>
      </c>
      <c r="DQ189" s="186">
        <f t="shared" si="386"/>
        <v>23093333</v>
      </c>
      <c r="DR189" s="186">
        <f t="shared" si="386"/>
        <v>0</v>
      </c>
      <c r="DS189" s="186">
        <f t="shared" si="386"/>
        <v>0</v>
      </c>
      <c r="DT189" s="186">
        <f t="shared" si="386"/>
        <v>0</v>
      </c>
      <c r="DU189" s="186">
        <f t="shared" si="386"/>
        <v>0</v>
      </c>
      <c r="DV189" s="186">
        <f t="shared" si="386"/>
        <v>0</v>
      </c>
      <c r="DW189" s="186">
        <f t="shared" si="386"/>
        <v>0</v>
      </c>
      <c r="DX189" s="186">
        <f t="shared" si="386"/>
        <v>0</v>
      </c>
      <c r="DY189" s="186">
        <f t="shared" ref="DY189:EW189" si="387">SUM(DY190:DY191)</f>
        <v>0</v>
      </c>
      <c r="DZ189" s="186">
        <f t="shared" si="387"/>
        <v>0</v>
      </c>
      <c r="EA189" s="186">
        <f t="shared" si="387"/>
        <v>0</v>
      </c>
      <c r="EB189" s="186">
        <f t="shared" si="387"/>
        <v>0</v>
      </c>
      <c r="EC189" s="186">
        <f t="shared" si="387"/>
        <v>0</v>
      </c>
      <c r="ED189" s="186">
        <f t="shared" si="387"/>
        <v>0</v>
      </c>
      <c r="EE189" s="186">
        <f t="shared" si="387"/>
        <v>0</v>
      </c>
      <c r="EF189" s="186">
        <f t="shared" si="387"/>
        <v>0</v>
      </c>
      <c r="EG189" s="186">
        <f t="shared" si="387"/>
        <v>0</v>
      </c>
      <c r="EH189" s="186">
        <f t="shared" si="387"/>
        <v>0</v>
      </c>
      <c r="EI189" s="186">
        <f t="shared" si="387"/>
        <v>0</v>
      </c>
      <c r="EJ189" s="186">
        <f t="shared" si="387"/>
        <v>0</v>
      </c>
      <c r="EK189" s="186">
        <f t="shared" si="387"/>
        <v>0</v>
      </c>
      <c r="EL189" s="186">
        <f t="shared" si="387"/>
        <v>0</v>
      </c>
      <c r="EM189" s="186">
        <f t="shared" si="387"/>
        <v>0</v>
      </c>
      <c r="EN189" s="186">
        <f t="shared" si="387"/>
        <v>159135000</v>
      </c>
      <c r="EO189" s="186">
        <f t="shared" si="387"/>
        <v>110000000</v>
      </c>
      <c r="EP189" s="186">
        <f t="shared" si="387"/>
        <v>110000000</v>
      </c>
      <c r="EQ189" s="186">
        <f t="shared" si="387"/>
        <v>110000000</v>
      </c>
      <c r="ER189" s="186">
        <f t="shared" si="387"/>
        <v>0</v>
      </c>
      <c r="ES189" s="186">
        <f t="shared" si="387"/>
        <v>0</v>
      </c>
      <c r="ET189" s="186">
        <f t="shared" si="387"/>
        <v>0</v>
      </c>
      <c r="EU189" s="186">
        <f t="shared" si="387"/>
        <v>0</v>
      </c>
      <c r="EV189" s="186">
        <f t="shared" si="387"/>
        <v>0</v>
      </c>
      <c r="EW189" s="186">
        <f t="shared" si="387"/>
        <v>159135000</v>
      </c>
      <c r="EX189" s="186">
        <f t="shared" ref="EX189:GZ189" si="388">SUM(EX190:EX191)</f>
        <v>145000000</v>
      </c>
      <c r="EY189" s="186">
        <f t="shared" si="388"/>
        <v>133093333</v>
      </c>
      <c r="EZ189" s="186">
        <f t="shared" si="388"/>
        <v>133093333</v>
      </c>
      <c r="FA189" s="186">
        <f t="shared" si="388"/>
        <v>0</v>
      </c>
      <c r="FB189" s="186">
        <f t="shared" si="388"/>
        <v>0</v>
      </c>
      <c r="FC189" s="186">
        <f t="shared" si="388"/>
        <v>0</v>
      </c>
      <c r="FD189" s="186">
        <f t="shared" si="388"/>
        <v>0</v>
      </c>
      <c r="FE189" s="186">
        <f t="shared" si="388"/>
        <v>0</v>
      </c>
      <c r="FF189" s="186">
        <f t="shared" si="388"/>
        <v>0</v>
      </c>
      <c r="FG189" s="186">
        <f t="shared" si="388"/>
        <v>0</v>
      </c>
      <c r="FH189" s="186">
        <f t="shared" si="388"/>
        <v>0</v>
      </c>
      <c r="FI189" s="186">
        <f t="shared" si="388"/>
        <v>0</v>
      </c>
      <c r="FJ189" s="186">
        <f t="shared" si="388"/>
        <v>0</v>
      </c>
      <c r="FK189" s="186">
        <f t="shared" si="388"/>
        <v>0</v>
      </c>
      <c r="FL189" s="186">
        <f t="shared" si="388"/>
        <v>0</v>
      </c>
      <c r="FM189" s="186">
        <f t="shared" si="388"/>
        <v>0</v>
      </c>
      <c r="FN189" s="186">
        <f t="shared" si="388"/>
        <v>0</v>
      </c>
      <c r="FO189" s="186">
        <f t="shared" si="388"/>
        <v>0</v>
      </c>
      <c r="FP189" s="186">
        <f t="shared" si="388"/>
        <v>0</v>
      </c>
      <c r="FQ189" s="186">
        <f t="shared" si="388"/>
        <v>0</v>
      </c>
      <c r="FR189" s="186">
        <f t="shared" si="388"/>
        <v>0</v>
      </c>
      <c r="FS189" s="186">
        <f t="shared" si="388"/>
        <v>0</v>
      </c>
      <c r="FT189" s="186">
        <f t="shared" si="388"/>
        <v>0</v>
      </c>
      <c r="FU189" s="186">
        <f t="shared" si="388"/>
        <v>0</v>
      </c>
      <c r="FV189" s="186">
        <f t="shared" si="388"/>
        <v>0</v>
      </c>
      <c r="FW189" s="186">
        <f t="shared" si="388"/>
        <v>0</v>
      </c>
      <c r="FX189" s="186">
        <f t="shared" si="388"/>
        <v>0</v>
      </c>
      <c r="FY189" s="186">
        <f t="shared" si="388"/>
        <v>0</v>
      </c>
      <c r="FZ189" s="186">
        <f t="shared" si="388"/>
        <v>0</v>
      </c>
      <c r="GA189" s="186">
        <f t="shared" si="388"/>
        <v>0</v>
      </c>
      <c r="GB189" s="186">
        <f t="shared" si="388"/>
        <v>0</v>
      </c>
      <c r="GC189" s="186">
        <f t="shared" si="388"/>
        <v>0</v>
      </c>
      <c r="GD189" s="186">
        <f t="shared" si="388"/>
        <v>0</v>
      </c>
      <c r="GE189" s="186">
        <f t="shared" si="388"/>
        <v>0</v>
      </c>
      <c r="GF189" s="186">
        <f t="shared" si="388"/>
        <v>0</v>
      </c>
      <c r="GG189" s="186">
        <f t="shared" si="388"/>
        <v>0</v>
      </c>
      <c r="GH189" s="186">
        <f t="shared" si="388"/>
        <v>0</v>
      </c>
      <c r="GI189" s="186">
        <f t="shared" si="388"/>
        <v>0</v>
      </c>
      <c r="GJ189" s="186">
        <f t="shared" si="388"/>
        <v>0</v>
      </c>
      <c r="GK189" s="186">
        <f t="shared" si="388"/>
        <v>163909050</v>
      </c>
      <c r="GL189" s="186">
        <f t="shared" si="388"/>
        <v>232000000</v>
      </c>
      <c r="GM189" s="186">
        <f t="shared" si="388"/>
        <v>135269000</v>
      </c>
      <c r="GN189" s="186">
        <f t="shared" si="388"/>
        <v>86089000</v>
      </c>
      <c r="GO189" s="186">
        <f t="shared" si="388"/>
        <v>0</v>
      </c>
      <c r="GP189" s="186">
        <f t="shared" si="388"/>
        <v>0</v>
      </c>
      <c r="GQ189" s="186">
        <f t="shared" si="388"/>
        <v>0</v>
      </c>
      <c r="GR189" s="186">
        <f t="shared" si="388"/>
        <v>0</v>
      </c>
      <c r="GS189" s="186">
        <f t="shared" si="388"/>
        <v>0</v>
      </c>
      <c r="GT189" s="186">
        <f t="shared" si="388"/>
        <v>0</v>
      </c>
      <c r="GU189" s="186">
        <f t="shared" si="388"/>
        <v>163909050</v>
      </c>
      <c r="GV189" s="186">
        <f t="shared" si="388"/>
        <v>232000000</v>
      </c>
      <c r="GW189" s="186">
        <f t="shared" si="388"/>
        <v>135269000</v>
      </c>
      <c r="GX189" s="186">
        <f t="shared" si="388"/>
        <v>86089000</v>
      </c>
      <c r="GY189" s="186">
        <f t="shared" si="388"/>
        <v>0</v>
      </c>
      <c r="GZ189" s="186">
        <f t="shared" si="388"/>
        <v>627544050</v>
      </c>
    </row>
    <row r="190" spans="1:208" ht="108" customHeight="1" x14ac:dyDescent="0.2">
      <c r="A190" s="326"/>
      <c r="B190" s="326"/>
      <c r="C190" s="456">
        <v>3</v>
      </c>
      <c r="D190" s="721" t="s">
        <v>451</v>
      </c>
      <c r="E190" s="417" t="s">
        <v>452</v>
      </c>
      <c r="F190" s="417" t="s">
        <v>93</v>
      </c>
      <c r="G190" s="988">
        <v>130</v>
      </c>
      <c r="H190" s="989" t="s">
        <v>453</v>
      </c>
      <c r="I190" s="721" t="s">
        <v>454</v>
      </c>
      <c r="J190" s="988" t="s">
        <v>444</v>
      </c>
      <c r="K190" s="417">
        <v>2</v>
      </c>
      <c r="L190" s="487" t="s">
        <v>58</v>
      </c>
      <c r="M190" s="717">
        <v>0</v>
      </c>
      <c r="N190" s="717">
        <v>1</v>
      </c>
      <c r="O190" s="1032">
        <v>1</v>
      </c>
      <c r="P190" s="1033">
        <v>1</v>
      </c>
      <c r="Q190" s="487">
        <v>1</v>
      </c>
      <c r="R190" s="268"/>
      <c r="S190" s="488">
        <v>0.9</v>
      </c>
      <c r="T190" s="487">
        <v>1</v>
      </c>
      <c r="U190" s="487"/>
      <c r="V190" s="488">
        <v>0.75</v>
      </c>
      <c r="W190" s="487">
        <v>1</v>
      </c>
      <c r="X190" s="487"/>
      <c r="Y190" s="642">
        <v>0.5</v>
      </c>
      <c r="Z190" s="1034">
        <f>BM190/$BM$189</f>
        <v>0.2</v>
      </c>
      <c r="AA190" s="988">
        <v>3</v>
      </c>
      <c r="AB190" s="988" t="s">
        <v>455</v>
      </c>
      <c r="AC190" s="107"/>
      <c r="AD190" s="107"/>
      <c r="AE190" s="103"/>
      <c r="AF190" s="103"/>
      <c r="AG190" s="107"/>
      <c r="AH190" s="107"/>
      <c r="AI190" s="107"/>
      <c r="AJ190" s="107"/>
      <c r="AK190" s="107"/>
      <c r="AL190" s="107"/>
      <c r="AM190" s="107"/>
      <c r="AN190" s="107"/>
      <c r="AO190" s="107"/>
      <c r="AP190" s="107"/>
      <c r="AQ190" s="107"/>
      <c r="AR190" s="107"/>
      <c r="AS190" s="107"/>
      <c r="AT190" s="107"/>
      <c r="AU190" s="103"/>
      <c r="AV190" s="103"/>
      <c r="AW190" s="107"/>
      <c r="AX190" s="107"/>
      <c r="AY190" s="107"/>
      <c r="AZ190" s="107"/>
      <c r="BA190" s="107"/>
      <c r="BB190" s="107"/>
      <c r="BC190" s="107"/>
      <c r="BD190" s="107"/>
      <c r="BE190" s="107">
        <v>30000000</v>
      </c>
      <c r="BF190" s="149">
        <v>30000000</v>
      </c>
      <c r="BG190" s="150">
        <v>29734000</v>
      </c>
      <c r="BH190" s="150">
        <v>29734000</v>
      </c>
      <c r="BI190" s="107"/>
      <c r="BJ190" s="107"/>
      <c r="BK190" s="107"/>
      <c r="BL190" s="107"/>
      <c r="BM190" s="53">
        <f>+AC190+AG190+AK190+AO190+AS190+AW190+BA190+BE190+BI190</f>
        <v>30000000</v>
      </c>
      <c r="BN190" s="54">
        <f t="shared" ref="BN190:BP191" si="389">AD190+AH190+AL190+AP190+AT190+AX190+BB190+BF190+BJ190</f>
        <v>30000000</v>
      </c>
      <c r="BO190" s="54">
        <f t="shared" si="389"/>
        <v>29734000</v>
      </c>
      <c r="BP190" s="54">
        <f t="shared" si="389"/>
        <v>29734000</v>
      </c>
      <c r="BQ190" s="106"/>
      <c r="BR190" s="106"/>
      <c r="BS190" s="106"/>
      <c r="BT190" s="106"/>
      <c r="BU190" s="106"/>
      <c r="BV190" s="169"/>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v>30900000</v>
      </c>
      <c r="CW190" s="106">
        <v>30900000</v>
      </c>
      <c r="CX190" s="106">
        <v>30900000</v>
      </c>
      <c r="CY190" s="106">
        <v>30900000</v>
      </c>
      <c r="CZ190" s="106"/>
      <c r="DA190" s="106"/>
      <c r="DB190" s="106"/>
      <c r="DC190" s="106"/>
      <c r="DD190" s="106"/>
      <c r="DE190" s="81">
        <f t="shared" ref="DE190:DH191" si="390">BQ190+BU190+BZ190+CE190+CI190+CM190+CQ190+CV190+DA190</f>
        <v>30900000</v>
      </c>
      <c r="DF190" s="81">
        <f t="shared" si="390"/>
        <v>30900000</v>
      </c>
      <c r="DG190" s="81">
        <f t="shared" si="390"/>
        <v>30900000</v>
      </c>
      <c r="DH190" s="81">
        <f t="shared" si="390"/>
        <v>30900000</v>
      </c>
      <c r="DI190" s="111"/>
      <c r="DJ190" s="106"/>
      <c r="DK190" s="169"/>
      <c r="DL190" s="106"/>
      <c r="DM190" s="106"/>
      <c r="DN190" s="106"/>
      <c r="DO190" s="106">
        <v>25000000</v>
      </c>
      <c r="DP190" s="106">
        <v>13093333</v>
      </c>
      <c r="DQ190" s="106">
        <v>13093333</v>
      </c>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v>31827000</v>
      </c>
      <c r="EO190" s="106">
        <v>68000000</v>
      </c>
      <c r="EP190" s="106">
        <v>68000000</v>
      </c>
      <c r="EQ190" s="106">
        <v>68000000</v>
      </c>
      <c r="ER190" s="106"/>
      <c r="ES190" s="106"/>
      <c r="ET190" s="113"/>
      <c r="EU190" s="113"/>
      <c r="EV190" s="113"/>
      <c r="EW190" s="81">
        <f t="shared" ref="EW190:EX191" si="391">DJ190+DN190+DS190+DX190+EB190+EF190+EJ190+EN190+ES190</f>
        <v>31827000</v>
      </c>
      <c r="EX190" s="86">
        <f t="shared" si="391"/>
        <v>93000000</v>
      </c>
      <c r="EY190" s="86">
        <f t="shared" ref="EY190:EZ191" si="392">DL190+DP190+DU190+DZ190+ED190+EH190+EL190+EP190+EU190</f>
        <v>81093333</v>
      </c>
      <c r="EZ190" s="86">
        <f t="shared" si="392"/>
        <v>81093333</v>
      </c>
      <c r="FA190" s="141"/>
      <c r="FB190" s="113"/>
      <c r="FC190" s="84"/>
      <c r="FD190" s="84"/>
      <c r="FE190" s="84"/>
      <c r="FF190" s="143"/>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v>32781810</v>
      </c>
      <c r="GL190" s="106">
        <f>84000000+10000000</f>
        <v>94000000</v>
      </c>
      <c r="GM190" s="106">
        <f>60000000+8394000</f>
        <v>68394000</v>
      </c>
      <c r="GN190" s="106">
        <f>30864000+2798000</f>
        <v>33662000</v>
      </c>
      <c r="GO190" s="106"/>
      <c r="GP190" s="106"/>
      <c r="GQ190" s="113"/>
      <c r="GR190" s="113"/>
      <c r="GS190" s="113"/>
      <c r="GT190" s="113"/>
      <c r="GU190" s="81">
        <f t="shared" ref="GU190:GY191" si="393">FB190+FG190+FL190+FQ190+FV190+GA190+GF190+GK190+GP190</f>
        <v>32781810</v>
      </c>
      <c r="GV190" s="81">
        <f t="shared" si="393"/>
        <v>94000000</v>
      </c>
      <c r="GW190" s="81">
        <f t="shared" si="393"/>
        <v>68394000</v>
      </c>
      <c r="GX190" s="81">
        <f t="shared" si="393"/>
        <v>33662000</v>
      </c>
      <c r="GY190" s="673">
        <f t="shared" si="393"/>
        <v>0</v>
      </c>
      <c r="GZ190" s="67">
        <f>BM190+DE190+EW190+GU190</f>
        <v>125508810</v>
      </c>
    </row>
    <row r="191" spans="1:208" s="711" customFormat="1" ht="114" customHeight="1" x14ac:dyDescent="0.2">
      <c r="A191" s="703"/>
      <c r="B191" s="703"/>
      <c r="C191" s="715"/>
      <c r="D191" s="826"/>
      <c r="E191" s="715"/>
      <c r="F191" s="715"/>
      <c r="G191" s="682">
        <v>131</v>
      </c>
      <c r="H191" s="676" t="s">
        <v>456</v>
      </c>
      <c r="I191" s="676" t="s">
        <v>457</v>
      </c>
      <c r="J191" s="897" t="s">
        <v>444</v>
      </c>
      <c r="K191" s="897">
        <v>2</v>
      </c>
      <c r="L191" s="895" t="s">
        <v>73</v>
      </c>
      <c r="M191" s="682">
        <v>0</v>
      </c>
      <c r="N191" s="682">
        <v>12</v>
      </c>
      <c r="O191" s="690">
        <v>3</v>
      </c>
      <c r="P191" s="695">
        <v>0</v>
      </c>
      <c r="Q191" s="690">
        <v>3</v>
      </c>
      <c r="R191" s="894">
        <v>2</v>
      </c>
      <c r="S191" s="695">
        <v>7</v>
      </c>
      <c r="T191" s="690">
        <v>3</v>
      </c>
      <c r="U191" s="690">
        <v>5</v>
      </c>
      <c r="V191" s="695">
        <v>8</v>
      </c>
      <c r="W191" s="690">
        <v>3</v>
      </c>
      <c r="X191" s="895">
        <v>5</v>
      </c>
      <c r="Y191" s="643">
        <v>1</v>
      </c>
      <c r="Z191" s="1016">
        <f>BM191/BM189</f>
        <v>0.8</v>
      </c>
      <c r="AA191" s="682">
        <v>3</v>
      </c>
      <c r="AB191" s="997" t="s">
        <v>455</v>
      </c>
      <c r="AC191" s="1035"/>
      <c r="AD191" s="831"/>
      <c r="AE191" s="818"/>
      <c r="AF191" s="818"/>
      <c r="AG191" s="1035"/>
      <c r="AH191" s="831"/>
      <c r="AI191" s="831"/>
      <c r="AJ191" s="831"/>
      <c r="AK191" s="1035"/>
      <c r="AL191" s="831"/>
      <c r="AM191" s="831"/>
      <c r="AN191" s="831"/>
      <c r="AO191" s="1035"/>
      <c r="AP191" s="831"/>
      <c r="AQ191" s="831"/>
      <c r="AR191" s="831"/>
      <c r="AS191" s="1035"/>
      <c r="AT191" s="831"/>
      <c r="AU191" s="818"/>
      <c r="AV191" s="818"/>
      <c r="AW191" s="1035"/>
      <c r="AX191" s="831"/>
      <c r="AY191" s="831"/>
      <c r="AZ191" s="831"/>
      <c r="BA191" s="1035"/>
      <c r="BB191" s="831"/>
      <c r="BC191" s="831"/>
      <c r="BD191" s="831"/>
      <c r="BE191" s="830">
        <v>120000000</v>
      </c>
      <c r="BF191" s="831">
        <v>120000000</v>
      </c>
      <c r="BG191" s="818">
        <v>72783000</v>
      </c>
      <c r="BH191" s="818">
        <v>68865565</v>
      </c>
      <c r="BI191" s="1035"/>
      <c r="BJ191" s="831"/>
      <c r="BK191" s="831"/>
      <c r="BL191" s="831"/>
      <c r="BM191" s="817">
        <f>+AC191+AG191+AK191+AO191+AS191+AW191+BA191+BE191+BI191</f>
        <v>120000000</v>
      </c>
      <c r="BN191" s="818">
        <f t="shared" si="389"/>
        <v>120000000</v>
      </c>
      <c r="BO191" s="818">
        <f t="shared" si="389"/>
        <v>72783000</v>
      </c>
      <c r="BP191" s="818">
        <f t="shared" si="389"/>
        <v>68865565</v>
      </c>
      <c r="BQ191" s="667"/>
      <c r="BR191" s="667"/>
      <c r="BS191" s="667"/>
      <c r="BT191" s="667"/>
      <c r="BU191" s="667"/>
      <c r="BV191" s="667"/>
      <c r="BW191" s="667"/>
      <c r="BX191" s="667"/>
      <c r="BY191" s="667"/>
      <c r="BZ191" s="667"/>
      <c r="CA191" s="667"/>
      <c r="CB191" s="667"/>
      <c r="CC191" s="667"/>
      <c r="CD191" s="667"/>
      <c r="CE191" s="667"/>
      <c r="CF191" s="667"/>
      <c r="CG191" s="667"/>
      <c r="CH191" s="667"/>
      <c r="CI191" s="667"/>
      <c r="CJ191" s="667"/>
      <c r="CK191" s="667"/>
      <c r="CL191" s="667"/>
      <c r="CM191" s="667"/>
      <c r="CN191" s="667"/>
      <c r="CO191" s="667"/>
      <c r="CP191" s="667"/>
      <c r="CQ191" s="667"/>
      <c r="CR191" s="667"/>
      <c r="CS191" s="667"/>
      <c r="CT191" s="667"/>
      <c r="CU191" s="667"/>
      <c r="CV191" s="706">
        <v>123600000</v>
      </c>
      <c r="CW191" s="667">
        <v>123600000</v>
      </c>
      <c r="CX191" s="667">
        <v>122795000</v>
      </c>
      <c r="CY191" s="667">
        <v>115540000</v>
      </c>
      <c r="CZ191" s="667"/>
      <c r="DA191" s="667"/>
      <c r="DB191" s="667"/>
      <c r="DC191" s="667"/>
      <c r="DD191" s="667"/>
      <c r="DE191" s="708">
        <f t="shared" si="390"/>
        <v>123600000</v>
      </c>
      <c r="DF191" s="708">
        <f t="shared" si="390"/>
        <v>123600000</v>
      </c>
      <c r="DG191" s="708">
        <f t="shared" si="390"/>
        <v>122795000</v>
      </c>
      <c r="DH191" s="708">
        <f t="shared" si="390"/>
        <v>115540000</v>
      </c>
      <c r="DI191" s="708"/>
      <c r="DJ191" s="706"/>
      <c r="DK191" s="706"/>
      <c r="DL191" s="706"/>
      <c r="DM191" s="706"/>
      <c r="DN191" s="706"/>
      <c r="DO191" s="706">
        <v>10000000</v>
      </c>
      <c r="DP191" s="706">
        <v>10000000</v>
      </c>
      <c r="DQ191" s="706">
        <v>10000000</v>
      </c>
      <c r="DR191" s="706"/>
      <c r="DS191" s="706"/>
      <c r="DT191" s="706"/>
      <c r="DU191" s="706"/>
      <c r="DV191" s="706"/>
      <c r="DW191" s="706"/>
      <c r="DX191" s="706"/>
      <c r="DY191" s="706"/>
      <c r="DZ191" s="706"/>
      <c r="EA191" s="706"/>
      <c r="EB191" s="706"/>
      <c r="EC191" s="706"/>
      <c r="ED191" s="706"/>
      <c r="EE191" s="706"/>
      <c r="EF191" s="706"/>
      <c r="EG191" s="706"/>
      <c r="EH191" s="706"/>
      <c r="EI191" s="706"/>
      <c r="EJ191" s="706"/>
      <c r="EK191" s="706"/>
      <c r="EL191" s="706"/>
      <c r="EM191" s="706"/>
      <c r="EN191" s="706">
        <v>127308000</v>
      </c>
      <c r="EO191" s="706">
        <v>42000000</v>
      </c>
      <c r="EP191" s="706">
        <v>42000000</v>
      </c>
      <c r="EQ191" s="706">
        <v>42000000</v>
      </c>
      <c r="ER191" s="706"/>
      <c r="ES191" s="706"/>
      <c r="ET191" s="667"/>
      <c r="EU191" s="667"/>
      <c r="EV191" s="667"/>
      <c r="EW191" s="708">
        <f t="shared" si="391"/>
        <v>127308000</v>
      </c>
      <c r="EX191" s="819">
        <f t="shared" si="391"/>
        <v>52000000</v>
      </c>
      <c r="EY191" s="819">
        <f t="shared" si="392"/>
        <v>52000000</v>
      </c>
      <c r="EZ191" s="819">
        <f t="shared" si="392"/>
        <v>52000000</v>
      </c>
      <c r="FA191" s="820"/>
      <c r="FB191" s="667"/>
      <c r="FC191" s="706"/>
      <c r="FD191" s="706"/>
      <c r="FE191" s="706"/>
      <c r="FF191" s="707"/>
      <c r="FG191" s="667"/>
      <c r="FH191" s="667"/>
      <c r="FI191" s="667"/>
      <c r="FJ191" s="667"/>
      <c r="FK191" s="667"/>
      <c r="FL191" s="667"/>
      <c r="FM191" s="667"/>
      <c r="FN191" s="667"/>
      <c r="FO191" s="667"/>
      <c r="FP191" s="667"/>
      <c r="FQ191" s="667"/>
      <c r="FR191" s="667"/>
      <c r="FS191" s="667"/>
      <c r="FT191" s="667"/>
      <c r="FU191" s="667"/>
      <c r="FV191" s="667"/>
      <c r="FW191" s="667"/>
      <c r="FX191" s="667"/>
      <c r="FY191" s="667"/>
      <c r="FZ191" s="667"/>
      <c r="GA191" s="667"/>
      <c r="GB191" s="667"/>
      <c r="GC191" s="667"/>
      <c r="GD191" s="667"/>
      <c r="GE191" s="667"/>
      <c r="GF191" s="667"/>
      <c r="GG191" s="667"/>
      <c r="GH191" s="667"/>
      <c r="GI191" s="667"/>
      <c r="GJ191" s="667"/>
      <c r="GK191" s="667">
        <v>131127240</v>
      </c>
      <c r="GL191" s="667">
        <f>128000000+10000000</f>
        <v>138000000</v>
      </c>
      <c r="GM191" s="667">
        <v>66875000</v>
      </c>
      <c r="GN191" s="667">
        <v>52427000</v>
      </c>
      <c r="GO191" s="667"/>
      <c r="GP191" s="667"/>
      <c r="GQ191" s="667"/>
      <c r="GR191" s="667"/>
      <c r="GS191" s="667"/>
      <c r="GT191" s="667"/>
      <c r="GU191" s="708">
        <f t="shared" si="393"/>
        <v>131127240</v>
      </c>
      <c r="GV191" s="708">
        <f t="shared" si="393"/>
        <v>138000000</v>
      </c>
      <c r="GW191" s="708">
        <f t="shared" si="393"/>
        <v>66875000</v>
      </c>
      <c r="GX191" s="708">
        <f t="shared" si="393"/>
        <v>52427000</v>
      </c>
      <c r="GY191" s="709">
        <f t="shared" si="393"/>
        <v>0</v>
      </c>
      <c r="GZ191" s="710">
        <f>BM191+DE191+EW191+GU191</f>
        <v>502035240</v>
      </c>
    </row>
    <row r="192" spans="1:208" ht="24.75" customHeight="1" x14ac:dyDescent="0.2">
      <c r="A192" s="326"/>
      <c r="B192" s="326"/>
      <c r="C192" s="246">
        <v>37</v>
      </c>
      <c r="D192" s="247" t="s">
        <v>458</v>
      </c>
      <c r="E192" s="295"/>
      <c r="F192" s="295"/>
      <c r="G192" s="246"/>
      <c r="H192" s="246"/>
      <c r="I192" s="246"/>
      <c r="J192" s="246"/>
      <c r="K192" s="246"/>
      <c r="L192" s="246"/>
      <c r="M192" s="246"/>
      <c r="N192" s="246"/>
      <c r="O192" s="246"/>
      <c r="P192" s="246"/>
      <c r="Q192" s="246"/>
      <c r="R192" s="246"/>
      <c r="S192" s="246"/>
      <c r="T192" s="246"/>
      <c r="U192" s="246"/>
      <c r="V192" s="246"/>
      <c r="W192" s="246"/>
      <c r="X192" s="246"/>
      <c r="Y192" s="625"/>
      <c r="Z192" s="246"/>
      <c r="AA192" s="246"/>
      <c r="AB192" s="246"/>
      <c r="AC192" s="186">
        <f t="shared" ref="AC192:BL192" si="394">SUM(AC193:AC196)</f>
        <v>0</v>
      </c>
      <c r="AD192" s="186">
        <f t="shared" si="394"/>
        <v>0</v>
      </c>
      <c r="AE192" s="186">
        <f t="shared" si="394"/>
        <v>0</v>
      </c>
      <c r="AF192" s="186">
        <f t="shared" si="394"/>
        <v>0</v>
      </c>
      <c r="AG192" s="186">
        <f t="shared" si="394"/>
        <v>0</v>
      </c>
      <c r="AH192" s="186">
        <f t="shared" si="394"/>
        <v>0</v>
      </c>
      <c r="AI192" s="186">
        <f t="shared" si="394"/>
        <v>0</v>
      </c>
      <c r="AJ192" s="186">
        <f t="shared" si="394"/>
        <v>0</v>
      </c>
      <c r="AK192" s="186">
        <f t="shared" si="394"/>
        <v>0</v>
      </c>
      <c r="AL192" s="186">
        <f t="shared" si="394"/>
        <v>0</v>
      </c>
      <c r="AM192" s="186">
        <f t="shared" si="394"/>
        <v>0</v>
      </c>
      <c r="AN192" s="186">
        <f t="shared" si="394"/>
        <v>0</v>
      </c>
      <c r="AO192" s="186">
        <f t="shared" si="394"/>
        <v>0</v>
      </c>
      <c r="AP192" s="186">
        <f t="shared" si="394"/>
        <v>0</v>
      </c>
      <c r="AQ192" s="186">
        <f t="shared" si="394"/>
        <v>0</v>
      </c>
      <c r="AR192" s="186">
        <f t="shared" si="394"/>
        <v>0</v>
      </c>
      <c r="AS192" s="186">
        <f t="shared" si="394"/>
        <v>0</v>
      </c>
      <c r="AT192" s="186">
        <f t="shared" si="394"/>
        <v>0</v>
      </c>
      <c r="AU192" s="186">
        <f t="shared" si="394"/>
        <v>0</v>
      </c>
      <c r="AV192" s="186">
        <f t="shared" si="394"/>
        <v>0</v>
      </c>
      <c r="AW192" s="186">
        <f t="shared" si="394"/>
        <v>0</v>
      </c>
      <c r="AX192" s="186">
        <f t="shared" si="394"/>
        <v>0</v>
      </c>
      <c r="AY192" s="186">
        <f t="shared" si="394"/>
        <v>0</v>
      </c>
      <c r="AZ192" s="186">
        <f t="shared" si="394"/>
        <v>0</v>
      </c>
      <c r="BA192" s="186">
        <f t="shared" si="394"/>
        <v>0</v>
      </c>
      <c r="BB192" s="186">
        <f t="shared" si="394"/>
        <v>0</v>
      </c>
      <c r="BC192" s="186">
        <f t="shared" si="394"/>
        <v>0</v>
      </c>
      <c r="BD192" s="186">
        <f t="shared" si="394"/>
        <v>0</v>
      </c>
      <c r="BE192" s="186">
        <f t="shared" si="394"/>
        <v>120000000</v>
      </c>
      <c r="BF192" s="186">
        <f t="shared" si="394"/>
        <v>120000000</v>
      </c>
      <c r="BG192" s="186">
        <f t="shared" si="394"/>
        <v>35817000</v>
      </c>
      <c r="BH192" s="186">
        <f t="shared" si="394"/>
        <v>35817000</v>
      </c>
      <c r="BI192" s="186">
        <f t="shared" si="394"/>
        <v>0</v>
      </c>
      <c r="BJ192" s="186">
        <f t="shared" si="394"/>
        <v>0</v>
      </c>
      <c r="BK192" s="186">
        <f t="shared" si="394"/>
        <v>0</v>
      </c>
      <c r="BL192" s="186">
        <f t="shared" si="394"/>
        <v>0</v>
      </c>
      <c r="BM192" s="186">
        <f t="shared" ref="BM192:DX192" si="395">SUM(BM193:BM196)</f>
        <v>120000000</v>
      </c>
      <c r="BN192" s="186">
        <f t="shared" si="395"/>
        <v>120000000</v>
      </c>
      <c r="BO192" s="186">
        <f t="shared" si="395"/>
        <v>35817000</v>
      </c>
      <c r="BP192" s="186">
        <f t="shared" si="395"/>
        <v>35817000</v>
      </c>
      <c r="BQ192" s="186">
        <f t="shared" si="395"/>
        <v>0</v>
      </c>
      <c r="BR192" s="186">
        <f t="shared" si="395"/>
        <v>0</v>
      </c>
      <c r="BS192" s="186">
        <f t="shared" si="395"/>
        <v>0</v>
      </c>
      <c r="BT192" s="186">
        <f t="shared" si="395"/>
        <v>0</v>
      </c>
      <c r="BU192" s="186">
        <f t="shared" si="395"/>
        <v>0</v>
      </c>
      <c r="BV192" s="186">
        <f t="shared" si="395"/>
        <v>0</v>
      </c>
      <c r="BW192" s="186">
        <f t="shared" si="395"/>
        <v>0</v>
      </c>
      <c r="BX192" s="186">
        <f t="shared" si="395"/>
        <v>0</v>
      </c>
      <c r="BY192" s="186">
        <f t="shared" si="395"/>
        <v>0</v>
      </c>
      <c r="BZ192" s="186">
        <f t="shared" si="395"/>
        <v>0</v>
      </c>
      <c r="CA192" s="186">
        <f t="shared" si="395"/>
        <v>0</v>
      </c>
      <c r="CB192" s="186">
        <f t="shared" si="395"/>
        <v>0</v>
      </c>
      <c r="CC192" s="186">
        <f t="shared" si="395"/>
        <v>0</v>
      </c>
      <c r="CD192" s="186">
        <f t="shared" si="395"/>
        <v>0</v>
      </c>
      <c r="CE192" s="186">
        <f t="shared" si="395"/>
        <v>0</v>
      </c>
      <c r="CF192" s="186">
        <f t="shared" si="395"/>
        <v>0</v>
      </c>
      <c r="CG192" s="186">
        <f t="shared" si="395"/>
        <v>0</v>
      </c>
      <c r="CH192" s="186">
        <f t="shared" si="395"/>
        <v>0</v>
      </c>
      <c r="CI192" s="186">
        <f t="shared" si="395"/>
        <v>0</v>
      </c>
      <c r="CJ192" s="186">
        <f t="shared" si="395"/>
        <v>0</v>
      </c>
      <c r="CK192" s="186">
        <f t="shared" si="395"/>
        <v>0</v>
      </c>
      <c r="CL192" s="186">
        <f t="shared" si="395"/>
        <v>0</v>
      </c>
      <c r="CM192" s="186">
        <f t="shared" si="395"/>
        <v>0</v>
      </c>
      <c r="CN192" s="186">
        <f t="shared" si="395"/>
        <v>0</v>
      </c>
      <c r="CO192" s="186">
        <f t="shared" si="395"/>
        <v>0</v>
      </c>
      <c r="CP192" s="186">
        <f t="shared" si="395"/>
        <v>0</v>
      </c>
      <c r="CQ192" s="186">
        <f t="shared" si="395"/>
        <v>0</v>
      </c>
      <c r="CR192" s="186">
        <f t="shared" si="395"/>
        <v>0</v>
      </c>
      <c r="CS192" s="186">
        <f t="shared" si="395"/>
        <v>0</v>
      </c>
      <c r="CT192" s="186">
        <f t="shared" si="395"/>
        <v>0</v>
      </c>
      <c r="CU192" s="186">
        <f t="shared" si="395"/>
        <v>0</v>
      </c>
      <c r="CV192" s="186">
        <f t="shared" si="395"/>
        <v>123600000</v>
      </c>
      <c r="CW192" s="186">
        <f t="shared" si="395"/>
        <v>148600000</v>
      </c>
      <c r="CX192" s="186">
        <f t="shared" si="395"/>
        <v>146408000</v>
      </c>
      <c r="CY192" s="186">
        <f t="shared" si="395"/>
        <v>146408000</v>
      </c>
      <c r="CZ192" s="186">
        <f t="shared" si="395"/>
        <v>0</v>
      </c>
      <c r="DA192" s="186">
        <f t="shared" si="395"/>
        <v>0</v>
      </c>
      <c r="DB192" s="186">
        <f t="shared" si="395"/>
        <v>0</v>
      </c>
      <c r="DC192" s="186">
        <f t="shared" si="395"/>
        <v>0</v>
      </c>
      <c r="DD192" s="186">
        <f t="shared" si="395"/>
        <v>0</v>
      </c>
      <c r="DE192" s="186">
        <f t="shared" si="395"/>
        <v>123600000</v>
      </c>
      <c r="DF192" s="186">
        <f t="shared" si="395"/>
        <v>148600000</v>
      </c>
      <c r="DG192" s="186">
        <f t="shared" si="395"/>
        <v>146408000</v>
      </c>
      <c r="DH192" s="186">
        <f t="shared" si="395"/>
        <v>146408000</v>
      </c>
      <c r="DI192" s="186">
        <f t="shared" si="395"/>
        <v>0</v>
      </c>
      <c r="DJ192" s="186">
        <f t="shared" si="395"/>
        <v>0</v>
      </c>
      <c r="DK192" s="186">
        <f t="shared" si="395"/>
        <v>0</v>
      </c>
      <c r="DL192" s="186">
        <f t="shared" si="395"/>
        <v>0</v>
      </c>
      <c r="DM192" s="186">
        <f t="shared" si="395"/>
        <v>0</v>
      </c>
      <c r="DN192" s="186">
        <f t="shared" si="395"/>
        <v>0</v>
      </c>
      <c r="DO192" s="186">
        <f t="shared" si="395"/>
        <v>45000000</v>
      </c>
      <c r="DP192" s="186">
        <f t="shared" si="395"/>
        <v>41400000</v>
      </c>
      <c r="DQ192" s="186">
        <f t="shared" si="395"/>
        <v>41400000</v>
      </c>
      <c r="DR192" s="186">
        <f t="shared" si="395"/>
        <v>0</v>
      </c>
      <c r="DS192" s="186">
        <f t="shared" si="395"/>
        <v>0</v>
      </c>
      <c r="DT192" s="186">
        <f t="shared" si="395"/>
        <v>0</v>
      </c>
      <c r="DU192" s="186">
        <f t="shared" si="395"/>
        <v>0</v>
      </c>
      <c r="DV192" s="186">
        <f t="shared" si="395"/>
        <v>0</v>
      </c>
      <c r="DW192" s="186">
        <f t="shared" si="395"/>
        <v>0</v>
      </c>
      <c r="DX192" s="186">
        <f t="shared" si="395"/>
        <v>0</v>
      </c>
      <c r="DY192" s="186">
        <f t="shared" ref="DY192:EW192" si="396">SUM(DY193:DY196)</f>
        <v>0</v>
      </c>
      <c r="DZ192" s="186">
        <f t="shared" si="396"/>
        <v>0</v>
      </c>
      <c r="EA192" s="186">
        <f t="shared" si="396"/>
        <v>0</v>
      </c>
      <c r="EB192" s="186">
        <f t="shared" si="396"/>
        <v>0</v>
      </c>
      <c r="EC192" s="186">
        <f t="shared" si="396"/>
        <v>0</v>
      </c>
      <c r="ED192" s="186">
        <f t="shared" si="396"/>
        <v>0</v>
      </c>
      <c r="EE192" s="186">
        <f t="shared" si="396"/>
        <v>0</v>
      </c>
      <c r="EF192" s="186">
        <f t="shared" si="396"/>
        <v>0</v>
      </c>
      <c r="EG192" s="186">
        <f t="shared" si="396"/>
        <v>0</v>
      </c>
      <c r="EH192" s="186">
        <f t="shared" si="396"/>
        <v>0</v>
      </c>
      <c r="EI192" s="186">
        <f t="shared" si="396"/>
        <v>0</v>
      </c>
      <c r="EJ192" s="186">
        <f t="shared" si="396"/>
        <v>0</v>
      </c>
      <c r="EK192" s="186">
        <f t="shared" si="396"/>
        <v>0</v>
      </c>
      <c r="EL192" s="186">
        <f t="shared" si="396"/>
        <v>0</v>
      </c>
      <c r="EM192" s="186">
        <f t="shared" si="396"/>
        <v>0</v>
      </c>
      <c r="EN192" s="186">
        <f t="shared" si="396"/>
        <v>127308000</v>
      </c>
      <c r="EO192" s="186">
        <f t="shared" si="396"/>
        <v>120000000</v>
      </c>
      <c r="EP192" s="186">
        <f t="shared" si="396"/>
        <v>119080000</v>
      </c>
      <c r="EQ192" s="186">
        <f t="shared" si="396"/>
        <v>119080000</v>
      </c>
      <c r="ER192" s="186">
        <f t="shared" si="396"/>
        <v>0</v>
      </c>
      <c r="ES192" s="186">
        <f t="shared" si="396"/>
        <v>0</v>
      </c>
      <c r="ET192" s="186">
        <f t="shared" si="396"/>
        <v>0</v>
      </c>
      <c r="EU192" s="186">
        <f t="shared" si="396"/>
        <v>0</v>
      </c>
      <c r="EV192" s="186">
        <f t="shared" si="396"/>
        <v>0</v>
      </c>
      <c r="EW192" s="186">
        <f t="shared" si="396"/>
        <v>127308000</v>
      </c>
      <c r="EX192" s="186">
        <f t="shared" ref="EX192:GZ192" si="397">SUM(EX193:EX196)</f>
        <v>165000000</v>
      </c>
      <c r="EY192" s="186">
        <f t="shared" si="397"/>
        <v>160480000</v>
      </c>
      <c r="EZ192" s="186">
        <f t="shared" si="397"/>
        <v>160480000</v>
      </c>
      <c r="FA192" s="186">
        <f t="shared" si="397"/>
        <v>0</v>
      </c>
      <c r="FB192" s="186">
        <f t="shared" si="397"/>
        <v>0</v>
      </c>
      <c r="FC192" s="186">
        <f t="shared" si="397"/>
        <v>0</v>
      </c>
      <c r="FD192" s="186">
        <f t="shared" si="397"/>
        <v>0</v>
      </c>
      <c r="FE192" s="186">
        <f t="shared" si="397"/>
        <v>0</v>
      </c>
      <c r="FF192" s="186">
        <f t="shared" si="397"/>
        <v>0</v>
      </c>
      <c r="FG192" s="186">
        <f t="shared" si="397"/>
        <v>0</v>
      </c>
      <c r="FH192" s="186">
        <f t="shared" si="397"/>
        <v>0</v>
      </c>
      <c r="FI192" s="186">
        <f t="shared" si="397"/>
        <v>0</v>
      </c>
      <c r="FJ192" s="186">
        <f t="shared" si="397"/>
        <v>0</v>
      </c>
      <c r="FK192" s="186">
        <f t="shared" si="397"/>
        <v>0</v>
      </c>
      <c r="FL192" s="186">
        <f t="shared" si="397"/>
        <v>0</v>
      </c>
      <c r="FM192" s="186">
        <f t="shared" si="397"/>
        <v>0</v>
      </c>
      <c r="FN192" s="186">
        <f t="shared" si="397"/>
        <v>0</v>
      </c>
      <c r="FO192" s="186">
        <f t="shared" si="397"/>
        <v>0</v>
      </c>
      <c r="FP192" s="186">
        <f t="shared" si="397"/>
        <v>0</v>
      </c>
      <c r="FQ192" s="186">
        <f t="shared" si="397"/>
        <v>0</v>
      </c>
      <c r="FR192" s="186">
        <f t="shared" si="397"/>
        <v>0</v>
      </c>
      <c r="FS192" s="186">
        <f t="shared" si="397"/>
        <v>0</v>
      </c>
      <c r="FT192" s="186">
        <f t="shared" si="397"/>
        <v>0</v>
      </c>
      <c r="FU192" s="186">
        <f t="shared" si="397"/>
        <v>0</v>
      </c>
      <c r="FV192" s="186">
        <f t="shared" si="397"/>
        <v>0</v>
      </c>
      <c r="FW192" s="186">
        <f t="shared" si="397"/>
        <v>0</v>
      </c>
      <c r="FX192" s="186">
        <f t="shared" si="397"/>
        <v>0</v>
      </c>
      <c r="FY192" s="186">
        <f t="shared" si="397"/>
        <v>0</v>
      </c>
      <c r="FZ192" s="186">
        <f t="shared" si="397"/>
        <v>0</v>
      </c>
      <c r="GA192" s="186">
        <f t="shared" si="397"/>
        <v>0</v>
      </c>
      <c r="GB192" s="186">
        <f t="shared" si="397"/>
        <v>0</v>
      </c>
      <c r="GC192" s="186">
        <f t="shared" si="397"/>
        <v>0</v>
      </c>
      <c r="GD192" s="186">
        <f t="shared" si="397"/>
        <v>0</v>
      </c>
      <c r="GE192" s="186">
        <f t="shared" si="397"/>
        <v>0</v>
      </c>
      <c r="GF192" s="186">
        <f t="shared" si="397"/>
        <v>0</v>
      </c>
      <c r="GG192" s="186">
        <f t="shared" si="397"/>
        <v>0</v>
      </c>
      <c r="GH192" s="186">
        <f t="shared" si="397"/>
        <v>0</v>
      </c>
      <c r="GI192" s="186">
        <f t="shared" si="397"/>
        <v>0</v>
      </c>
      <c r="GJ192" s="186">
        <f t="shared" si="397"/>
        <v>0</v>
      </c>
      <c r="GK192" s="186">
        <f t="shared" si="397"/>
        <v>131127240</v>
      </c>
      <c r="GL192" s="186">
        <f t="shared" si="397"/>
        <v>168000000</v>
      </c>
      <c r="GM192" s="186">
        <f t="shared" si="397"/>
        <v>90940000</v>
      </c>
      <c r="GN192" s="186">
        <f t="shared" si="397"/>
        <v>63976000</v>
      </c>
      <c r="GO192" s="186">
        <f t="shared" si="397"/>
        <v>0</v>
      </c>
      <c r="GP192" s="186">
        <f t="shared" si="397"/>
        <v>0</v>
      </c>
      <c r="GQ192" s="186">
        <f t="shared" si="397"/>
        <v>0</v>
      </c>
      <c r="GR192" s="186">
        <f t="shared" si="397"/>
        <v>0</v>
      </c>
      <c r="GS192" s="186">
        <f t="shared" si="397"/>
        <v>0</v>
      </c>
      <c r="GT192" s="186">
        <f t="shared" si="397"/>
        <v>0</v>
      </c>
      <c r="GU192" s="186">
        <f t="shared" si="397"/>
        <v>131127240</v>
      </c>
      <c r="GV192" s="186">
        <f t="shared" si="397"/>
        <v>168000000</v>
      </c>
      <c r="GW192" s="186">
        <f t="shared" si="397"/>
        <v>90940000</v>
      </c>
      <c r="GX192" s="186">
        <f t="shared" si="397"/>
        <v>63976000</v>
      </c>
      <c r="GY192" s="186">
        <f t="shared" si="397"/>
        <v>0</v>
      </c>
      <c r="GZ192" s="186">
        <f t="shared" si="397"/>
        <v>502035240</v>
      </c>
    </row>
    <row r="193" spans="1:208" ht="147.75" customHeight="1" x14ac:dyDescent="0.2">
      <c r="A193" s="326"/>
      <c r="B193" s="326"/>
      <c r="C193" s="456">
        <v>31</v>
      </c>
      <c r="D193" s="459" t="s">
        <v>459</v>
      </c>
      <c r="E193" s="259" t="s">
        <v>460</v>
      </c>
      <c r="F193" s="1036">
        <v>0.2</v>
      </c>
      <c r="G193" s="265">
        <v>132</v>
      </c>
      <c r="H193" s="261" t="s">
        <v>461</v>
      </c>
      <c r="I193" s="258" t="s">
        <v>462</v>
      </c>
      <c r="J193" s="988" t="s">
        <v>444</v>
      </c>
      <c r="K193" s="988">
        <v>2</v>
      </c>
      <c r="L193" s="489" t="s">
        <v>58</v>
      </c>
      <c r="M193" s="265" t="s">
        <v>53</v>
      </c>
      <c r="N193" s="265">
        <v>8</v>
      </c>
      <c r="O193" s="475">
        <v>8</v>
      </c>
      <c r="P193" s="484">
        <v>12</v>
      </c>
      <c r="Q193" s="475">
        <v>8</v>
      </c>
      <c r="R193" s="268"/>
      <c r="S193" s="484">
        <v>12</v>
      </c>
      <c r="T193" s="475">
        <v>8</v>
      </c>
      <c r="U193" s="475"/>
      <c r="V193" s="484">
        <v>8</v>
      </c>
      <c r="W193" s="475">
        <v>8</v>
      </c>
      <c r="X193" s="489"/>
      <c r="Y193" s="644">
        <v>8</v>
      </c>
      <c r="Z193" s="390">
        <f>BM193/$BM$192</f>
        <v>0.20833333333333334</v>
      </c>
      <c r="AA193" s="264">
        <v>3</v>
      </c>
      <c r="AB193" s="263" t="s">
        <v>455</v>
      </c>
      <c r="AC193" s="56"/>
      <c r="AD193" s="55"/>
      <c r="AE193" s="54"/>
      <c r="AF193" s="54"/>
      <c r="AG193" s="56"/>
      <c r="AH193" s="55"/>
      <c r="AI193" s="55"/>
      <c r="AJ193" s="55"/>
      <c r="AK193" s="56"/>
      <c r="AL193" s="55"/>
      <c r="AM193" s="55"/>
      <c r="AN193" s="55"/>
      <c r="AO193" s="56"/>
      <c r="AP193" s="55"/>
      <c r="AQ193" s="55"/>
      <c r="AR193" s="55"/>
      <c r="AS193" s="56"/>
      <c r="AT193" s="55"/>
      <c r="AU193" s="54"/>
      <c r="AV193" s="54"/>
      <c r="AW193" s="56"/>
      <c r="AX193" s="55"/>
      <c r="AY193" s="55"/>
      <c r="AZ193" s="55"/>
      <c r="BA193" s="56"/>
      <c r="BB193" s="55"/>
      <c r="BC193" s="55"/>
      <c r="BD193" s="55"/>
      <c r="BE193" s="57">
        <v>25000000</v>
      </c>
      <c r="BF193" s="55">
        <v>25000000</v>
      </c>
      <c r="BG193" s="54">
        <v>0</v>
      </c>
      <c r="BH193" s="54">
        <v>0</v>
      </c>
      <c r="BI193" s="57"/>
      <c r="BJ193" s="58"/>
      <c r="BK193" s="58"/>
      <c r="BL193" s="55"/>
      <c r="BM193" s="53">
        <f>+AC193+AG193+AK193+AO193+AS193+AW193+BA193+BE193+BI193</f>
        <v>25000000</v>
      </c>
      <c r="BN193" s="54">
        <f t="shared" ref="BN193:BP196" si="398">AD193+AH193+AL193+AP193+AT193+AX193+BB193+BF193+BJ193</f>
        <v>25000000</v>
      </c>
      <c r="BO193" s="54">
        <f t="shared" si="398"/>
        <v>0</v>
      </c>
      <c r="BP193" s="54">
        <f t="shared" si="398"/>
        <v>0</v>
      </c>
      <c r="BQ193" s="83"/>
      <c r="BR193" s="83"/>
      <c r="BS193" s="83"/>
      <c r="BT193" s="83"/>
      <c r="BU193" s="83"/>
      <c r="BV193" s="82"/>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4">
        <v>25750000</v>
      </c>
      <c r="CW193" s="83">
        <v>43100000</v>
      </c>
      <c r="CX193" s="83">
        <v>43100000</v>
      </c>
      <c r="CY193" s="83">
        <v>43100000</v>
      </c>
      <c r="CZ193" s="83"/>
      <c r="DA193" s="83"/>
      <c r="DB193" s="83"/>
      <c r="DC193" s="83"/>
      <c r="DD193" s="83"/>
      <c r="DE193" s="81">
        <f t="shared" ref="DE193:DH196" si="399">BQ193+BU193+BZ193+CE193+CI193+CM193+CQ193+CV193+DA193</f>
        <v>25750000</v>
      </c>
      <c r="DF193" s="95">
        <f t="shared" si="399"/>
        <v>43100000</v>
      </c>
      <c r="DG193" s="95">
        <f t="shared" si="399"/>
        <v>43100000</v>
      </c>
      <c r="DH193" s="95">
        <f t="shared" si="399"/>
        <v>43100000</v>
      </c>
      <c r="DI193" s="95"/>
      <c r="DJ193" s="84"/>
      <c r="DK193" s="65"/>
      <c r="DL193" s="84"/>
      <c r="DM193" s="84"/>
      <c r="DN193" s="84"/>
      <c r="DO193" s="84">
        <v>7000000</v>
      </c>
      <c r="DP193" s="84">
        <v>7000000</v>
      </c>
      <c r="DQ193" s="84">
        <v>7000000</v>
      </c>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v>26500000</v>
      </c>
      <c r="EO193" s="84">
        <v>30000000</v>
      </c>
      <c r="EP193" s="84">
        <v>29440000</v>
      </c>
      <c r="EQ193" s="84">
        <v>29440000</v>
      </c>
      <c r="ER193" s="84"/>
      <c r="ES193" s="84"/>
      <c r="ET193" s="83"/>
      <c r="EU193" s="83"/>
      <c r="EV193" s="83"/>
      <c r="EW193" s="81">
        <f t="shared" ref="EW193:EX196" si="400">DJ193+DN193+DS193+DX193+EB193+EF193+EJ193+EN193+ES193</f>
        <v>26500000</v>
      </c>
      <c r="EX193" s="86">
        <f t="shared" si="400"/>
        <v>37000000</v>
      </c>
      <c r="EY193" s="86">
        <f t="shared" ref="EY193:EZ196" si="401">DL193+DP193+DU193+DZ193+ED193+EH193+EL193+EP193+EU193</f>
        <v>36440000</v>
      </c>
      <c r="EZ193" s="86">
        <f t="shared" si="401"/>
        <v>36440000</v>
      </c>
      <c r="FA193" s="176"/>
      <c r="FB193" s="83"/>
      <c r="FC193" s="84"/>
      <c r="FD193" s="84"/>
      <c r="FE193" s="84"/>
      <c r="FF193" s="140"/>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v>27300000</v>
      </c>
      <c r="GL193" s="83">
        <v>42000000</v>
      </c>
      <c r="GM193" s="83">
        <v>13990000</v>
      </c>
      <c r="GN193" s="83">
        <v>8394000</v>
      </c>
      <c r="GO193" s="83"/>
      <c r="GP193" s="83"/>
      <c r="GQ193" s="83"/>
      <c r="GR193" s="83"/>
      <c r="GS193" s="83"/>
      <c r="GT193" s="83"/>
      <c r="GU193" s="81">
        <f t="shared" ref="GU193:GY196" si="402">FB193+FG193+FL193+FQ193+FV193+GA193+GF193+GK193+GP193</f>
        <v>27300000</v>
      </c>
      <c r="GV193" s="81">
        <f t="shared" si="402"/>
        <v>42000000</v>
      </c>
      <c r="GW193" s="81">
        <f t="shared" si="402"/>
        <v>13990000</v>
      </c>
      <c r="GX193" s="81">
        <f t="shared" si="402"/>
        <v>8394000</v>
      </c>
      <c r="GY193" s="673">
        <f t="shared" si="402"/>
        <v>0</v>
      </c>
      <c r="GZ193" s="67">
        <f>BM193+DE193+EW193+GU193</f>
        <v>104550000</v>
      </c>
    </row>
    <row r="194" spans="1:208" ht="147.75" customHeight="1" x14ac:dyDescent="0.2">
      <c r="A194" s="326"/>
      <c r="B194" s="326"/>
      <c r="C194" s="279">
        <v>33</v>
      </c>
      <c r="D194" s="258" t="s">
        <v>463</v>
      </c>
      <c r="E194" s="264">
        <v>0</v>
      </c>
      <c r="F194" s="264">
        <v>0</v>
      </c>
      <c r="G194" s="265">
        <v>133</v>
      </c>
      <c r="H194" s="261" t="s">
        <v>464</v>
      </c>
      <c r="I194" s="258" t="s">
        <v>465</v>
      </c>
      <c r="J194" s="988" t="s">
        <v>444</v>
      </c>
      <c r="K194" s="988">
        <v>2</v>
      </c>
      <c r="L194" s="489" t="s">
        <v>58</v>
      </c>
      <c r="M194" s="265">
        <v>0</v>
      </c>
      <c r="N194" s="265">
        <v>12</v>
      </c>
      <c r="O194" s="475">
        <v>12</v>
      </c>
      <c r="P194" s="484">
        <v>12</v>
      </c>
      <c r="Q194" s="475">
        <v>12</v>
      </c>
      <c r="R194" s="268"/>
      <c r="S194" s="484">
        <v>12</v>
      </c>
      <c r="T194" s="475">
        <v>12</v>
      </c>
      <c r="U194" s="475"/>
      <c r="V194" s="484">
        <v>12</v>
      </c>
      <c r="W194" s="475">
        <v>12</v>
      </c>
      <c r="X194" s="489"/>
      <c r="Y194" s="644">
        <v>8</v>
      </c>
      <c r="Z194" s="390">
        <f>BM194/$BM$192</f>
        <v>0.20833333333333334</v>
      </c>
      <c r="AA194" s="264">
        <v>3</v>
      </c>
      <c r="AB194" s="263" t="s">
        <v>455</v>
      </c>
      <c r="AC194" s="56"/>
      <c r="AD194" s="55"/>
      <c r="AE194" s="54"/>
      <c r="AF194" s="54"/>
      <c r="AG194" s="56"/>
      <c r="AH194" s="55"/>
      <c r="AI194" s="55"/>
      <c r="AJ194" s="55"/>
      <c r="AK194" s="56"/>
      <c r="AL194" s="55"/>
      <c r="AM194" s="55"/>
      <c r="AN194" s="55"/>
      <c r="AO194" s="56"/>
      <c r="AP194" s="55"/>
      <c r="AQ194" s="55"/>
      <c r="AR194" s="55"/>
      <c r="AS194" s="56"/>
      <c r="AT194" s="55"/>
      <c r="AU194" s="54"/>
      <c r="AV194" s="54"/>
      <c r="AW194" s="56"/>
      <c r="AX194" s="55"/>
      <c r="AY194" s="55"/>
      <c r="AZ194" s="55"/>
      <c r="BA194" s="56"/>
      <c r="BB194" s="55"/>
      <c r="BC194" s="55"/>
      <c r="BD194" s="55"/>
      <c r="BE194" s="57">
        <v>25000000</v>
      </c>
      <c r="BF194" s="55">
        <v>25000000</v>
      </c>
      <c r="BG194" s="54">
        <v>8500000</v>
      </c>
      <c r="BH194" s="54">
        <v>8500000</v>
      </c>
      <c r="BI194" s="57"/>
      <c r="BJ194" s="58"/>
      <c r="BK194" s="58"/>
      <c r="BL194" s="55"/>
      <c r="BM194" s="53">
        <f>+AC194+AG194+AK194+AO194+AS194+AW194+BA194+BE194+BI194</f>
        <v>25000000</v>
      </c>
      <c r="BN194" s="54">
        <f t="shared" si="398"/>
        <v>25000000</v>
      </c>
      <c r="BO194" s="54">
        <f t="shared" si="398"/>
        <v>8500000</v>
      </c>
      <c r="BP194" s="54">
        <f t="shared" si="398"/>
        <v>8500000</v>
      </c>
      <c r="BQ194" s="83"/>
      <c r="BR194" s="83"/>
      <c r="BS194" s="83"/>
      <c r="BT194" s="83"/>
      <c r="BU194" s="83"/>
      <c r="BV194" s="82"/>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4">
        <v>25750000</v>
      </c>
      <c r="CW194" s="83">
        <v>25750000</v>
      </c>
      <c r="CX194" s="83">
        <v>25750000</v>
      </c>
      <c r="CY194" s="83">
        <v>25750000</v>
      </c>
      <c r="CZ194" s="83"/>
      <c r="DA194" s="83"/>
      <c r="DB194" s="83"/>
      <c r="DC194" s="83"/>
      <c r="DD194" s="83"/>
      <c r="DE194" s="81">
        <f t="shared" si="399"/>
        <v>25750000</v>
      </c>
      <c r="DF194" s="95">
        <f t="shared" si="399"/>
        <v>25750000</v>
      </c>
      <c r="DG194" s="95">
        <f t="shared" si="399"/>
        <v>25750000</v>
      </c>
      <c r="DH194" s="95">
        <f t="shared" si="399"/>
        <v>25750000</v>
      </c>
      <c r="DI194" s="95"/>
      <c r="DJ194" s="84"/>
      <c r="DK194" s="65"/>
      <c r="DL194" s="84"/>
      <c r="DM194" s="84"/>
      <c r="DN194" s="84"/>
      <c r="DO194" s="84">
        <v>4140000</v>
      </c>
      <c r="DP194" s="84">
        <v>2640000</v>
      </c>
      <c r="DQ194" s="84">
        <v>2640000</v>
      </c>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v>26500000</v>
      </c>
      <c r="EO194" s="84">
        <f>20000000+1500000</f>
        <v>21500000</v>
      </c>
      <c r="EP194" s="84">
        <v>21500000</v>
      </c>
      <c r="EQ194" s="84">
        <v>21500000</v>
      </c>
      <c r="ER194" s="84"/>
      <c r="ES194" s="84"/>
      <c r="ET194" s="83"/>
      <c r="EU194" s="83"/>
      <c r="EV194" s="83"/>
      <c r="EW194" s="81">
        <f t="shared" si="400"/>
        <v>26500000</v>
      </c>
      <c r="EX194" s="86">
        <f t="shared" si="400"/>
        <v>25640000</v>
      </c>
      <c r="EY194" s="86">
        <f t="shared" si="401"/>
        <v>24140000</v>
      </c>
      <c r="EZ194" s="86">
        <f t="shared" si="401"/>
        <v>24140000</v>
      </c>
      <c r="FA194" s="176"/>
      <c r="FB194" s="83"/>
      <c r="FC194" s="84"/>
      <c r="FD194" s="84"/>
      <c r="FE194" s="84"/>
      <c r="FF194" s="140"/>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v>27300000</v>
      </c>
      <c r="GL194" s="83">
        <v>28000000</v>
      </c>
      <c r="GM194" s="83">
        <v>15900000</v>
      </c>
      <c r="GN194" s="83">
        <v>9540000</v>
      </c>
      <c r="GO194" s="83"/>
      <c r="GP194" s="83"/>
      <c r="GQ194" s="83"/>
      <c r="GR194" s="83"/>
      <c r="GS194" s="83"/>
      <c r="GT194" s="83"/>
      <c r="GU194" s="81">
        <f t="shared" si="402"/>
        <v>27300000</v>
      </c>
      <c r="GV194" s="81">
        <f t="shared" si="402"/>
        <v>28000000</v>
      </c>
      <c r="GW194" s="81">
        <f t="shared" si="402"/>
        <v>15900000</v>
      </c>
      <c r="GX194" s="81">
        <f t="shared" si="402"/>
        <v>9540000</v>
      </c>
      <c r="GY194" s="673">
        <f t="shared" si="402"/>
        <v>0</v>
      </c>
      <c r="GZ194" s="67">
        <f>BM194+DE194+EW194+GU194</f>
        <v>104550000</v>
      </c>
    </row>
    <row r="195" spans="1:208" ht="293.25" customHeight="1" x14ac:dyDescent="0.2">
      <c r="A195" s="326"/>
      <c r="B195" s="326"/>
      <c r="C195" s="279"/>
      <c r="D195" s="264"/>
      <c r="E195" s="264"/>
      <c r="F195" s="264"/>
      <c r="G195" s="265">
        <v>134</v>
      </c>
      <c r="H195" s="261" t="s">
        <v>466</v>
      </c>
      <c r="I195" s="258" t="s">
        <v>467</v>
      </c>
      <c r="J195" s="988" t="s">
        <v>444</v>
      </c>
      <c r="K195" s="988">
        <v>2</v>
      </c>
      <c r="L195" s="489" t="s">
        <v>58</v>
      </c>
      <c r="M195" s="309">
        <v>3600</v>
      </c>
      <c r="N195" s="309">
        <v>4800</v>
      </c>
      <c r="O195" s="475">
        <v>4800</v>
      </c>
      <c r="P195" s="484">
        <v>3924</v>
      </c>
      <c r="Q195" s="475">
        <v>4800</v>
      </c>
      <c r="R195" s="268"/>
      <c r="S195" s="484">
        <v>4483</v>
      </c>
      <c r="T195" s="475">
        <v>4800</v>
      </c>
      <c r="U195" s="475"/>
      <c r="V195" s="484">
        <v>5235</v>
      </c>
      <c r="W195" s="475">
        <v>4800</v>
      </c>
      <c r="X195" s="489"/>
      <c r="Y195" s="644">
        <v>2635</v>
      </c>
      <c r="Z195" s="390">
        <f>BM195/$BM$192</f>
        <v>0.375</v>
      </c>
      <c r="AA195" s="264">
        <v>3</v>
      </c>
      <c r="AB195" s="263" t="s">
        <v>455</v>
      </c>
      <c r="AC195" s="56"/>
      <c r="AD195" s="55"/>
      <c r="AE195" s="54"/>
      <c r="AF195" s="54"/>
      <c r="AG195" s="56"/>
      <c r="AH195" s="55"/>
      <c r="AI195" s="55"/>
      <c r="AJ195" s="55"/>
      <c r="AK195" s="56"/>
      <c r="AL195" s="55"/>
      <c r="AM195" s="55"/>
      <c r="AN195" s="55"/>
      <c r="AO195" s="56"/>
      <c r="AP195" s="55"/>
      <c r="AQ195" s="55"/>
      <c r="AR195" s="55"/>
      <c r="AS195" s="56"/>
      <c r="AT195" s="55"/>
      <c r="AU195" s="54"/>
      <c r="AV195" s="54"/>
      <c r="AW195" s="56"/>
      <c r="AX195" s="55"/>
      <c r="AY195" s="55"/>
      <c r="AZ195" s="55"/>
      <c r="BA195" s="56"/>
      <c r="BB195" s="55"/>
      <c r="BC195" s="55"/>
      <c r="BD195" s="55"/>
      <c r="BE195" s="57">
        <v>45000000</v>
      </c>
      <c r="BF195" s="55">
        <v>45000000</v>
      </c>
      <c r="BG195" s="54">
        <v>12650000</v>
      </c>
      <c r="BH195" s="54">
        <v>12650000</v>
      </c>
      <c r="BI195" s="57"/>
      <c r="BJ195" s="58"/>
      <c r="BK195" s="58"/>
      <c r="BL195" s="55"/>
      <c r="BM195" s="53">
        <f>+AC195+AG195+AK195+AO195+AS195+AW195+BA195+BE195+BI195</f>
        <v>45000000</v>
      </c>
      <c r="BN195" s="54">
        <f t="shared" si="398"/>
        <v>45000000</v>
      </c>
      <c r="BO195" s="54">
        <f t="shared" si="398"/>
        <v>12650000</v>
      </c>
      <c r="BP195" s="54">
        <f t="shared" si="398"/>
        <v>12650000</v>
      </c>
      <c r="BQ195" s="83"/>
      <c r="BR195" s="83"/>
      <c r="BS195" s="83"/>
      <c r="BT195" s="83"/>
      <c r="BU195" s="83"/>
      <c r="BV195" s="82"/>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4">
        <v>46350000</v>
      </c>
      <c r="CW195" s="83">
        <v>71700000</v>
      </c>
      <c r="CX195" s="83">
        <v>69508000</v>
      </c>
      <c r="CY195" s="83">
        <v>69508000</v>
      </c>
      <c r="CZ195" s="83"/>
      <c r="DA195" s="83"/>
      <c r="DB195" s="83"/>
      <c r="DC195" s="83"/>
      <c r="DD195" s="83"/>
      <c r="DE195" s="81">
        <f t="shared" si="399"/>
        <v>46350000</v>
      </c>
      <c r="DF195" s="95">
        <f t="shared" si="399"/>
        <v>71700000</v>
      </c>
      <c r="DG195" s="95">
        <f t="shared" si="399"/>
        <v>69508000</v>
      </c>
      <c r="DH195" s="95">
        <f t="shared" si="399"/>
        <v>69508000</v>
      </c>
      <c r="DI195" s="95"/>
      <c r="DJ195" s="84"/>
      <c r="DK195" s="65"/>
      <c r="DL195" s="84"/>
      <c r="DM195" s="84"/>
      <c r="DN195" s="84"/>
      <c r="DO195" s="84">
        <v>33860000</v>
      </c>
      <c r="DP195" s="84">
        <v>31760000</v>
      </c>
      <c r="DQ195" s="84">
        <v>31760000</v>
      </c>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v>47800000</v>
      </c>
      <c r="EO195" s="84">
        <v>37100000</v>
      </c>
      <c r="EP195" s="84">
        <v>37100000</v>
      </c>
      <c r="EQ195" s="84">
        <v>37100000</v>
      </c>
      <c r="ER195" s="84"/>
      <c r="ES195" s="84"/>
      <c r="ET195" s="83"/>
      <c r="EU195" s="83"/>
      <c r="EV195" s="83"/>
      <c r="EW195" s="81">
        <f t="shared" si="400"/>
        <v>47800000</v>
      </c>
      <c r="EX195" s="86">
        <f t="shared" si="400"/>
        <v>70960000</v>
      </c>
      <c r="EY195" s="86">
        <f t="shared" si="401"/>
        <v>68860000</v>
      </c>
      <c r="EZ195" s="86">
        <f t="shared" si="401"/>
        <v>68860000</v>
      </c>
      <c r="FA195" s="176"/>
      <c r="FB195" s="83"/>
      <c r="FC195" s="84"/>
      <c r="FD195" s="84"/>
      <c r="FE195" s="84"/>
      <c r="FF195" s="140"/>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v>49200000</v>
      </c>
      <c r="GL195" s="83">
        <v>66000000</v>
      </c>
      <c r="GM195" s="83">
        <v>47060000</v>
      </c>
      <c r="GN195" s="83">
        <v>37648000</v>
      </c>
      <c r="GO195" s="83"/>
      <c r="GP195" s="83"/>
      <c r="GQ195" s="83"/>
      <c r="GR195" s="83"/>
      <c r="GS195" s="83"/>
      <c r="GT195" s="83"/>
      <c r="GU195" s="81">
        <f t="shared" si="402"/>
        <v>49200000</v>
      </c>
      <c r="GV195" s="81">
        <f t="shared" si="402"/>
        <v>66000000</v>
      </c>
      <c r="GW195" s="81">
        <f t="shared" si="402"/>
        <v>47060000</v>
      </c>
      <c r="GX195" s="81">
        <f t="shared" si="402"/>
        <v>37648000</v>
      </c>
      <c r="GY195" s="673">
        <f t="shared" si="402"/>
        <v>0</v>
      </c>
      <c r="GZ195" s="67">
        <f>BM195+DE195+EW195+GU195</f>
        <v>188350000</v>
      </c>
    </row>
    <row r="196" spans="1:208" ht="267.75" customHeight="1" x14ac:dyDescent="0.2">
      <c r="A196" s="326"/>
      <c r="B196" s="326"/>
      <c r="C196" s="277">
        <v>31</v>
      </c>
      <c r="D196" s="344" t="s">
        <v>468</v>
      </c>
      <c r="E196" s="328">
        <v>0.249</v>
      </c>
      <c r="F196" s="280">
        <v>0.2</v>
      </c>
      <c r="G196" s="265">
        <v>135</v>
      </c>
      <c r="H196" s="261" t="s">
        <v>469</v>
      </c>
      <c r="I196" s="258" t="s">
        <v>470</v>
      </c>
      <c r="J196" s="988" t="s">
        <v>444</v>
      </c>
      <c r="K196" s="988">
        <v>2</v>
      </c>
      <c r="L196" s="489" t="s">
        <v>58</v>
      </c>
      <c r="M196" s="309">
        <v>12</v>
      </c>
      <c r="N196" s="309">
        <v>12</v>
      </c>
      <c r="O196" s="475">
        <v>12</v>
      </c>
      <c r="P196" s="484">
        <v>12</v>
      </c>
      <c r="Q196" s="475">
        <v>12</v>
      </c>
      <c r="R196" s="268"/>
      <c r="S196" s="484">
        <v>12</v>
      </c>
      <c r="T196" s="475">
        <v>12</v>
      </c>
      <c r="U196" s="475"/>
      <c r="V196" s="484">
        <v>12</v>
      </c>
      <c r="W196" s="475">
        <v>12</v>
      </c>
      <c r="X196" s="489"/>
      <c r="Y196" s="644">
        <v>8</v>
      </c>
      <c r="Z196" s="390">
        <f>BM196/$BM$192</f>
        <v>0.20833333333333334</v>
      </c>
      <c r="AA196" s="264">
        <v>3</v>
      </c>
      <c r="AB196" s="263" t="s">
        <v>455</v>
      </c>
      <c r="AC196" s="56"/>
      <c r="AD196" s="55"/>
      <c r="AE196" s="54"/>
      <c r="AF196" s="54"/>
      <c r="AG196" s="56"/>
      <c r="AH196" s="55"/>
      <c r="AI196" s="55"/>
      <c r="AJ196" s="55"/>
      <c r="AK196" s="56"/>
      <c r="AL196" s="55"/>
      <c r="AM196" s="55"/>
      <c r="AN196" s="55"/>
      <c r="AO196" s="56"/>
      <c r="AP196" s="55"/>
      <c r="AQ196" s="55"/>
      <c r="AR196" s="55"/>
      <c r="AS196" s="56"/>
      <c r="AT196" s="55"/>
      <c r="AU196" s="54"/>
      <c r="AV196" s="54"/>
      <c r="AW196" s="56"/>
      <c r="AX196" s="55"/>
      <c r="AY196" s="55"/>
      <c r="AZ196" s="55"/>
      <c r="BA196" s="56"/>
      <c r="BB196" s="55"/>
      <c r="BC196" s="55"/>
      <c r="BD196" s="55"/>
      <c r="BE196" s="57">
        <v>25000000</v>
      </c>
      <c r="BF196" s="55">
        <v>25000000</v>
      </c>
      <c r="BG196" s="54">
        <v>14667000</v>
      </c>
      <c r="BH196" s="54">
        <v>14667000</v>
      </c>
      <c r="BI196" s="57"/>
      <c r="BJ196" s="58"/>
      <c r="BK196" s="58"/>
      <c r="BL196" s="55"/>
      <c r="BM196" s="53">
        <f>+AC196+AG196+AK196+AO196+AS196+AW196+BA196+BE196+BI196</f>
        <v>25000000</v>
      </c>
      <c r="BN196" s="54">
        <f t="shared" si="398"/>
        <v>25000000</v>
      </c>
      <c r="BO196" s="54">
        <f t="shared" si="398"/>
        <v>14667000</v>
      </c>
      <c r="BP196" s="54">
        <f t="shared" si="398"/>
        <v>14667000</v>
      </c>
      <c r="BQ196" s="83"/>
      <c r="BR196" s="83"/>
      <c r="BS196" s="83"/>
      <c r="BT196" s="83"/>
      <c r="BU196" s="83"/>
      <c r="BV196" s="82"/>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4">
        <v>25750000</v>
      </c>
      <c r="CW196" s="83">
        <v>8050000</v>
      </c>
      <c r="CX196" s="83">
        <v>8050000</v>
      </c>
      <c r="CY196" s="83">
        <v>8050000</v>
      </c>
      <c r="CZ196" s="83"/>
      <c r="DA196" s="83"/>
      <c r="DB196" s="83"/>
      <c r="DC196" s="83"/>
      <c r="DD196" s="83"/>
      <c r="DE196" s="81">
        <f t="shared" si="399"/>
        <v>25750000</v>
      </c>
      <c r="DF196" s="95">
        <f t="shared" si="399"/>
        <v>8050000</v>
      </c>
      <c r="DG196" s="95">
        <f t="shared" si="399"/>
        <v>8050000</v>
      </c>
      <c r="DH196" s="95">
        <f t="shared" si="399"/>
        <v>8050000</v>
      </c>
      <c r="DI196" s="95"/>
      <c r="DJ196" s="84"/>
      <c r="DK196" s="65"/>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v>26508000</v>
      </c>
      <c r="EO196" s="84">
        <v>31400000</v>
      </c>
      <c r="EP196" s="84">
        <v>31040000</v>
      </c>
      <c r="EQ196" s="84">
        <v>31040000</v>
      </c>
      <c r="ER196" s="84"/>
      <c r="ES196" s="84"/>
      <c r="ET196" s="83"/>
      <c r="EU196" s="83"/>
      <c r="EV196" s="83"/>
      <c r="EW196" s="81">
        <f t="shared" si="400"/>
        <v>26508000</v>
      </c>
      <c r="EX196" s="86">
        <f t="shared" si="400"/>
        <v>31400000</v>
      </c>
      <c r="EY196" s="86">
        <f t="shared" si="401"/>
        <v>31040000</v>
      </c>
      <c r="EZ196" s="86">
        <f t="shared" si="401"/>
        <v>31040000</v>
      </c>
      <c r="FA196" s="176"/>
      <c r="FB196" s="83"/>
      <c r="FC196" s="84"/>
      <c r="FD196" s="84"/>
      <c r="FE196" s="84"/>
      <c r="FF196" s="140"/>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v>27327240</v>
      </c>
      <c r="GL196" s="83">
        <v>32000000</v>
      </c>
      <c r="GM196" s="83">
        <v>13990000</v>
      </c>
      <c r="GN196" s="83">
        <v>8394000</v>
      </c>
      <c r="GO196" s="83"/>
      <c r="GP196" s="83"/>
      <c r="GQ196" s="83"/>
      <c r="GR196" s="83"/>
      <c r="GS196" s="83"/>
      <c r="GT196" s="83"/>
      <c r="GU196" s="81">
        <f t="shared" si="402"/>
        <v>27327240</v>
      </c>
      <c r="GV196" s="81">
        <f t="shared" si="402"/>
        <v>32000000</v>
      </c>
      <c r="GW196" s="81">
        <f t="shared" si="402"/>
        <v>13990000</v>
      </c>
      <c r="GX196" s="81">
        <f t="shared" si="402"/>
        <v>8394000</v>
      </c>
      <c r="GY196" s="673">
        <f t="shared" si="402"/>
        <v>0</v>
      </c>
      <c r="GZ196" s="67">
        <f>BM196+DE196+EW196+GU196</f>
        <v>104585240</v>
      </c>
    </row>
    <row r="197" spans="1:208" ht="24.75" customHeight="1" x14ac:dyDescent="0.2">
      <c r="A197" s="326"/>
      <c r="B197" s="326"/>
      <c r="C197" s="246">
        <v>38</v>
      </c>
      <c r="D197" s="247" t="s">
        <v>471</v>
      </c>
      <c r="E197" s="295"/>
      <c r="F197" s="295"/>
      <c r="G197" s="249"/>
      <c r="H197" s="249"/>
      <c r="I197" s="249"/>
      <c r="J197" s="249"/>
      <c r="K197" s="249"/>
      <c r="L197" s="249"/>
      <c r="M197" s="249"/>
      <c r="N197" s="249"/>
      <c r="O197" s="249"/>
      <c r="P197" s="249"/>
      <c r="Q197" s="249"/>
      <c r="R197" s="249"/>
      <c r="S197" s="249"/>
      <c r="T197" s="249"/>
      <c r="U197" s="249"/>
      <c r="V197" s="249"/>
      <c r="W197" s="249"/>
      <c r="X197" s="249"/>
      <c r="Y197" s="296"/>
      <c r="Z197" s="249"/>
      <c r="AA197" s="249"/>
      <c r="AB197" s="249"/>
      <c r="AC197" s="195">
        <f t="shared" ref="AC197:BL197" si="403">SUM(AC198:AC200)</f>
        <v>0</v>
      </c>
      <c r="AD197" s="195">
        <f t="shared" si="403"/>
        <v>0</v>
      </c>
      <c r="AE197" s="195">
        <f t="shared" si="403"/>
        <v>0</v>
      </c>
      <c r="AF197" s="195">
        <f t="shared" si="403"/>
        <v>0</v>
      </c>
      <c r="AG197" s="195">
        <f t="shared" si="403"/>
        <v>0</v>
      </c>
      <c r="AH197" s="195">
        <f t="shared" si="403"/>
        <v>0</v>
      </c>
      <c r="AI197" s="195">
        <f t="shared" si="403"/>
        <v>0</v>
      </c>
      <c r="AJ197" s="195">
        <f t="shared" si="403"/>
        <v>0</v>
      </c>
      <c r="AK197" s="195">
        <f t="shared" si="403"/>
        <v>0</v>
      </c>
      <c r="AL197" s="195">
        <f t="shared" si="403"/>
        <v>0</v>
      </c>
      <c r="AM197" s="195">
        <f t="shared" si="403"/>
        <v>0</v>
      </c>
      <c r="AN197" s="195">
        <f t="shared" si="403"/>
        <v>0</v>
      </c>
      <c r="AO197" s="195">
        <f t="shared" si="403"/>
        <v>0</v>
      </c>
      <c r="AP197" s="195">
        <f t="shared" si="403"/>
        <v>0</v>
      </c>
      <c r="AQ197" s="195">
        <f t="shared" si="403"/>
        <v>0</v>
      </c>
      <c r="AR197" s="195">
        <f t="shared" si="403"/>
        <v>0</v>
      </c>
      <c r="AS197" s="195">
        <f t="shared" si="403"/>
        <v>0</v>
      </c>
      <c r="AT197" s="195">
        <f t="shared" si="403"/>
        <v>0</v>
      </c>
      <c r="AU197" s="195">
        <f t="shared" si="403"/>
        <v>0</v>
      </c>
      <c r="AV197" s="195">
        <f t="shared" si="403"/>
        <v>0</v>
      </c>
      <c r="AW197" s="195">
        <f t="shared" si="403"/>
        <v>0</v>
      </c>
      <c r="AX197" s="195">
        <f t="shared" si="403"/>
        <v>0</v>
      </c>
      <c r="AY197" s="195">
        <f t="shared" si="403"/>
        <v>0</v>
      </c>
      <c r="AZ197" s="195">
        <f t="shared" si="403"/>
        <v>0</v>
      </c>
      <c r="BA197" s="195">
        <f t="shared" si="403"/>
        <v>0</v>
      </c>
      <c r="BB197" s="195">
        <f t="shared" si="403"/>
        <v>0</v>
      </c>
      <c r="BC197" s="195">
        <f t="shared" si="403"/>
        <v>0</v>
      </c>
      <c r="BD197" s="195">
        <f t="shared" si="403"/>
        <v>0</v>
      </c>
      <c r="BE197" s="195">
        <f t="shared" si="403"/>
        <v>90000000</v>
      </c>
      <c r="BF197" s="195">
        <f t="shared" si="403"/>
        <v>90000000</v>
      </c>
      <c r="BG197" s="195">
        <f t="shared" si="403"/>
        <v>61333333</v>
      </c>
      <c r="BH197" s="195">
        <f t="shared" si="403"/>
        <v>61333333</v>
      </c>
      <c r="BI197" s="195">
        <f t="shared" si="403"/>
        <v>0</v>
      </c>
      <c r="BJ197" s="195">
        <f t="shared" si="403"/>
        <v>0</v>
      </c>
      <c r="BK197" s="195">
        <f t="shared" si="403"/>
        <v>0</v>
      </c>
      <c r="BL197" s="195">
        <f t="shared" si="403"/>
        <v>0</v>
      </c>
      <c r="BM197" s="195">
        <f t="shared" ref="BM197:DX197" si="404">SUM(BM198:BM200)</f>
        <v>90000000</v>
      </c>
      <c r="BN197" s="195">
        <f t="shared" si="404"/>
        <v>90000000</v>
      </c>
      <c r="BO197" s="195">
        <f t="shared" si="404"/>
        <v>61333333</v>
      </c>
      <c r="BP197" s="195">
        <f t="shared" si="404"/>
        <v>61333333</v>
      </c>
      <c r="BQ197" s="195">
        <f t="shared" si="404"/>
        <v>0</v>
      </c>
      <c r="BR197" s="195">
        <f t="shared" si="404"/>
        <v>0</v>
      </c>
      <c r="BS197" s="195">
        <f t="shared" si="404"/>
        <v>0</v>
      </c>
      <c r="BT197" s="195">
        <f t="shared" si="404"/>
        <v>0</v>
      </c>
      <c r="BU197" s="195">
        <f t="shared" si="404"/>
        <v>0</v>
      </c>
      <c r="BV197" s="195">
        <f t="shared" si="404"/>
        <v>0</v>
      </c>
      <c r="BW197" s="195">
        <f t="shared" si="404"/>
        <v>0</v>
      </c>
      <c r="BX197" s="195">
        <f t="shared" si="404"/>
        <v>0</v>
      </c>
      <c r="BY197" s="195">
        <f t="shared" si="404"/>
        <v>0</v>
      </c>
      <c r="BZ197" s="195">
        <f t="shared" si="404"/>
        <v>0</v>
      </c>
      <c r="CA197" s="195">
        <f t="shared" si="404"/>
        <v>0</v>
      </c>
      <c r="CB197" s="195">
        <f t="shared" si="404"/>
        <v>0</v>
      </c>
      <c r="CC197" s="195">
        <f t="shared" si="404"/>
        <v>0</v>
      </c>
      <c r="CD197" s="195">
        <f t="shared" si="404"/>
        <v>0</v>
      </c>
      <c r="CE197" s="195">
        <f t="shared" si="404"/>
        <v>0</v>
      </c>
      <c r="CF197" s="195">
        <f t="shared" si="404"/>
        <v>0</v>
      </c>
      <c r="CG197" s="195">
        <f t="shared" si="404"/>
        <v>0</v>
      </c>
      <c r="CH197" s="195">
        <f t="shared" si="404"/>
        <v>0</v>
      </c>
      <c r="CI197" s="195">
        <f t="shared" si="404"/>
        <v>0</v>
      </c>
      <c r="CJ197" s="195">
        <f t="shared" si="404"/>
        <v>0</v>
      </c>
      <c r="CK197" s="195">
        <f t="shared" si="404"/>
        <v>0</v>
      </c>
      <c r="CL197" s="195">
        <f t="shared" si="404"/>
        <v>0</v>
      </c>
      <c r="CM197" s="195">
        <f t="shared" si="404"/>
        <v>0</v>
      </c>
      <c r="CN197" s="195">
        <f t="shared" si="404"/>
        <v>0</v>
      </c>
      <c r="CO197" s="195">
        <f t="shared" si="404"/>
        <v>0</v>
      </c>
      <c r="CP197" s="195">
        <f t="shared" si="404"/>
        <v>0</v>
      </c>
      <c r="CQ197" s="195">
        <f t="shared" si="404"/>
        <v>0</v>
      </c>
      <c r="CR197" s="195">
        <f t="shared" si="404"/>
        <v>0</v>
      </c>
      <c r="CS197" s="195">
        <f t="shared" si="404"/>
        <v>0</v>
      </c>
      <c r="CT197" s="195">
        <f t="shared" si="404"/>
        <v>0</v>
      </c>
      <c r="CU197" s="195">
        <f t="shared" si="404"/>
        <v>0</v>
      </c>
      <c r="CV197" s="195">
        <f t="shared" si="404"/>
        <v>92700000</v>
      </c>
      <c r="CW197" s="195">
        <f t="shared" si="404"/>
        <v>122700000</v>
      </c>
      <c r="CX197" s="195">
        <f t="shared" si="404"/>
        <v>81028000</v>
      </c>
      <c r="CY197" s="195">
        <f t="shared" si="404"/>
        <v>81028000</v>
      </c>
      <c r="CZ197" s="195">
        <f t="shared" si="404"/>
        <v>0</v>
      </c>
      <c r="DA197" s="195">
        <f t="shared" si="404"/>
        <v>0</v>
      </c>
      <c r="DB197" s="195">
        <f t="shared" si="404"/>
        <v>0</v>
      </c>
      <c r="DC197" s="195">
        <f t="shared" si="404"/>
        <v>0</v>
      </c>
      <c r="DD197" s="195">
        <f t="shared" si="404"/>
        <v>0</v>
      </c>
      <c r="DE197" s="195">
        <f t="shared" si="404"/>
        <v>92700000</v>
      </c>
      <c r="DF197" s="195">
        <f t="shared" si="404"/>
        <v>122700000</v>
      </c>
      <c r="DG197" s="195">
        <f t="shared" si="404"/>
        <v>81028000</v>
      </c>
      <c r="DH197" s="195">
        <f t="shared" si="404"/>
        <v>81028000</v>
      </c>
      <c r="DI197" s="195">
        <f t="shared" si="404"/>
        <v>0</v>
      </c>
      <c r="DJ197" s="195">
        <f t="shared" si="404"/>
        <v>0</v>
      </c>
      <c r="DK197" s="195">
        <f t="shared" si="404"/>
        <v>0</v>
      </c>
      <c r="DL197" s="195">
        <f t="shared" si="404"/>
        <v>0</v>
      </c>
      <c r="DM197" s="195">
        <f t="shared" si="404"/>
        <v>0</v>
      </c>
      <c r="DN197" s="195">
        <f t="shared" si="404"/>
        <v>0</v>
      </c>
      <c r="DO197" s="195">
        <f t="shared" si="404"/>
        <v>0</v>
      </c>
      <c r="DP197" s="195">
        <f t="shared" si="404"/>
        <v>0</v>
      </c>
      <c r="DQ197" s="195">
        <f t="shared" si="404"/>
        <v>0</v>
      </c>
      <c r="DR197" s="195">
        <f t="shared" si="404"/>
        <v>0</v>
      </c>
      <c r="DS197" s="195">
        <f t="shared" si="404"/>
        <v>0</v>
      </c>
      <c r="DT197" s="195">
        <f t="shared" si="404"/>
        <v>0</v>
      </c>
      <c r="DU197" s="195">
        <f t="shared" si="404"/>
        <v>0</v>
      </c>
      <c r="DV197" s="195">
        <f t="shared" si="404"/>
        <v>0</v>
      </c>
      <c r="DW197" s="195">
        <f t="shared" si="404"/>
        <v>0</v>
      </c>
      <c r="DX197" s="195">
        <f t="shared" si="404"/>
        <v>0</v>
      </c>
      <c r="DY197" s="195">
        <f t="shared" ref="DY197:EW197" si="405">SUM(DY198:DY200)</f>
        <v>0</v>
      </c>
      <c r="DZ197" s="195">
        <f t="shared" si="405"/>
        <v>0</v>
      </c>
      <c r="EA197" s="195">
        <f t="shared" si="405"/>
        <v>0</v>
      </c>
      <c r="EB197" s="195">
        <f t="shared" si="405"/>
        <v>0</v>
      </c>
      <c r="EC197" s="195">
        <f t="shared" si="405"/>
        <v>0</v>
      </c>
      <c r="ED197" s="195">
        <f t="shared" si="405"/>
        <v>0</v>
      </c>
      <c r="EE197" s="195">
        <f t="shared" si="405"/>
        <v>0</v>
      </c>
      <c r="EF197" s="195">
        <f t="shared" si="405"/>
        <v>0</v>
      </c>
      <c r="EG197" s="195">
        <f t="shared" si="405"/>
        <v>0</v>
      </c>
      <c r="EH197" s="195">
        <f t="shared" si="405"/>
        <v>0</v>
      </c>
      <c r="EI197" s="195">
        <f t="shared" si="405"/>
        <v>0</v>
      </c>
      <c r="EJ197" s="195">
        <f t="shared" si="405"/>
        <v>0</v>
      </c>
      <c r="EK197" s="195">
        <f t="shared" si="405"/>
        <v>0</v>
      </c>
      <c r="EL197" s="195">
        <f t="shared" si="405"/>
        <v>0</v>
      </c>
      <c r="EM197" s="195">
        <f t="shared" si="405"/>
        <v>0</v>
      </c>
      <c r="EN197" s="195">
        <f t="shared" si="405"/>
        <v>95481000</v>
      </c>
      <c r="EO197" s="195">
        <f t="shared" si="405"/>
        <v>148649900</v>
      </c>
      <c r="EP197" s="195">
        <f t="shared" si="405"/>
        <v>109384000</v>
      </c>
      <c r="EQ197" s="195">
        <f t="shared" si="405"/>
        <v>109384000</v>
      </c>
      <c r="ER197" s="195">
        <f t="shared" si="405"/>
        <v>0</v>
      </c>
      <c r="ES197" s="195">
        <f t="shared" si="405"/>
        <v>0</v>
      </c>
      <c r="ET197" s="195">
        <f t="shared" si="405"/>
        <v>0</v>
      </c>
      <c r="EU197" s="195">
        <f t="shared" si="405"/>
        <v>0</v>
      </c>
      <c r="EV197" s="195">
        <f t="shared" si="405"/>
        <v>0</v>
      </c>
      <c r="EW197" s="195">
        <f t="shared" si="405"/>
        <v>95481000</v>
      </c>
      <c r="EX197" s="195">
        <f t="shared" ref="EX197:GZ197" si="406">SUM(EX198:EX200)</f>
        <v>148649900</v>
      </c>
      <c r="EY197" s="195">
        <f t="shared" si="406"/>
        <v>109384000</v>
      </c>
      <c r="EZ197" s="195">
        <f t="shared" si="406"/>
        <v>109384000</v>
      </c>
      <c r="FA197" s="195">
        <f t="shared" si="406"/>
        <v>0</v>
      </c>
      <c r="FB197" s="195">
        <f t="shared" si="406"/>
        <v>0</v>
      </c>
      <c r="FC197" s="195">
        <f t="shared" si="406"/>
        <v>0</v>
      </c>
      <c r="FD197" s="195">
        <f t="shared" si="406"/>
        <v>0</v>
      </c>
      <c r="FE197" s="195">
        <f t="shared" si="406"/>
        <v>0</v>
      </c>
      <c r="FF197" s="195">
        <f t="shared" si="406"/>
        <v>0</v>
      </c>
      <c r="FG197" s="195">
        <f t="shared" si="406"/>
        <v>0</v>
      </c>
      <c r="FH197" s="195">
        <f t="shared" si="406"/>
        <v>0</v>
      </c>
      <c r="FI197" s="195">
        <f t="shared" si="406"/>
        <v>0</v>
      </c>
      <c r="FJ197" s="195">
        <f t="shared" si="406"/>
        <v>0</v>
      </c>
      <c r="FK197" s="195">
        <f t="shared" si="406"/>
        <v>0</v>
      </c>
      <c r="FL197" s="195">
        <f t="shared" si="406"/>
        <v>0</v>
      </c>
      <c r="FM197" s="195">
        <f t="shared" si="406"/>
        <v>0</v>
      </c>
      <c r="FN197" s="195">
        <f t="shared" si="406"/>
        <v>0</v>
      </c>
      <c r="FO197" s="195">
        <f t="shared" si="406"/>
        <v>0</v>
      </c>
      <c r="FP197" s="195">
        <f t="shared" si="406"/>
        <v>0</v>
      </c>
      <c r="FQ197" s="195">
        <f t="shared" si="406"/>
        <v>0</v>
      </c>
      <c r="FR197" s="195">
        <f t="shared" si="406"/>
        <v>0</v>
      </c>
      <c r="FS197" s="195">
        <f t="shared" si="406"/>
        <v>0</v>
      </c>
      <c r="FT197" s="195">
        <f t="shared" si="406"/>
        <v>0</v>
      </c>
      <c r="FU197" s="195">
        <f t="shared" si="406"/>
        <v>0</v>
      </c>
      <c r="FV197" s="195">
        <f t="shared" si="406"/>
        <v>0</v>
      </c>
      <c r="FW197" s="195">
        <f t="shared" si="406"/>
        <v>0</v>
      </c>
      <c r="FX197" s="195">
        <f t="shared" si="406"/>
        <v>0</v>
      </c>
      <c r="FY197" s="195">
        <f t="shared" si="406"/>
        <v>0</v>
      </c>
      <c r="FZ197" s="195">
        <f t="shared" si="406"/>
        <v>0</v>
      </c>
      <c r="GA197" s="195">
        <f t="shared" si="406"/>
        <v>0</v>
      </c>
      <c r="GB197" s="195">
        <f t="shared" si="406"/>
        <v>0</v>
      </c>
      <c r="GC197" s="195">
        <f t="shared" si="406"/>
        <v>0</v>
      </c>
      <c r="GD197" s="195">
        <f t="shared" si="406"/>
        <v>0</v>
      </c>
      <c r="GE197" s="195">
        <f t="shared" si="406"/>
        <v>0</v>
      </c>
      <c r="GF197" s="195">
        <f t="shared" si="406"/>
        <v>0</v>
      </c>
      <c r="GG197" s="195">
        <f t="shared" si="406"/>
        <v>0</v>
      </c>
      <c r="GH197" s="195">
        <f t="shared" si="406"/>
        <v>0</v>
      </c>
      <c r="GI197" s="195">
        <f t="shared" si="406"/>
        <v>0</v>
      </c>
      <c r="GJ197" s="195">
        <f t="shared" si="406"/>
        <v>0</v>
      </c>
      <c r="GK197" s="195">
        <f t="shared" si="406"/>
        <v>98345430</v>
      </c>
      <c r="GL197" s="195">
        <f t="shared" si="406"/>
        <v>138000000</v>
      </c>
      <c r="GM197" s="195">
        <f t="shared" si="406"/>
        <v>97950000</v>
      </c>
      <c r="GN197" s="195">
        <f t="shared" si="406"/>
        <v>39172000</v>
      </c>
      <c r="GO197" s="195">
        <f t="shared" si="406"/>
        <v>0</v>
      </c>
      <c r="GP197" s="195">
        <f t="shared" si="406"/>
        <v>0</v>
      </c>
      <c r="GQ197" s="195">
        <f t="shared" si="406"/>
        <v>0</v>
      </c>
      <c r="GR197" s="195">
        <f t="shared" si="406"/>
        <v>0</v>
      </c>
      <c r="GS197" s="195">
        <f t="shared" si="406"/>
        <v>0</v>
      </c>
      <c r="GT197" s="195">
        <f t="shared" si="406"/>
        <v>0</v>
      </c>
      <c r="GU197" s="195">
        <f t="shared" si="406"/>
        <v>98345430</v>
      </c>
      <c r="GV197" s="195">
        <f t="shared" si="406"/>
        <v>138000000</v>
      </c>
      <c r="GW197" s="195">
        <f t="shared" si="406"/>
        <v>97950000</v>
      </c>
      <c r="GX197" s="195">
        <f t="shared" si="406"/>
        <v>39172000</v>
      </c>
      <c r="GY197" s="195">
        <f t="shared" si="406"/>
        <v>0</v>
      </c>
      <c r="GZ197" s="199">
        <f t="shared" si="406"/>
        <v>376526430</v>
      </c>
    </row>
    <row r="198" spans="1:208" ht="249.75" customHeight="1" x14ac:dyDescent="0.2">
      <c r="A198" s="326"/>
      <c r="B198" s="326"/>
      <c r="C198" s="288">
        <v>22</v>
      </c>
      <c r="D198" s="258" t="s">
        <v>242</v>
      </c>
      <c r="E198" s="988" t="s">
        <v>243</v>
      </c>
      <c r="F198" s="1021" t="s">
        <v>247</v>
      </c>
      <c r="G198" s="265">
        <v>136</v>
      </c>
      <c r="H198" s="261" t="s">
        <v>472</v>
      </c>
      <c r="I198" s="258" t="s">
        <v>473</v>
      </c>
      <c r="J198" s="988" t="s">
        <v>444</v>
      </c>
      <c r="K198" s="988">
        <v>2</v>
      </c>
      <c r="L198" s="482" t="s">
        <v>58</v>
      </c>
      <c r="M198" s="264" t="s">
        <v>53</v>
      </c>
      <c r="N198" s="490">
        <v>12</v>
      </c>
      <c r="O198" s="475">
        <v>12</v>
      </c>
      <c r="P198" s="484">
        <v>12</v>
      </c>
      <c r="Q198" s="482">
        <v>12</v>
      </c>
      <c r="R198" s="268"/>
      <c r="S198" s="480">
        <v>12</v>
      </c>
      <c r="T198" s="482">
        <v>12</v>
      </c>
      <c r="U198" s="482"/>
      <c r="V198" s="480">
        <v>8</v>
      </c>
      <c r="W198" s="491">
        <v>12</v>
      </c>
      <c r="X198" s="492"/>
      <c r="Y198" s="645">
        <v>2</v>
      </c>
      <c r="Z198" s="493">
        <f>BM198/$BM$197</f>
        <v>0.27777777777777779</v>
      </c>
      <c r="AA198" s="718">
        <v>3</v>
      </c>
      <c r="AB198" s="347" t="s">
        <v>455</v>
      </c>
      <c r="AC198" s="66"/>
      <c r="AD198" s="55"/>
      <c r="AE198" s="54"/>
      <c r="AF198" s="54"/>
      <c r="AG198" s="66"/>
      <c r="AH198" s="55"/>
      <c r="AI198" s="55"/>
      <c r="AJ198" s="55"/>
      <c r="AK198" s="66"/>
      <c r="AL198" s="55"/>
      <c r="AM198" s="55"/>
      <c r="AN198" s="55"/>
      <c r="AO198" s="66"/>
      <c r="AP198" s="55"/>
      <c r="AQ198" s="55"/>
      <c r="AR198" s="55"/>
      <c r="AS198" s="66"/>
      <c r="AT198" s="55"/>
      <c r="AU198" s="54"/>
      <c r="AV198" s="54"/>
      <c r="AW198" s="66"/>
      <c r="AX198" s="55"/>
      <c r="AY198" s="55"/>
      <c r="AZ198" s="55"/>
      <c r="BA198" s="66"/>
      <c r="BB198" s="55"/>
      <c r="BC198" s="55"/>
      <c r="BD198" s="55"/>
      <c r="BE198" s="57">
        <v>25000000</v>
      </c>
      <c r="BF198" s="54">
        <v>25000000</v>
      </c>
      <c r="BG198" s="54">
        <v>17600000</v>
      </c>
      <c r="BH198" s="54">
        <v>17600000</v>
      </c>
      <c r="BI198" s="62"/>
      <c r="BJ198" s="58"/>
      <c r="BK198" s="58"/>
      <c r="BL198" s="55"/>
      <c r="BM198" s="53">
        <f>+AC198+AG198+AK198+AO198+AS198+AW198+BA198+BE198+BI198</f>
        <v>25000000</v>
      </c>
      <c r="BN198" s="54">
        <f t="shared" ref="BN198:BP200" si="407">AD198+AH198+AL198+AP198+AT198+AX198+BB198+BF198+BJ198</f>
        <v>25000000</v>
      </c>
      <c r="BO198" s="54">
        <f t="shared" si="407"/>
        <v>17600000</v>
      </c>
      <c r="BP198" s="54">
        <f t="shared" si="407"/>
        <v>17600000</v>
      </c>
      <c r="BQ198" s="83"/>
      <c r="BR198" s="83"/>
      <c r="BS198" s="83"/>
      <c r="BT198" s="83"/>
      <c r="BU198" s="83"/>
      <c r="BV198" s="82"/>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4">
        <v>25750000</v>
      </c>
      <c r="CW198" s="83">
        <v>55750000</v>
      </c>
      <c r="CX198" s="83">
        <v>20628000</v>
      </c>
      <c r="CY198" s="83">
        <v>20628000</v>
      </c>
      <c r="CZ198" s="83"/>
      <c r="DA198" s="83"/>
      <c r="DB198" s="83"/>
      <c r="DC198" s="83"/>
      <c r="DD198" s="83"/>
      <c r="DE198" s="81">
        <f t="shared" ref="DE198:DH200" si="408">BQ198+BU198+BZ198+CE198+CI198+CM198+CQ198+CV198+DA198</f>
        <v>25750000</v>
      </c>
      <c r="DF198" s="95">
        <f t="shared" si="408"/>
        <v>55750000</v>
      </c>
      <c r="DG198" s="95">
        <f t="shared" si="408"/>
        <v>20628000</v>
      </c>
      <c r="DH198" s="95">
        <f t="shared" si="408"/>
        <v>20628000</v>
      </c>
      <c r="DI198" s="95"/>
      <c r="DJ198" s="84"/>
      <c r="DK198" s="65"/>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v>26522500</v>
      </c>
      <c r="EO198" s="84">
        <v>42649900</v>
      </c>
      <c r="EP198" s="84">
        <v>28649900</v>
      </c>
      <c r="EQ198" s="84">
        <v>28649900</v>
      </c>
      <c r="ER198" s="84"/>
      <c r="ES198" s="84"/>
      <c r="ET198" s="83"/>
      <c r="EU198" s="83"/>
      <c r="EV198" s="83"/>
      <c r="EW198" s="81">
        <f t="shared" ref="EW198:EX200" si="409">DJ198+DN198+DS198+DX198+EB198+EF198+EJ198+EN198+ES198</f>
        <v>26522500</v>
      </c>
      <c r="EX198" s="86">
        <f t="shared" si="409"/>
        <v>42649900</v>
      </c>
      <c r="EY198" s="86">
        <f t="shared" ref="EY198:EZ200" si="410">DL198+DP198+DU198+DZ198+ED198+EH198+EL198+EP198+EU198</f>
        <v>28649900</v>
      </c>
      <c r="EZ198" s="86">
        <f t="shared" si="410"/>
        <v>28649900</v>
      </c>
      <c r="FA198" s="176"/>
      <c r="FB198" s="83"/>
      <c r="FC198" s="84"/>
      <c r="FD198" s="84"/>
      <c r="FE198" s="84"/>
      <c r="FF198" s="140"/>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v>27300000</v>
      </c>
      <c r="GL198" s="83">
        <f>28000000+26000000</f>
        <v>54000000</v>
      </c>
      <c r="GM198" s="83">
        <f>12500000+15500000</f>
        <v>28000000</v>
      </c>
      <c r="GN198" s="83"/>
      <c r="GO198" s="83"/>
      <c r="GP198" s="83"/>
      <c r="GQ198" s="83"/>
      <c r="GR198" s="83"/>
      <c r="GS198" s="83"/>
      <c r="GT198" s="83"/>
      <c r="GU198" s="81">
        <f t="shared" ref="GU198:GY200" si="411">FB198+FG198+FL198+FQ198+FV198+GA198+GF198+GK198+GP198</f>
        <v>27300000</v>
      </c>
      <c r="GV198" s="81">
        <f t="shared" si="411"/>
        <v>54000000</v>
      </c>
      <c r="GW198" s="81">
        <f t="shared" si="411"/>
        <v>28000000</v>
      </c>
      <c r="GX198" s="81">
        <f t="shared" si="411"/>
        <v>0</v>
      </c>
      <c r="GY198" s="673">
        <f t="shared" si="411"/>
        <v>0</v>
      </c>
      <c r="GZ198" s="67">
        <f>BM198+DE198+EW198+GU198</f>
        <v>104572500</v>
      </c>
    </row>
    <row r="199" spans="1:208" ht="330.75" customHeight="1" x14ac:dyDescent="0.2">
      <c r="A199" s="326"/>
      <c r="B199" s="326"/>
      <c r="C199" s="288">
        <v>10</v>
      </c>
      <c r="D199" s="258" t="s">
        <v>237</v>
      </c>
      <c r="E199" s="259" t="s">
        <v>238</v>
      </c>
      <c r="F199" s="374" t="s">
        <v>239</v>
      </c>
      <c r="G199" s="265">
        <v>137</v>
      </c>
      <c r="H199" s="261" t="s">
        <v>474</v>
      </c>
      <c r="I199" s="258" t="s">
        <v>475</v>
      </c>
      <c r="J199" s="988" t="s">
        <v>444</v>
      </c>
      <c r="K199" s="988">
        <v>2</v>
      </c>
      <c r="L199" s="482" t="s">
        <v>58</v>
      </c>
      <c r="M199" s="264">
        <v>0</v>
      </c>
      <c r="N199" s="490">
        <v>12</v>
      </c>
      <c r="O199" s="475">
        <v>12</v>
      </c>
      <c r="P199" s="484">
        <v>12</v>
      </c>
      <c r="Q199" s="482">
        <v>12</v>
      </c>
      <c r="R199" s="268"/>
      <c r="S199" s="480">
        <v>12</v>
      </c>
      <c r="T199" s="482">
        <v>12</v>
      </c>
      <c r="U199" s="482"/>
      <c r="V199" s="480">
        <v>8</v>
      </c>
      <c r="W199" s="482">
        <v>12</v>
      </c>
      <c r="X199" s="492"/>
      <c r="Y199" s="645">
        <v>7</v>
      </c>
      <c r="Z199" s="493">
        <f>BM199/$BM$197</f>
        <v>0.44444444444444442</v>
      </c>
      <c r="AA199" s="264">
        <v>3</v>
      </c>
      <c r="AB199" s="347" t="s">
        <v>455</v>
      </c>
      <c r="AC199" s="66"/>
      <c r="AD199" s="55"/>
      <c r="AE199" s="54"/>
      <c r="AF199" s="54"/>
      <c r="AG199" s="66"/>
      <c r="AH199" s="55"/>
      <c r="AI199" s="55"/>
      <c r="AJ199" s="55"/>
      <c r="AK199" s="66"/>
      <c r="AL199" s="55"/>
      <c r="AM199" s="55"/>
      <c r="AN199" s="55"/>
      <c r="AO199" s="66"/>
      <c r="AP199" s="55"/>
      <c r="AQ199" s="55"/>
      <c r="AR199" s="55"/>
      <c r="AS199" s="66"/>
      <c r="AT199" s="55"/>
      <c r="AU199" s="54"/>
      <c r="AV199" s="54"/>
      <c r="AW199" s="66"/>
      <c r="AX199" s="55"/>
      <c r="AY199" s="55"/>
      <c r="AZ199" s="55"/>
      <c r="BA199" s="66"/>
      <c r="BB199" s="55"/>
      <c r="BC199" s="55"/>
      <c r="BD199" s="55"/>
      <c r="BE199" s="57">
        <v>40000000</v>
      </c>
      <c r="BF199" s="54">
        <v>40000000</v>
      </c>
      <c r="BG199" s="54">
        <v>27150000</v>
      </c>
      <c r="BH199" s="54">
        <v>27150000</v>
      </c>
      <c r="BI199" s="62"/>
      <c r="BJ199" s="58"/>
      <c r="BK199" s="58"/>
      <c r="BL199" s="55"/>
      <c r="BM199" s="53">
        <f>+AC199+AG199+AK199+AO199+AS199+AW199+BA199+BE199+BI199</f>
        <v>40000000</v>
      </c>
      <c r="BN199" s="54">
        <f t="shared" si="407"/>
        <v>40000000</v>
      </c>
      <c r="BO199" s="54">
        <f t="shared" si="407"/>
        <v>27150000</v>
      </c>
      <c r="BP199" s="54">
        <f t="shared" si="407"/>
        <v>27150000</v>
      </c>
      <c r="BQ199" s="83"/>
      <c r="BR199" s="83"/>
      <c r="BS199" s="83"/>
      <c r="BT199" s="83"/>
      <c r="BU199" s="83"/>
      <c r="BV199" s="82"/>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4">
        <v>41200000</v>
      </c>
      <c r="CW199" s="83">
        <v>41200000</v>
      </c>
      <c r="CX199" s="83">
        <v>38560000</v>
      </c>
      <c r="CY199" s="83">
        <v>38560000</v>
      </c>
      <c r="CZ199" s="83"/>
      <c r="DA199" s="83"/>
      <c r="DB199" s="83"/>
      <c r="DC199" s="83"/>
      <c r="DD199" s="83"/>
      <c r="DE199" s="81">
        <f t="shared" si="408"/>
        <v>41200000</v>
      </c>
      <c r="DF199" s="95">
        <f t="shared" si="408"/>
        <v>41200000</v>
      </c>
      <c r="DG199" s="95">
        <f t="shared" si="408"/>
        <v>38560000</v>
      </c>
      <c r="DH199" s="95">
        <f t="shared" si="408"/>
        <v>38560000</v>
      </c>
      <c r="DI199" s="95"/>
      <c r="DJ199" s="84"/>
      <c r="DK199" s="65"/>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v>42436000</v>
      </c>
      <c r="EO199" s="84">
        <v>53000000</v>
      </c>
      <c r="EP199" s="84">
        <v>45094100</v>
      </c>
      <c r="EQ199" s="84">
        <v>45094100</v>
      </c>
      <c r="ER199" s="84"/>
      <c r="ES199" s="84"/>
      <c r="ET199" s="83"/>
      <c r="EU199" s="83"/>
      <c r="EV199" s="83"/>
      <c r="EW199" s="81">
        <f t="shared" si="409"/>
        <v>42436000</v>
      </c>
      <c r="EX199" s="86">
        <f t="shared" si="409"/>
        <v>53000000</v>
      </c>
      <c r="EY199" s="86">
        <f t="shared" si="410"/>
        <v>45094100</v>
      </c>
      <c r="EZ199" s="86">
        <f t="shared" si="410"/>
        <v>45094100</v>
      </c>
      <c r="FA199" s="176"/>
      <c r="FB199" s="83"/>
      <c r="FC199" s="84"/>
      <c r="FD199" s="84"/>
      <c r="FE199" s="84"/>
      <c r="FF199" s="140"/>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v>43700000</v>
      </c>
      <c r="GL199" s="83">
        <v>56000000</v>
      </c>
      <c r="GM199" s="83">
        <v>41970000</v>
      </c>
      <c r="GN199" s="83">
        <v>19586000</v>
      </c>
      <c r="GO199" s="83"/>
      <c r="GP199" s="83"/>
      <c r="GQ199" s="83"/>
      <c r="GR199" s="83"/>
      <c r="GS199" s="83"/>
      <c r="GT199" s="83"/>
      <c r="GU199" s="81">
        <f t="shared" si="411"/>
        <v>43700000</v>
      </c>
      <c r="GV199" s="81">
        <f t="shared" si="411"/>
        <v>56000000</v>
      </c>
      <c r="GW199" s="81">
        <f t="shared" si="411"/>
        <v>41970000</v>
      </c>
      <c r="GX199" s="81">
        <f t="shared" si="411"/>
        <v>19586000</v>
      </c>
      <c r="GY199" s="673">
        <f t="shared" si="411"/>
        <v>0</v>
      </c>
      <c r="GZ199" s="67">
        <f>BM199+DE199+EW199+GU199</f>
        <v>167336000</v>
      </c>
    </row>
    <row r="200" spans="1:208" ht="270.75" customHeight="1" x14ac:dyDescent="0.2">
      <c r="A200" s="326"/>
      <c r="B200" s="326"/>
      <c r="C200" s="277">
        <v>11</v>
      </c>
      <c r="D200" s="258" t="s">
        <v>476</v>
      </c>
      <c r="E200" s="284" t="s">
        <v>477</v>
      </c>
      <c r="F200" s="619" t="s">
        <v>478</v>
      </c>
      <c r="G200" s="265">
        <v>138</v>
      </c>
      <c r="H200" s="261" t="s">
        <v>479</v>
      </c>
      <c r="I200" s="258" t="s">
        <v>480</v>
      </c>
      <c r="J200" s="988" t="s">
        <v>444</v>
      </c>
      <c r="K200" s="988">
        <v>2</v>
      </c>
      <c r="L200" s="482" t="s">
        <v>58</v>
      </c>
      <c r="M200" s="264" t="s">
        <v>53</v>
      </c>
      <c r="N200" s="288">
        <v>12</v>
      </c>
      <c r="O200" s="475">
        <v>12</v>
      </c>
      <c r="P200" s="484">
        <v>12</v>
      </c>
      <c r="Q200" s="482">
        <v>12</v>
      </c>
      <c r="R200" s="268"/>
      <c r="S200" s="480">
        <v>12</v>
      </c>
      <c r="T200" s="482">
        <v>12</v>
      </c>
      <c r="U200" s="482"/>
      <c r="V200" s="480">
        <v>6</v>
      </c>
      <c r="W200" s="482">
        <v>12</v>
      </c>
      <c r="X200" s="492"/>
      <c r="Y200" s="645">
        <v>11</v>
      </c>
      <c r="Z200" s="493">
        <f>BM200/$BM$197</f>
        <v>0.27777777777777779</v>
      </c>
      <c r="AA200" s="264">
        <v>3</v>
      </c>
      <c r="AB200" s="347" t="s">
        <v>455</v>
      </c>
      <c r="AC200" s="66"/>
      <c r="AD200" s="55"/>
      <c r="AE200" s="54"/>
      <c r="AF200" s="54"/>
      <c r="AG200" s="66"/>
      <c r="AH200" s="55"/>
      <c r="AI200" s="55"/>
      <c r="AJ200" s="55"/>
      <c r="AK200" s="66"/>
      <c r="AL200" s="55"/>
      <c r="AM200" s="55"/>
      <c r="AN200" s="55"/>
      <c r="AO200" s="66"/>
      <c r="AP200" s="55"/>
      <c r="AQ200" s="55"/>
      <c r="AR200" s="55"/>
      <c r="AS200" s="66"/>
      <c r="AT200" s="55"/>
      <c r="AU200" s="54"/>
      <c r="AV200" s="54"/>
      <c r="AW200" s="66"/>
      <c r="AX200" s="55"/>
      <c r="AY200" s="55"/>
      <c r="AZ200" s="55"/>
      <c r="BA200" s="66"/>
      <c r="BB200" s="55"/>
      <c r="BC200" s="55"/>
      <c r="BD200" s="55"/>
      <c r="BE200" s="57">
        <f>13400000+11600000</f>
        <v>25000000</v>
      </c>
      <c r="BF200" s="55">
        <v>25000000</v>
      </c>
      <c r="BG200" s="54">
        <v>16583333</v>
      </c>
      <c r="BH200" s="54">
        <v>16583333</v>
      </c>
      <c r="BI200" s="62"/>
      <c r="BJ200" s="58"/>
      <c r="BK200" s="58"/>
      <c r="BL200" s="55"/>
      <c r="BM200" s="53">
        <f>+AC200+AG200+AK200+AO200+AS200+AW200+BA200+BE200+BI200</f>
        <v>25000000</v>
      </c>
      <c r="BN200" s="54">
        <f t="shared" si="407"/>
        <v>25000000</v>
      </c>
      <c r="BO200" s="54">
        <f t="shared" si="407"/>
        <v>16583333</v>
      </c>
      <c r="BP200" s="54">
        <f t="shared" si="407"/>
        <v>16583333</v>
      </c>
      <c r="BQ200" s="83"/>
      <c r="BR200" s="83"/>
      <c r="BS200" s="83"/>
      <c r="BT200" s="83"/>
      <c r="BU200" s="83"/>
      <c r="BV200" s="82"/>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4">
        <v>25750000</v>
      </c>
      <c r="CW200" s="83">
        <v>25750000</v>
      </c>
      <c r="CX200" s="83">
        <v>21840000</v>
      </c>
      <c r="CY200" s="83">
        <v>21840000</v>
      </c>
      <c r="CZ200" s="83"/>
      <c r="DA200" s="83"/>
      <c r="DB200" s="83"/>
      <c r="DC200" s="83"/>
      <c r="DD200" s="83"/>
      <c r="DE200" s="81">
        <f t="shared" si="408"/>
        <v>25750000</v>
      </c>
      <c r="DF200" s="95">
        <f t="shared" si="408"/>
        <v>25750000</v>
      </c>
      <c r="DG200" s="95">
        <f t="shared" si="408"/>
        <v>21840000</v>
      </c>
      <c r="DH200" s="95">
        <f t="shared" si="408"/>
        <v>21840000</v>
      </c>
      <c r="DI200" s="95"/>
      <c r="DJ200" s="84"/>
      <c r="DK200" s="65"/>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v>26522500</v>
      </c>
      <c r="EO200" s="84">
        <v>53000000</v>
      </c>
      <c r="EP200" s="84">
        <v>35640000</v>
      </c>
      <c r="EQ200" s="84">
        <v>35640000</v>
      </c>
      <c r="ER200" s="84"/>
      <c r="ES200" s="84"/>
      <c r="ET200" s="83"/>
      <c r="EU200" s="83"/>
      <c r="EV200" s="83"/>
      <c r="EW200" s="81">
        <f t="shared" si="409"/>
        <v>26522500</v>
      </c>
      <c r="EX200" s="86">
        <f t="shared" si="409"/>
        <v>53000000</v>
      </c>
      <c r="EY200" s="86">
        <f t="shared" si="410"/>
        <v>35640000</v>
      </c>
      <c r="EZ200" s="86">
        <f t="shared" si="410"/>
        <v>35640000</v>
      </c>
      <c r="FA200" s="176"/>
      <c r="FB200" s="83"/>
      <c r="FC200" s="84"/>
      <c r="FD200" s="84"/>
      <c r="FE200" s="84"/>
      <c r="FF200" s="140"/>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v>27345430</v>
      </c>
      <c r="GL200" s="83">
        <v>28000000</v>
      </c>
      <c r="GM200" s="83">
        <v>27980000</v>
      </c>
      <c r="GN200" s="83">
        <v>19586000</v>
      </c>
      <c r="GO200" s="83"/>
      <c r="GP200" s="83"/>
      <c r="GQ200" s="83"/>
      <c r="GR200" s="83"/>
      <c r="GS200" s="83"/>
      <c r="GT200" s="83"/>
      <c r="GU200" s="81">
        <f t="shared" si="411"/>
        <v>27345430</v>
      </c>
      <c r="GV200" s="81">
        <f t="shared" si="411"/>
        <v>28000000</v>
      </c>
      <c r="GW200" s="81">
        <f t="shared" si="411"/>
        <v>27980000</v>
      </c>
      <c r="GX200" s="81">
        <f t="shared" si="411"/>
        <v>19586000</v>
      </c>
      <c r="GY200" s="673">
        <f t="shared" si="411"/>
        <v>0</v>
      </c>
      <c r="GZ200" s="67">
        <f>BM200+DE200+EW200+GU200</f>
        <v>104617930</v>
      </c>
    </row>
    <row r="201" spans="1:208" ht="24.75" customHeight="1" x14ac:dyDescent="0.2">
      <c r="A201" s="326"/>
      <c r="B201" s="326"/>
      <c r="C201" s="246">
        <v>39</v>
      </c>
      <c r="D201" s="247" t="s">
        <v>481</v>
      </c>
      <c r="E201" s="295"/>
      <c r="F201" s="295"/>
      <c r="G201" s="249"/>
      <c r="H201" s="249"/>
      <c r="I201" s="249"/>
      <c r="J201" s="249"/>
      <c r="K201" s="249"/>
      <c r="L201" s="249"/>
      <c r="M201" s="249"/>
      <c r="N201" s="249"/>
      <c r="O201" s="249"/>
      <c r="P201" s="249"/>
      <c r="Q201" s="249"/>
      <c r="R201" s="249"/>
      <c r="S201" s="249"/>
      <c r="T201" s="249"/>
      <c r="U201" s="249"/>
      <c r="V201" s="249"/>
      <c r="W201" s="249"/>
      <c r="X201" s="249"/>
      <c r="Y201" s="296"/>
      <c r="Z201" s="249"/>
      <c r="AA201" s="249"/>
      <c r="AB201" s="249"/>
      <c r="AC201" s="186">
        <f t="shared" ref="AC201:BL201" si="412">SUM(AC202:AC204)</f>
        <v>0</v>
      </c>
      <c r="AD201" s="186">
        <f t="shared" si="412"/>
        <v>0</v>
      </c>
      <c r="AE201" s="186">
        <f t="shared" si="412"/>
        <v>0</v>
      </c>
      <c r="AF201" s="186">
        <f t="shared" si="412"/>
        <v>0</v>
      </c>
      <c r="AG201" s="186">
        <f t="shared" si="412"/>
        <v>0</v>
      </c>
      <c r="AH201" s="186">
        <f t="shared" si="412"/>
        <v>0</v>
      </c>
      <c r="AI201" s="186">
        <f t="shared" si="412"/>
        <v>0</v>
      </c>
      <c r="AJ201" s="186">
        <f t="shared" si="412"/>
        <v>0</v>
      </c>
      <c r="AK201" s="186">
        <f t="shared" si="412"/>
        <v>0</v>
      </c>
      <c r="AL201" s="186">
        <f t="shared" si="412"/>
        <v>0</v>
      </c>
      <c r="AM201" s="186">
        <f t="shared" si="412"/>
        <v>0</v>
      </c>
      <c r="AN201" s="186">
        <f t="shared" si="412"/>
        <v>0</v>
      </c>
      <c r="AO201" s="186">
        <f t="shared" si="412"/>
        <v>0</v>
      </c>
      <c r="AP201" s="186">
        <f t="shared" si="412"/>
        <v>0</v>
      </c>
      <c r="AQ201" s="186">
        <f t="shared" si="412"/>
        <v>0</v>
      </c>
      <c r="AR201" s="186">
        <f t="shared" si="412"/>
        <v>0</v>
      </c>
      <c r="AS201" s="186">
        <f t="shared" si="412"/>
        <v>0</v>
      </c>
      <c r="AT201" s="186">
        <f t="shared" si="412"/>
        <v>0</v>
      </c>
      <c r="AU201" s="186">
        <f t="shared" si="412"/>
        <v>0</v>
      </c>
      <c r="AV201" s="186">
        <f t="shared" si="412"/>
        <v>0</v>
      </c>
      <c r="AW201" s="186">
        <f t="shared" si="412"/>
        <v>0</v>
      </c>
      <c r="AX201" s="186">
        <f t="shared" si="412"/>
        <v>0</v>
      </c>
      <c r="AY201" s="186">
        <f t="shared" si="412"/>
        <v>0</v>
      </c>
      <c r="AZ201" s="186">
        <f t="shared" si="412"/>
        <v>0</v>
      </c>
      <c r="BA201" s="186">
        <f t="shared" si="412"/>
        <v>0</v>
      </c>
      <c r="BB201" s="186">
        <f t="shared" si="412"/>
        <v>0</v>
      </c>
      <c r="BC201" s="186">
        <f t="shared" si="412"/>
        <v>0</v>
      </c>
      <c r="BD201" s="186">
        <f t="shared" si="412"/>
        <v>0</v>
      </c>
      <c r="BE201" s="186">
        <f t="shared" si="412"/>
        <v>140000000</v>
      </c>
      <c r="BF201" s="186">
        <f t="shared" si="412"/>
        <v>140000000</v>
      </c>
      <c r="BG201" s="186">
        <f t="shared" si="412"/>
        <v>107500000</v>
      </c>
      <c r="BH201" s="186">
        <f t="shared" si="412"/>
        <v>107500000</v>
      </c>
      <c r="BI201" s="186">
        <f t="shared" si="412"/>
        <v>0</v>
      </c>
      <c r="BJ201" s="186">
        <f t="shared" si="412"/>
        <v>0</v>
      </c>
      <c r="BK201" s="186">
        <f t="shared" si="412"/>
        <v>0</v>
      </c>
      <c r="BL201" s="186">
        <f t="shared" si="412"/>
        <v>0</v>
      </c>
      <c r="BM201" s="186">
        <f t="shared" ref="BM201:DX201" si="413">SUM(BM202:BM204)</f>
        <v>140000000</v>
      </c>
      <c r="BN201" s="186">
        <f t="shared" si="413"/>
        <v>140000000</v>
      </c>
      <c r="BO201" s="186">
        <f t="shared" si="413"/>
        <v>107500000</v>
      </c>
      <c r="BP201" s="186">
        <f t="shared" si="413"/>
        <v>107500000</v>
      </c>
      <c r="BQ201" s="186">
        <f t="shared" si="413"/>
        <v>0</v>
      </c>
      <c r="BR201" s="186">
        <f t="shared" si="413"/>
        <v>0</v>
      </c>
      <c r="BS201" s="186">
        <f t="shared" si="413"/>
        <v>0</v>
      </c>
      <c r="BT201" s="186">
        <f t="shared" si="413"/>
        <v>0</v>
      </c>
      <c r="BU201" s="186">
        <f t="shared" si="413"/>
        <v>0</v>
      </c>
      <c r="BV201" s="186">
        <f t="shared" si="413"/>
        <v>0</v>
      </c>
      <c r="BW201" s="186">
        <f t="shared" si="413"/>
        <v>0</v>
      </c>
      <c r="BX201" s="186">
        <f t="shared" si="413"/>
        <v>0</v>
      </c>
      <c r="BY201" s="186">
        <f t="shared" si="413"/>
        <v>0</v>
      </c>
      <c r="BZ201" s="186">
        <f t="shared" si="413"/>
        <v>0</v>
      </c>
      <c r="CA201" s="186">
        <f t="shared" si="413"/>
        <v>0</v>
      </c>
      <c r="CB201" s="186">
        <f t="shared" si="413"/>
        <v>0</v>
      </c>
      <c r="CC201" s="186">
        <f t="shared" si="413"/>
        <v>0</v>
      </c>
      <c r="CD201" s="186">
        <f t="shared" si="413"/>
        <v>0</v>
      </c>
      <c r="CE201" s="186">
        <f t="shared" si="413"/>
        <v>0</v>
      </c>
      <c r="CF201" s="186">
        <f t="shared" si="413"/>
        <v>0</v>
      </c>
      <c r="CG201" s="186">
        <f t="shared" si="413"/>
        <v>0</v>
      </c>
      <c r="CH201" s="186">
        <f t="shared" si="413"/>
        <v>0</v>
      </c>
      <c r="CI201" s="186">
        <f t="shared" si="413"/>
        <v>0</v>
      </c>
      <c r="CJ201" s="186">
        <f t="shared" si="413"/>
        <v>0</v>
      </c>
      <c r="CK201" s="186">
        <f t="shared" si="413"/>
        <v>0</v>
      </c>
      <c r="CL201" s="186">
        <f t="shared" si="413"/>
        <v>0</v>
      </c>
      <c r="CM201" s="186">
        <f t="shared" si="413"/>
        <v>0</v>
      </c>
      <c r="CN201" s="186">
        <f t="shared" si="413"/>
        <v>0</v>
      </c>
      <c r="CO201" s="186">
        <f t="shared" si="413"/>
        <v>0</v>
      </c>
      <c r="CP201" s="186">
        <f t="shared" si="413"/>
        <v>0</v>
      </c>
      <c r="CQ201" s="186">
        <f t="shared" si="413"/>
        <v>0</v>
      </c>
      <c r="CR201" s="186">
        <f t="shared" si="413"/>
        <v>0</v>
      </c>
      <c r="CS201" s="186">
        <f t="shared" si="413"/>
        <v>0</v>
      </c>
      <c r="CT201" s="186">
        <f t="shared" si="413"/>
        <v>0</v>
      </c>
      <c r="CU201" s="186">
        <f t="shared" si="413"/>
        <v>0</v>
      </c>
      <c r="CV201" s="186">
        <f t="shared" si="413"/>
        <v>144200000</v>
      </c>
      <c r="CW201" s="186">
        <f t="shared" si="413"/>
        <v>144200000</v>
      </c>
      <c r="CX201" s="186">
        <f t="shared" si="413"/>
        <v>144000000</v>
      </c>
      <c r="CY201" s="186">
        <f t="shared" si="413"/>
        <v>144000000</v>
      </c>
      <c r="CZ201" s="186">
        <f t="shared" si="413"/>
        <v>0</v>
      </c>
      <c r="DA201" s="186">
        <f t="shared" si="413"/>
        <v>0</v>
      </c>
      <c r="DB201" s="186">
        <f t="shared" si="413"/>
        <v>0</v>
      </c>
      <c r="DC201" s="186">
        <f t="shared" si="413"/>
        <v>0</v>
      </c>
      <c r="DD201" s="186">
        <f t="shared" si="413"/>
        <v>0</v>
      </c>
      <c r="DE201" s="186">
        <f t="shared" si="413"/>
        <v>144200000</v>
      </c>
      <c r="DF201" s="186">
        <f t="shared" si="413"/>
        <v>144200000</v>
      </c>
      <c r="DG201" s="186">
        <f t="shared" si="413"/>
        <v>144000000</v>
      </c>
      <c r="DH201" s="186">
        <f t="shared" si="413"/>
        <v>144000000</v>
      </c>
      <c r="DI201" s="186">
        <f t="shared" si="413"/>
        <v>0</v>
      </c>
      <c r="DJ201" s="186">
        <f t="shared" si="413"/>
        <v>0</v>
      </c>
      <c r="DK201" s="186">
        <f t="shared" si="413"/>
        <v>0</v>
      </c>
      <c r="DL201" s="186">
        <f t="shared" si="413"/>
        <v>0</v>
      </c>
      <c r="DM201" s="186">
        <f t="shared" si="413"/>
        <v>0</v>
      </c>
      <c r="DN201" s="186">
        <f t="shared" si="413"/>
        <v>0</v>
      </c>
      <c r="DO201" s="186">
        <f t="shared" si="413"/>
        <v>45000000</v>
      </c>
      <c r="DP201" s="186">
        <f t="shared" si="413"/>
        <v>43400000</v>
      </c>
      <c r="DQ201" s="186">
        <f t="shared" si="413"/>
        <v>43400000</v>
      </c>
      <c r="DR201" s="186">
        <f t="shared" si="413"/>
        <v>0</v>
      </c>
      <c r="DS201" s="186">
        <f t="shared" si="413"/>
        <v>0</v>
      </c>
      <c r="DT201" s="186">
        <f t="shared" si="413"/>
        <v>0</v>
      </c>
      <c r="DU201" s="186">
        <f t="shared" si="413"/>
        <v>0</v>
      </c>
      <c r="DV201" s="186">
        <f t="shared" si="413"/>
        <v>0</v>
      </c>
      <c r="DW201" s="186">
        <f t="shared" si="413"/>
        <v>0</v>
      </c>
      <c r="DX201" s="186">
        <f t="shared" si="413"/>
        <v>0</v>
      </c>
      <c r="DY201" s="186">
        <f t="shared" ref="DY201:EW201" si="414">SUM(DY202:DY204)</f>
        <v>0</v>
      </c>
      <c r="DZ201" s="186">
        <f t="shared" si="414"/>
        <v>0</v>
      </c>
      <c r="EA201" s="186">
        <f t="shared" si="414"/>
        <v>0</v>
      </c>
      <c r="EB201" s="186">
        <f t="shared" si="414"/>
        <v>0</v>
      </c>
      <c r="EC201" s="186">
        <f t="shared" si="414"/>
        <v>0</v>
      </c>
      <c r="ED201" s="186">
        <f t="shared" si="414"/>
        <v>0</v>
      </c>
      <c r="EE201" s="186">
        <f t="shared" si="414"/>
        <v>0</v>
      </c>
      <c r="EF201" s="186">
        <f t="shared" si="414"/>
        <v>0</v>
      </c>
      <c r="EG201" s="186">
        <f t="shared" si="414"/>
        <v>0</v>
      </c>
      <c r="EH201" s="186">
        <f t="shared" si="414"/>
        <v>0</v>
      </c>
      <c r="EI201" s="186">
        <f t="shared" si="414"/>
        <v>0</v>
      </c>
      <c r="EJ201" s="186">
        <f t="shared" si="414"/>
        <v>0</v>
      </c>
      <c r="EK201" s="186">
        <f t="shared" si="414"/>
        <v>0</v>
      </c>
      <c r="EL201" s="186">
        <f t="shared" si="414"/>
        <v>0</v>
      </c>
      <c r="EM201" s="186">
        <f t="shared" si="414"/>
        <v>0</v>
      </c>
      <c r="EN201" s="186">
        <f t="shared" si="414"/>
        <v>148526000</v>
      </c>
      <c r="EO201" s="186">
        <f t="shared" si="414"/>
        <v>120000000</v>
      </c>
      <c r="EP201" s="186">
        <f t="shared" si="414"/>
        <v>119155000</v>
      </c>
      <c r="EQ201" s="186">
        <f t="shared" si="414"/>
        <v>119155000</v>
      </c>
      <c r="ER201" s="186">
        <f t="shared" si="414"/>
        <v>0</v>
      </c>
      <c r="ES201" s="186">
        <f t="shared" si="414"/>
        <v>0</v>
      </c>
      <c r="ET201" s="186">
        <f t="shared" si="414"/>
        <v>0</v>
      </c>
      <c r="EU201" s="186">
        <f t="shared" si="414"/>
        <v>0</v>
      </c>
      <c r="EV201" s="186">
        <f t="shared" si="414"/>
        <v>0</v>
      </c>
      <c r="EW201" s="186">
        <f t="shared" si="414"/>
        <v>148526000</v>
      </c>
      <c r="EX201" s="186">
        <f t="shared" ref="EX201:GZ201" si="415">SUM(EX202:EX204)</f>
        <v>165000000</v>
      </c>
      <c r="EY201" s="186">
        <f t="shared" si="415"/>
        <v>162555000</v>
      </c>
      <c r="EZ201" s="186">
        <f t="shared" si="415"/>
        <v>162555000</v>
      </c>
      <c r="FA201" s="186">
        <f t="shared" si="415"/>
        <v>0</v>
      </c>
      <c r="FB201" s="186">
        <f t="shared" si="415"/>
        <v>0</v>
      </c>
      <c r="FC201" s="186">
        <f t="shared" si="415"/>
        <v>0</v>
      </c>
      <c r="FD201" s="186">
        <f t="shared" si="415"/>
        <v>0</v>
      </c>
      <c r="FE201" s="186">
        <f t="shared" si="415"/>
        <v>0</v>
      </c>
      <c r="FF201" s="186">
        <f t="shared" si="415"/>
        <v>0</v>
      </c>
      <c r="FG201" s="186">
        <f t="shared" si="415"/>
        <v>0</v>
      </c>
      <c r="FH201" s="186">
        <f t="shared" si="415"/>
        <v>0</v>
      </c>
      <c r="FI201" s="186">
        <f t="shared" si="415"/>
        <v>0</v>
      </c>
      <c r="FJ201" s="186">
        <f t="shared" si="415"/>
        <v>0</v>
      </c>
      <c r="FK201" s="186">
        <f t="shared" si="415"/>
        <v>0</v>
      </c>
      <c r="FL201" s="186">
        <f t="shared" si="415"/>
        <v>0</v>
      </c>
      <c r="FM201" s="186">
        <f t="shared" si="415"/>
        <v>0</v>
      </c>
      <c r="FN201" s="186">
        <f t="shared" si="415"/>
        <v>0</v>
      </c>
      <c r="FO201" s="186">
        <f t="shared" si="415"/>
        <v>0</v>
      </c>
      <c r="FP201" s="186">
        <f t="shared" si="415"/>
        <v>0</v>
      </c>
      <c r="FQ201" s="186">
        <f t="shared" si="415"/>
        <v>0</v>
      </c>
      <c r="FR201" s="186">
        <f t="shared" si="415"/>
        <v>0</v>
      </c>
      <c r="FS201" s="186">
        <f t="shared" si="415"/>
        <v>0</v>
      </c>
      <c r="FT201" s="186">
        <f t="shared" si="415"/>
        <v>0</v>
      </c>
      <c r="FU201" s="186">
        <f t="shared" si="415"/>
        <v>0</v>
      </c>
      <c r="FV201" s="186">
        <f t="shared" si="415"/>
        <v>0</v>
      </c>
      <c r="FW201" s="186">
        <f t="shared" si="415"/>
        <v>0</v>
      </c>
      <c r="FX201" s="186">
        <f t="shared" si="415"/>
        <v>0</v>
      </c>
      <c r="FY201" s="186">
        <f t="shared" si="415"/>
        <v>0</v>
      </c>
      <c r="FZ201" s="186">
        <f t="shared" si="415"/>
        <v>0</v>
      </c>
      <c r="GA201" s="186">
        <f t="shared" si="415"/>
        <v>0</v>
      </c>
      <c r="GB201" s="186">
        <f t="shared" si="415"/>
        <v>0</v>
      </c>
      <c r="GC201" s="186">
        <f t="shared" si="415"/>
        <v>0</v>
      </c>
      <c r="GD201" s="186">
        <f t="shared" si="415"/>
        <v>0</v>
      </c>
      <c r="GE201" s="186">
        <f t="shared" si="415"/>
        <v>0</v>
      </c>
      <c r="GF201" s="186">
        <f t="shared" si="415"/>
        <v>0</v>
      </c>
      <c r="GG201" s="186">
        <f t="shared" si="415"/>
        <v>0</v>
      </c>
      <c r="GH201" s="186">
        <f t="shared" si="415"/>
        <v>0</v>
      </c>
      <c r="GI201" s="186">
        <f t="shared" si="415"/>
        <v>0</v>
      </c>
      <c r="GJ201" s="186">
        <f t="shared" si="415"/>
        <v>0</v>
      </c>
      <c r="GK201" s="186">
        <f t="shared" si="415"/>
        <v>152981780</v>
      </c>
      <c r="GL201" s="186">
        <f t="shared" si="415"/>
        <v>183000000</v>
      </c>
      <c r="GM201" s="186">
        <f t="shared" si="415"/>
        <v>110865000</v>
      </c>
      <c r="GN201" s="186">
        <f t="shared" si="415"/>
        <v>72103000</v>
      </c>
      <c r="GO201" s="186">
        <f t="shared" si="415"/>
        <v>0</v>
      </c>
      <c r="GP201" s="186">
        <f t="shared" si="415"/>
        <v>0</v>
      </c>
      <c r="GQ201" s="186">
        <f t="shared" si="415"/>
        <v>0</v>
      </c>
      <c r="GR201" s="186">
        <f t="shared" si="415"/>
        <v>0</v>
      </c>
      <c r="GS201" s="186">
        <f t="shared" si="415"/>
        <v>0</v>
      </c>
      <c r="GT201" s="186">
        <f t="shared" si="415"/>
        <v>0</v>
      </c>
      <c r="GU201" s="186">
        <f t="shared" si="415"/>
        <v>152981780</v>
      </c>
      <c r="GV201" s="186">
        <f t="shared" si="415"/>
        <v>183000000</v>
      </c>
      <c r="GW201" s="186">
        <f t="shared" si="415"/>
        <v>110865000</v>
      </c>
      <c r="GX201" s="186">
        <f t="shared" si="415"/>
        <v>72103000</v>
      </c>
      <c r="GY201" s="186">
        <f t="shared" si="415"/>
        <v>0</v>
      </c>
      <c r="GZ201" s="186">
        <f t="shared" si="415"/>
        <v>585707780</v>
      </c>
    </row>
    <row r="202" spans="1:208" ht="171.75" customHeight="1" x14ac:dyDescent="0.2">
      <c r="A202" s="326"/>
      <c r="B202" s="326"/>
      <c r="C202" s="288">
        <v>24</v>
      </c>
      <c r="D202" s="495" t="s">
        <v>432</v>
      </c>
      <c r="E202" s="259" t="s">
        <v>433</v>
      </c>
      <c r="F202" s="619" t="s">
        <v>433</v>
      </c>
      <c r="G202" s="265">
        <v>139</v>
      </c>
      <c r="H202" s="261" t="s">
        <v>482</v>
      </c>
      <c r="I202" s="275" t="s">
        <v>483</v>
      </c>
      <c r="J202" s="988" t="s">
        <v>444</v>
      </c>
      <c r="K202" s="988">
        <v>2</v>
      </c>
      <c r="L202" s="492" t="s">
        <v>58</v>
      </c>
      <c r="M202" s="264">
        <v>0</v>
      </c>
      <c r="N202" s="718">
        <v>1</v>
      </c>
      <c r="O202" s="496">
        <v>1</v>
      </c>
      <c r="P202" s="497">
        <v>1</v>
      </c>
      <c r="Q202" s="491">
        <v>1</v>
      </c>
      <c r="R202" s="429"/>
      <c r="S202" s="498">
        <v>0.9</v>
      </c>
      <c r="T202" s="491">
        <v>1</v>
      </c>
      <c r="U202" s="491"/>
      <c r="V202" s="499">
        <v>1</v>
      </c>
      <c r="W202" s="491">
        <v>1</v>
      </c>
      <c r="X202" s="492"/>
      <c r="Y202" s="646">
        <v>0.5</v>
      </c>
      <c r="Z202" s="493">
        <f>BM202/$BM$201</f>
        <v>0.6428571428571429</v>
      </c>
      <c r="AA202" s="264">
        <v>2</v>
      </c>
      <c r="AB202" s="347" t="s">
        <v>141</v>
      </c>
      <c r="AC202" s="66"/>
      <c r="AD202" s="55"/>
      <c r="AE202" s="54"/>
      <c r="AF202" s="54"/>
      <c r="AG202" s="66"/>
      <c r="AH202" s="55"/>
      <c r="AI202" s="55"/>
      <c r="AJ202" s="55"/>
      <c r="AK202" s="66"/>
      <c r="AL202" s="55"/>
      <c r="AM202" s="55"/>
      <c r="AN202" s="55"/>
      <c r="AO202" s="66"/>
      <c r="AP202" s="55"/>
      <c r="AQ202" s="55"/>
      <c r="AR202" s="55"/>
      <c r="AS202" s="66"/>
      <c r="AT202" s="55"/>
      <c r="AU202" s="54"/>
      <c r="AV202" s="54"/>
      <c r="AW202" s="66"/>
      <c r="AX202" s="55"/>
      <c r="AY202" s="55"/>
      <c r="AZ202" s="55"/>
      <c r="BA202" s="66"/>
      <c r="BB202" s="55"/>
      <c r="BC202" s="55"/>
      <c r="BD202" s="55"/>
      <c r="BE202" s="57">
        <f>30000000+60000000</f>
        <v>90000000</v>
      </c>
      <c r="BF202" s="55">
        <f>30000000+60000000</f>
        <v>90000000</v>
      </c>
      <c r="BG202" s="54">
        <v>86250000</v>
      </c>
      <c r="BH202" s="54">
        <v>86250000</v>
      </c>
      <c r="BI202" s="62"/>
      <c r="BJ202" s="58"/>
      <c r="BK202" s="58"/>
      <c r="BL202" s="55"/>
      <c r="BM202" s="53">
        <f>+AC202+AG202+AK202+AO202+AS202+AW202+BA202+BE202+BI202</f>
        <v>90000000</v>
      </c>
      <c r="BN202" s="54">
        <f t="shared" ref="BN202:BP204" si="416">AD202+AH202+AL202+AP202+AT202+AX202+BB202+BF202+BJ202</f>
        <v>90000000</v>
      </c>
      <c r="BO202" s="54">
        <f t="shared" si="416"/>
        <v>86250000</v>
      </c>
      <c r="BP202" s="54">
        <f t="shared" si="416"/>
        <v>86250000</v>
      </c>
      <c r="BQ202" s="83"/>
      <c r="BR202" s="83"/>
      <c r="BS202" s="83"/>
      <c r="BT202" s="83"/>
      <c r="BU202" s="83"/>
      <c r="BV202" s="82"/>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4">
        <v>92700000</v>
      </c>
      <c r="CW202" s="83">
        <v>92700000</v>
      </c>
      <c r="CX202" s="83">
        <v>92700000</v>
      </c>
      <c r="CY202" s="83">
        <v>92700000</v>
      </c>
      <c r="CZ202" s="83"/>
      <c r="DA202" s="83"/>
      <c r="DB202" s="83"/>
      <c r="DC202" s="83"/>
      <c r="DD202" s="83"/>
      <c r="DE202" s="81">
        <f t="shared" ref="DE202:DH204" si="417">BQ202+BU202+BZ202+CE202+CI202+CM202+CQ202+CV202+DA202</f>
        <v>92700000</v>
      </c>
      <c r="DF202" s="95">
        <f t="shared" si="417"/>
        <v>92700000</v>
      </c>
      <c r="DG202" s="95">
        <f t="shared" si="417"/>
        <v>92700000</v>
      </c>
      <c r="DH202" s="95">
        <f t="shared" si="417"/>
        <v>92700000</v>
      </c>
      <c r="DI202" s="95"/>
      <c r="DJ202" s="84"/>
      <c r="DK202" s="65"/>
      <c r="DL202" s="84"/>
      <c r="DM202" s="84"/>
      <c r="DN202" s="84"/>
      <c r="DO202" s="84">
        <v>40000000</v>
      </c>
      <c r="DP202" s="84">
        <v>38780000</v>
      </c>
      <c r="DQ202" s="84">
        <v>38780000</v>
      </c>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v>95481000</v>
      </c>
      <c r="EO202" s="84">
        <v>72000000</v>
      </c>
      <c r="EP202" s="84">
        <v>71155000</v>
      </c>
      <c r="EQ202" s="84">
        <v>71155000</v>
      </c>
      <c r="ER202" s="84"/>
      <c r="ES202" s="84"/>
      <c r="ET202" s="83"/>
      <c r="EU202" s="83"/>
      <c r="EV202" s="83"/>
      <c r="EW202" s="81">
        <f t="shared" ref="EW202:EX204" si="418">DJ202+DN202+DS202+DX202+EB202+EF202+EJ202+EN202+ES202</f>
        <v>95481000</v>
      </c>
      <c r="EX202" s="86">
        <f t="shared" si="418"/>
        <v>112000000</v>
      </c>
      <c r="EY202" s="86">
        <f t="shared" ref="EY202:EZ204" si="419">DL202+DP202+DU202+DZ202+ED202+EH202+EL202+EP202+EU202</f>
        <v>109935000</v>
      </c>
      <c r="EZ202" s="86">
        <f t="shared" si="419"/>
        <v>109935000</v>
      </c>
      <c r="FA202" s="176"/>
      <c r="FB202" s="83"/>
      <c r="FC202" s="84"/>
      <c r="FD202" s="84"/>
      <c r="FE202" s="84"/>
      <c r="FF202" s="140"/>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v>98300000</v>
      </c>
      <c r="GL202" s="83">
        <f>112000000+7500000</f>
        <v>119500000</v>
      </c>
      <c r="GM202" s="83">
        <v>82885000</v>
      </c>
      <c r="GN202" s="83">
        <v>55315000</v>
      </c>
      <c r="GO202" s="83"/>
      <c r="GP202" s="83"/>
      <c r="GQ202" s="83"/>
      <c r="GR202" s="83"/>
      <c r="GS202" s="83"/>
      <c r="GT202" s="83"/>
      <c r="GU202" s="81">
        <f t="shared" ref="GU202:GY204" si="420">FB202+FG202+FL202+FQ202+FV202+GA202+GF202+GK202+GP202</f>
        <v>98300000</v>
      </c>
      <c r="GV202" s="81">
        <f t="shared" si="420"/>
        <v>119500000</v>
      </c>
      <c r="GW202" s="81">
        <f t="shared" si="420"/>
        <v>82885000</v>
      </c>
      <c r="GX202" s="81">
        <f t="shared" si="420"/>
        <v>55315000</v>
      </c>
      <c r="GY202" s="673">
        <f t="shared" si="420"/>
        <v>0</v>
      </c>
      <c r="GZ202" s="67">
        <f>BM202+DE202+EW202+GU202</f>
        <v>376481000</v>
      </c>
    </row>
    <row r="203" spans="1:208" ht="114.75" customHeight="1" x14ac:dyDescent="0.2">
      <c r="A203" s="326"/>
      <c r="B203" s="326"/>
      <c r="C203" s="279" t="s">
        <v>484</v>
      </c>
      <c r="D203" s="721" t="s">
        <v>485</v>
      </c>
      <c r="E203" s="1037">
        <v>1</v>
      </c>
      <c r="F203" s="1037">
        <v>1</v>
      </c>
      <c r="G203" s="265">
        <v>140</v>
      </c>
      <c r="H203" s="261" t="s">
        <v>486</v>
      </c>
      <c r="I203" s="275" t="s">
        <v>443</v>
      </c>
      <c r="J203" s="988" t="s">
        <v>444</v>
      </c>
      <c r="K203" s="988">
        <v>2</v>
      </c>
      <c r="L203" s="492" t="s">
        <v>58</v>
      </c>
      <c r="M203" s="264">
        <v>1</v>
      </c>
      <c r="N203" s="264">
        <v>1</v>
      </c>
      <c r="O203" s="475">
        <v>1</v>
      </c>
      <c r="P203" s="484">
        <v>1</v>
      </c>
      <c r="Q203" s="482">
        <v>1</v>
      </c>
      <c r="R203" s="268"/>
      <c r="S203" s="500">
        <v>0.9</v>
      </c>
      <c r="T203" s="482">
        <v>1</v>
      </c>
      <c r="U203" s="482"/>
      <c r="V203" s="499">
        <v>1</v>
      </c>
      <c r="W203" s="482">
        <v>1</v>
      </c>
      <c r="X203" s="492"/>
      <c r="Y203" s="646">
        <v>0.5</v>
      </c>
      <c r="Z203" s="493">
        <f>BM203/$BM$201</f>
        <v>0.17857142857142858</v>
      </c>
      <c r="AA203" s="264">
        <v>3</v>
      </c>
      <c r="AB203" s="347" t="s">
        <v>455</v>
      </c>
      <c r="AC203" s="66"/>
      <c r="AD203" s="55"/>
      <c r="AE203" s="54"/>
      <c r="AF203" s="54"/>
      <c r="AG203" s="66"/>
      <c r="AH203" s="55"/>
      <c r="AI203" s="55"/>
      <c r="AJ203" s="55"/>
      <c r="AK203" s="66"/>
      <c r="AL203" s="55"/>
      <c r="AM203" s="55"/>
      <c r="AN203" s="55"/>
      <c r="AO203" s="66"/>
      <c r="AP203" s="55"/>
      <c r="AQ203" s="55"/>
      <c r="AR203" s="55"/>
      <c r="AS203" s="66"/>
      <c r="AT203" s="55"/>
      <c r="AU203" s="54"/>
      <c r="AV203" s="54"/>
      <c r="AW203" s="66"/>
      <c r="AX203" s="55"/>
      <c r="AY203" s="55"/>
      <c r="AZ203" s="55"/>
      <c r="BA203" s="66"/>
      <c r="BB203" s="55"/>
      <c r="BC203" s="55"/>
      <c r="BD203" s="55"/>
      <c r="BE203" s="53">
        <v>25000000</v>
      </c>
      <c r="BF203" s="55">
        <v>25000000</v>
      </c>
      <c r="BG203" s="54">
        <v>17500000</v>
      </c>
      <c r="BH203" s="54">
        <v>17500000</v>
      </c>
      <c r="BI203" s="61"/>
      <c r="BJ203" s="54"/>
      <c r="BK203" s="54"/>
      <c r="BL203" s="55"/>
      <c r="BM203" s="53">
        <f>+AC203+AG203+AK203+AO203+AS203+AW203+BA203+BE203+BI203</f>
        <v>25000000</v>
      </c>
      <c r="BN203" s="54">
        <f t="shared" si="416"/>
        <v>25000000</v>
      </c>
      <c r="BO203" s="54">
        <f t="shared" si="416"/>
        <v>17500000</v>
      </c>
      <c r="BP203" s="54">
        <f t="shared" si="416"/>
        <v>17500000</v>
      </c>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c r="CM203" s="95"/>
      <c r="CN203" s="95"/>
      <c r="CO203" s="95"/>
      <c r="CP203" s="95"/>
      <c r="CQ203" s="95"/>
      <c r="CR203" s="95"/>
      <c r="CS203" s="95"/>
      <c r="CT203" s="95"/>
      <c r="CU203" s="95"/>
      <c r="CV203" s="84">
        <v>25750000</v>
      </c>
      <c r="CW203" s="83">
        <v>25750000</v>
      </c>
      <c r="CX203" s="83">
        <v>25550000</v>
      </c>
      <c r="CY203" s="83">
        <v>25550000</v>
      </c>
      <c r="CZ203" s="83"/>
      <c r="DA203" s="95"/>
      <c r="DB203" s="95"/>
      <c r="DC203" s="95"/>
      <c r="DD203" s="95"/>
      <c r="DE203" s="81">
        <f t="shared" si="417"/>
        <v>25750000</v>
      </c>
      <c r="DF203" s="95">
        <f t="shared" si="417"/>
        <v>25750000</v>
      </c>
      <c r="DG203" s="95">
        <f t="shared" si="417"/>
        <v>25550000</v>
      </c>
      <c r="DH203" s="95">
        <f t="shared" si="417"/>
        <v>25550000</v>
      </c>
      <c r="DI203" s="95"/>
      <c r="DJ203" s="84"/>
      <c r="DK203" s="65"/>
      <c r="DL203" s="84"/>
      <c r="DM203" s="84"/>
      <c r="DN203" s="84"/>
      <c r="DO203" s="84">
        <v>2500000</v>
      </c>
      <c r="DP203" s="84">
        <v>2500000</v>
      </c>
      <c r="DQ203" s="84">
        <v>2500000</v>
      </c>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v>26522500</v>
      </c>
      <c r="EO203" s="84">
        <v>24000000</v>
      </c>
      <c r="EP203" s="84">
        <v>24000000</v>
      </c>
      <c r="EQ203" s="84">
        <v>24000000</v>
      </c>
      <c r="ER203" s="84"/>
      <c r="ES203" s="84"/>
      <c r="ET203" s="83"/>
      <c r="EU203" s="83"/>
      <c r="EV203" s="83"/>
      <c r="EW203" s="81">
        <f t="shared" si="418"/>
        <v>26522500</v>
      </c>
      <c r="EX203" s="86">
        <f t="shared" si="418"/>
        <v>26500000</v>
      </c>
      <c r="EY203" s="86">
        <f t="shared" si="419"/>
        <v>26500000</v>
      </c>
      <c r="EZ203" s="86">
        <f t="shared" si="419"/>
        <v>26500000</v>
      </c>
      <c r="FA203" s="176"/>
      <c r="FB203" s="83"/>
      <c r="FC203" s="84"/>
      <c r="FD203" s="84"/>
      <c r="FE203" s="84"/>
      <c r="FF203" s="140"/>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v>27300000</v>
      </c>
      <c r="GL203" s="83">
        <v>28000000</v>
      </c>
      <c r="GM203" s="83">
        <v>13990000</v>
      </c>
      <c r="GN203" s="83">
        <v>11192000</v>
      </c>
      <c r="GO203" s="83"/>
      <c r="GP203" s="83"/>
      <c r="GQ203" s="83"/>
      <c r="GR203" s="83"/>
      <c r="GS203" s="83"/>
      <c r="GT203" s="83"/>
      <c r="GU203" s="81">
        <f t="shared" si="420"/>
        <v>27300000</v>
      </c>
      <c r="GV203" s="81">
        <f t="shared" si="420"/>
        <v>28000000</v>
      </c>
      <c r="GW203" s="81">
        <f t="shared" si="420"/>
        <v>13990000</v>
      </c>
      <c r="GX203" s="81">
        <f t="shared" si="420"/>
        <v>11192000</v>
      </c>
      <c r="GY203" s="673">
        <f t="shared" si="420"/>
        <v>0</v>
      </c>
      <c r="GZ203" s="67">
        <f>BM203+DE203+EW203+GU203</f>
        <v>104572500</v>
      </c>
    </row>
    <row r="204" spans="1:208" ht="114.75" customHeight="1" x14ac:dyDescent="0.2">
      <c r="A204" s="326"/>
      <c r="B204" s="326"/>
      <c r="C204" s="277"/>
      <c r="D204" s="501"/>
      <c r="E204" s="502"/>
      <c r="F204" s="502"/>
      <c r="G204" s="265">
        <v>141</v>
      </c>
      <c r="H204" s="261" t="s">
        <v>487</v>
      </c>
      <c r="I204" s="275" t="s">
        <v>443</v>
      </c>
      <c r="J204" s="988" t="s">
        <v>444</v>
      </c>
      <c r="K204" s="988">
        <v>2</v>
      </c>
      <c r="L204" s="482" t="s">
        <v>58</v>
      </c>
      <c r="M204" s="264" t="s">
        <v>53</v>
      </c>
      <c r="N204" s="264">
        <v>1</v>
      </c>
      <c r="O204" s="1032">
        <v>1</v>
      </c>
      <c r="P204" s="1033">
        <v>1</v>
      </c>
      <c r="Q204" s="487">
        <v>1</v>
      </c>
      <c r="R204" s="268"/>
      <c r="S204" s="488">
        <v>0.9</v>
      </c>
      <c r="T204" s="482">
        <v>1</v>
      </c>
      <c r="U204" s="482"/>
      <c r="V204" s="499">
        <v>1</v>
      </c>
      <c r="W204" s="482">
        <v>1</v>
      </c>
      <c r="X204" s="482"/>
      <c r="Y204" s="693">
        <v>0.5</v>
      </c>
      <c r="Z204" s="493">
        <f>BM204/$BM$201</f>
        <v>0.17857142857142858</v>
      </c>
      <c r="AA204" s="264">
        <v>3</v>
      </c>
      <c r="AB204" s="347" t="s">
        <v>455</v>
      </c>
      <c r="AC204" s="66"/>
      <c r="AD204" s="55"/>
      <c r="AE204" s="54"/>
      <c r="AF204" s="54"/>
      <c r="AG204" s="66"/>
      <c r="AH204" s="55"/>
      <c r="AI204" s="55"/>
      <c r="AJ204" s="55"/>
      <c r="AK204" s="66"/>
      <c r="AL204" s="55"/>
      <c r="AM204" s="55"/>
      <c r="AN204" s="55"/>
      <c r="AO204" s="66"/>
      <c r="AP204" s="55"/>
      <c r="AQ204" s="55"/>
      <c r="AR204" s="55"/>
      <c r="AS204" s="66"/>
      <c r="AT204" s="55"/>
      <c r="AU204" s="54"/>
      <c r="AV204" s="54"/>
      <c r="AW204" s="66"/>
      <c r="AX204" s="55"/>
      <c r="AY204" s="55"/>
      <c r="AZ204" s="55"/>
      <c r="BA204" s="66"/>
      <c r="BB204" s="55"/>
      <c r="BC204" s="55"/>
      <c r="BD204" s="55"/>
      <c r="BE204" s="53">
        <v>25000000</v>
      </c>
      <c r="BF204" s="55">
        <v>25000000</v>
      </c>
      <c r="BG204" s="54">
        <v>3750000</v>
      </c>
      <c r="BH204" s="54">
        <v>3750000</v>
      </c>
      <c r="BI204" s="61"/>
      <c r="BJ204" s="54"/>
      <c r="BK204" s="54"/>
      <c r="BL204" s="55"/>
      <c r="BM204" s="53">
        <f>+AC204+AG204+AK204+AO204+AS204+AW204+BA204+BE204+BI204</f>
        <v>25000000</v>
      </c>
      <c r="BN204" s="54">
        <f t="shared" si="416"/>
        <v>25000000</v>
      </c>
      <c r="BO204" s="54">
        <f t="shared" si="416"/>
        <v>3750000</v>
      </c>
      <c r="BP204" s="54">
        <f t="shared" si="416"/>
        <v>3750000</v>
      </c>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c r="CM204" s="95"/>
      <c r="CN204" s="95"/>
      <c r="CO204" s="95"/>
      <c r="CP204" s="95"/>
      <c r="CQ204" s="95"/>
      <c r="CR204" s="95"/>
      <c r="CS204" s="95"/>
      <c r="CT204" s="95"/>
      <c r="CU204" s="95"/>
      <c r="CV204" s="84">
        <v>25750000</v>
      </c>
      <c r="CW204" s="83">
        <v>25750000</v>
      </c>
      <c r="CX204" s="83">
        <v>25750000</v>
      </c>
      <c r="CY204" s="83">
        <v>25750000</v>
      </c>
      <c r="CZ204" s="83"/>
      <c r="DA204" s="95"/>
      <c r="DB204" s="95"/>
      <c r="DC204" s="95"/>
      <c r="DD204" s="95"/>
      <c r="DE204" s="81">
        <f t="shared" si="417"/>
        <v>25750000</v>
      </c>
      <c r="DF204" s="95">
        <f t="shared" si="417"/>
        <v>25750000</v>
      </c>
      <c r="DG204" s="95">
        <f t="shared" si="417"/>
        <v>25750000</v>
      </c>
      <c r="DH204" s="95">
        <f t="shared" si="417"/>
        <v>25750000</v>
      </c>
      <c r="DI204" s="95"/>
      <c r="DJ204" s="84"/>
      <c r="DK204" s="65"/>
      <c r="DL204" s="84"/>
      <c r="DM204" s="84"/>
      <c r="DN204" s="84"/>
      <c r="DO204" s="84">
        <v>2500000</v>
      </c>
      <c r="DP204" s="84">
        <v>2120000</v>
      </c>
      <c r="DQ204" s="84">
        <v>2120000</v>
      </c>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v>26522500</v>
      </c>
      <c r="EO204" s="84">
        <v>24000000</v>
      </c>
      <c r="EP204" s="84">
        <v>24000000</v>
      </c>
      <c r="EQ204" s="84">
        <v>24000000</v>
      </c>
      <c r="ER204" s="84"/>
      <c r="ES204" s="84"/>
      <c r="ET204" s="83"/>
      <c r="EU204" s="83"/>
      <c r="EV204" s="83"/>
      <c r="EW204" s="81">
        <f t="shared" si="418"/>
        <v>26522500</v>
      </c>
      <c r="EX204" s="86">
        <f t="shared" si="418"/>
        <v>26500000</v>
      </c>
      <c r="EY204" s="86">
        <f t="shared" si="419"/>
        <v>26120000</v>
      </c>
      <c r="EZ204" s="86">
        <f t="shared" si="419"/>
        <v>26120000</v>
      </c>
      <c r="FA204" s="176"/>
      <c r="FB204" s="83"/>
      <c r="FC204" s="84"/>
      <c r="FD204" s="84"/>
      <c r="FE204" s="84"/>
      <c r="FF204" s="140"/>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v>27381780</v>
      </c>
      <c r="GL204" s="83">
        <f>28000000+7500000</f>
        <v>35500000</v>
      </c>
      <c r="GM204" s="83">
        <v>13990000</v>
      </c>
      <c r="GN204" s="83">
        <v>5596000</v>
      </c>
      <c r="GO204" s="83"/>
      <c r="GP204" s="83"/>
      <c r="GQ204" s="83"/>
      <c r="GR204" s="83"/>
      <c r="GS204" s="83"/>
      <c r="GT204" s="83"/>
      <c r="GU204" s="81">
        <f t="shared" si="420"/>
        <v>27381780</v>
      </c>
      <c r="GV204" s="81">
        <f t="shared" si="420"/>
        <v>35500000</v>
      </c>
      <c r="GW204" s="81">
        <f t="shared" si="420"/>
        <v>13990000</v>
      </c>
      <c r="GX204" s="81">
        <f t="shared" si="420"/>
        <v>5596000</v>
      </c>
      <c r="GY204" s="673">
        <f t="shared" si="420"/>
        <v>0</v>
      </c>
      <c r="GZ204" s="67">
        <f>BM204+DE204+EW204+GU204</f>
        <v>104654280</v>
      </c>
    </row>
    <row r="205" spans="1:208" ht="24.75" customHeight="1" x14ac:dyDescent="0.2">
      <c r="A205" s="326"/>
      <c r="B205" s="326"/>
      <c r="C205" s="246">
        <v>40</v>
      </c>
      <c r="D205" s="247" t="s">
        <v>488</v>
      </c>
      <c r="E205" s="295"/>
      <c r="F205" s="295"/>
      <c r="G205" s="249"/>
      <c r="H205" s="249"/>
      <c r="I205" s="249"/>
      <c r="J205" s="249"/>
      <c r="K205" s="249"/>
      <c r="L205" s="249"/>
      <c r="M205" s="249"/>
      <c r="N205" s="249"/>
      <c r="O205" s="249"/>
      <c r="P205" s="249"/>
      <c r="Q205" s="249"/>
      <c r="R205" s="249"/>
      <c r="S205" s="249"/>
      <c r="T205" s="249"/>
      <c r="U205" s="249"/>
      <c r="V205" s="249"/>
      <c r="W205" s="249"/>
      <c r="X205" s="249"/>
      <c r="Y205" s="296"/>
      <c r="Z205" s="249"/>
      <c r="AA205" s="249"/>
      <c r="AB205" s="249"/>
      <c r="AC205" s="196">
        <f t="shared" ref="AC205:BL205" si="421">SUM(AC206:AC210)</f>
        <v>0</v>
      </c>
      <c r="AD205" s="196">
        <f t="shared" si="421"/>
        <v>0</v>
      </c>
      <c r="AE205" s="196">
        <f t="shared" si="421"/>
        <v>0</v>
      </c>
      <c r="AF205" s="196">
        <f t="shared" si="421"/>
        <v>0</v>
      </c>
      <c r="AG205" s="196">
        <f t="shared" si="421"/>
        <v>0</v>
      </c>
      <c r="AH205" s="196">
        <f t="shared" si="421"/>
        <v>30000000</v>
      </c>
      <c r="AI205" s="196">
        <f t="shared" si="421"/>
        <v>3534550</v>
      </c>
      <c r="AJ205" s="196">
        <f t="shared" si="421"/>
        <v>3534550</v>
      </c>
      <c r="AK205" s="196">
        <f t="shared" si="421"/>
        <v>0</v>
      </c>
      <c r="AL205" s="196">
        <f t="shared" si="421"/>
        <v>0</v>
      </c>
      <c r="AM205" s="196">
        <f t="shared" si="421"/>
        <v>0</v>
      </c>
      <c r="AN205" s="196">
        <f t="shared" si="421"/>
        <v>0</v>
      </c>
      <c r="AO205" s="196">
        <f t="shared" si="421"/>
        <v>7383</v>
      </c>
      <c r="AP205" s="196">
        <f t="shared" si="421"/>
        <v>295344126</v>
      </c>
      <c r="AQ205" s="196">
        <f t="shared" si="421"/>
        <v>101394245</v>
      </c>
      <c r="AR205" s="196">
        <f t="shared" si="421"/>
        <v>101394245</v>
      </c>
      <c r="AS205" s="196">
        <f t="shared" si="421"/>
        <v>0</v>
      </c>
      <c r="AT205" s="196">
        <f t="shared" si="421"/>
        <v>0</v>
      </c>
      <c r="AU205" s="196">
        <f t="shared" si="421"/>
        <v>0</v>
      </c>
      <c r="AV205" s="196">
        <f t="shared" si="421"/>
        <v>0</v>
      </c>
      <c r="AW205" s="196">
        <f t="shared" si="421"/>
        <v>0</v>
      </c>
      <c r="AX205" s="196">
        <f t="shared" si="421"/>
        <v>0</v>
      </c>
      <c r="AY205" s="196">
        <f t="shared" si="421"/>
        <v>0</v>
      </c>
      <c r="AZ205" s="196">
        <f t="shared" si="421"/>
        <v>0</v>
      </c>
      <c r="BA205" s="196">
        <f t="shared" si="421"/>
        <v>0</v>
      </c>
      <c r="BB205" s="196">
        <f t="shared" si="421"/>
        <v>0</v>
      </c>
      <c r="BC205" s="196">
        <f t="shared" si="421"/>
        <v>0</v>
      </c>
      <c r="BD205" s="196">
        <f t="shared" si="421"/>
        <v>0</v>
      </c>
      <c r="BE205" s="196">
        <f t="shared" si="421"/>
        <v>307812279</v>
      </c>
      <c r="BF205" s="196">
        <f t="shared" si="421"/>
        <v>307812279</v>
      </c>
      <c r="BG205" s="196">
        <f t="shared" si="421"/>
        <v>186143333</v>
      </c>
      <c r="BH205" s="196">
        <f t="shared" si="421"/>
        <v>186143333</v>
      </c>
      <c r="BI205" s="196">
        <f t="shared" si="421"/>
        <v>0</v>
      </c>
      <c r="BJ205" s="196">
        <f t="shared" si="421"/>
        <v>0</v>
      </c>
      <c r="BK205" s="196">
        <f t="shared" si="421"/>
        <v>0</v>
      </c>
      <c r="BL205" s="196">
        <f t="shared" si="421"/>
        <v>0</v>
      </c>
      <c r="BM205" s="196">
        <f t="shared" ref="BM205:DX205" si="422">SUM(BM206:BM210)</f>
        <v>307819662</v>
      </c>
      <c r="BN205" s="196">
        <f t="shared" si="422"/>
        <v>633156405</v>
      </c>
      <c r="BO205" s="196">
        <f t="shared" si="422"/>
        <v>291072128</v>
      </c>
      <c r="BP205" s="196">
        <f t="shared" si="422"/>
        <v>291072128</v>
      </c>
      <c r="BQ205" s="196">
        <f t="shared" si="422"/>
        <v>0</v>
      </c>
      <c r="BR205" s="196">
        <f t="shared" si="422"/>
        <v>0</v>
      </c>
      <c r="BS205" s="196">
        <f t="shared" si="422"/>
        <v>0</v>
      </c>
      <c r="BT205" s="196">
        <f t="shared" si="422"/>
        <v>0</v>
      </c>
      <c r="BU205" s="196">
        <f t="shared" si="422"/>
        <v>0</v>
      </c>
      <c r="BV205" s="196">
        <f t="shared" si="422"/>
        <v>100000000</v>
      </c>
      <c r="BW205" s="196">
        <f t="shared" si="422"/>
        <v>96170948</v>
      </c>
      <c r="BX205" s="196">
        <f t="shared" si="422"/>
        <v>91711083</v>
      </c>
      <c r="BY205" s="196">
        <f t="shared" si="422"/>
        <v>0</v>
      </c>
      <c r="BZ205" s="196">
        <f t="shared" si="422"/>
        <v>0</v>
      </c>
      <c r="CA205" s="196">
        <f t="shared" si="422"/>
        <v>0</v>
      </c>
      <c r="CB205" s="196">
        <f t="shared" si="422"/>
        <v>0</v>
      </c>
      <c r="CC205" s="196">
        <f t="shared" si="422"/>
        <v>0</v>
      </c>
      <c r="CD205" s="196">
        <f t="shared" si="422"/>
        <v>0</v>
      </c>
      <c r="CE205" s="196">
        <f t="shared" si="422"/>
        <v>0</v>
      </c>
      <c r="CF205" s="196">
        <f t="shared" si="422"/>
        <v>407432105</v>
      </c>
      <c r="CG205" s="196">
        <f t="shared" si="422"/>
        <v>157383990</v>
      </c>
      <c r="CH205" s="196">
        <f t="shared" si="422"/>
        <v>157383990</v>
      </c>
      <c r="CI205" s="196">
        <f t="shared" si="422"/>
        <v>0</v>
      </c>
      <c r="CJ205" s="196">
        <f t="shared" si="422"/>
        <v>0</v>
      </c>
      <c r="CK205" s="196">
        <f t="shared" si="422"/>
        <v>0</v>
      </c>
      <c r="CL205" s="196">
        <f t="shared" si="422"/>
        <v>0</v>
      </c>
      <c r="CM205" s="196">
        <f t="shared" si="422"/>
        <v>0</v>
      </c>
      <c r="CN205" s="196">
        <f t="shared" si="422"/>
        <v>0</v>
      </c>
      <c r="CO205" s="196">
        <f t="shared" si="422"/>
        <v>0</v>
      </c>
      <c r="CP205" s="196">
        <f t="shared" si="422"/>
        <v>0</v>
      </c>
      <c r="CQ205" s="196">
        <f t="shared" si="422"/>
        <v>0</v>
      </c>
      <c r="CR205" s="196">
        <f t="shared" si="422"/>
        <v>0</v>
      </c>
      <c r="CS205" s="196">
        <f t="shared" si="422"/>
        <v>0</v>
      </c>
      <c r="CT205" s="196">
        <f t="shared" si="422"/>
        <v>0</v>
      </c>
      <c r="CU205" s="196">
        <f t="shared" si="422"/>
        <v>0</v>
      </c>
      <c r="CV205" s="196">
        <f t="shared" si="422"/>
        <v>189234597.36018443</v>
      </c>
      <c r="CW205" s="196">
        <f t="shared" si="422"/>
        <v>289234596.99691093</v>
      </c>
      <c r="CX205" s="196">
        <f t="shared" si="422"/>
        <v>248422135</v>
      </c>
      <c r="CY205" s="196">
        <f t="shared" si="422"/>
        <v>245627000</v>
      </c>
      <c r="CZ205" s="196">
        <f t="shared" si="422"/>
        <v>0</v>
      </c>
      <c r="DA205" s="196">
        <f t="shared" si="422"/>
        <v>0</v>
      </c>
      <c r="DB205" s="196">
        <f t="shared" si="422"/>
        <v>0</v>
      </c>
      <c r="DC205" s="196">
        <f t="shared" si="422"/>
        <v>0</v>
      </c>
      <c r="DD205" s="196">
        <f t="shared" si="422"/>
        <v>0</v>
      </c>
      <c r="DE205" s="196">
        <f t="shared" si="422"/>
        <v>189234597.00000003</v>
      </c>
      <c r="DF205" s="196">
        <f t="shared" si="422"/>
        <v>796666701.99691093</v>
      </c>
      <c r="DG205" s="196">
        <f t="shared" si="422"/>
        <v>501977073</v>
      </c>
      <c r="DH205" s="196">
        <f t="shared" si="422"/>
        <v>494722073</v>
      </c>
      <c r="DI205" s="196">
        <f t="shared" si="422"/>
        <v>0</v>
      </c>
      <c r="DJ205" s="196">
        <f t="shared" si="422"/>
        <v>0</v>
      </c>
      <c r="DK205" s="196">
        <f t="shared" si="422"/>
        <v>0</v>
      </c>
      <c r="DL205" s="196">
        <f t="shared" si="422"/>
        <v>0</v>
      </c>
      <c r="DM205" s="196">
        <f t="shared" si="422"/>
        <v>0</v>
      </c>
      <c r="DN205" s="196">
        <f t="shared" si="422"/>
        <v>0</v>
      </c>
      <c r="DO205" s="196">
        <f t="shared" si="422"/>
        <v>277966570</v>
      </c>
      <c r="DP205" s="196">
        <f t="shared" si="422"/>
        <v>106880109</v>
      </c>
      <c r="DQ205" s="196">
        <f t="shared" si="422"/>
        <v>106880109</v>
      </c>
      <c r="DR205" s="196">
        <f t="shared" si="422"/>
        <v>0</v>
      </c>
      <c r="DS205" s="196">
        <f t="shared" si="422"/>
        <v>0</v>
      </c>
      <c r="DT205" s="196">
        <f t="shared" si="422"/>
        <v>0</v>
      </c>
      <c r="DU205" s="196">
        <f t="shared" si="422"/>
        <v>0</v>
      </c>
      <c r="DV205" s="196">
        <f t="shared" si="422"/>
        <v>0</v>
      </c>
      <c r="DW205" s="196">
        <f t="shared" si="422"/>
        <v>0</v>
      </c>
      <c r="DX205" s="196">
        <f t="shared" si="422"/>
        <v>0</v>
      </c>
      <c r="DY205" s="196">
        <f t="shared" ref="DY205:EW205" si="423">SUM(DY206:DY210)</f>
        <v>418782940</v>
      </c>
      <c r="DZ205" s="196">
        <f t="shared" si="423"/>
        <v>351463748</v>
      </c>
      <c r="EA205" s="196">
        <f t="shared" si="423"/>
        <v>351463748</v>
      </c>
      <c r="EB205" s="196">
        <f t="shared" si="423"/>
        <v>0</v>
      </c>
      <c r="EC205" s="196">
        <f t="shared" si="423"/>
        <v>0</v>
      </c>
      <c r="ED205" s="196">
        <f t="shared" si="423"/>
        <v>0</v>
      </c>
      <c r="EE205" s="196">
        <f t="shared" si="423"/>
        <v>0</v>
      </c>
      <c r="EF205" s="196">
        <f t="shared" si="423"/>
        <v>0</v>
      </c>
      <c r="EG205" s="196">
        <f t="shared" si="423"/>
        <v>0</v>
      </c>
      <c r="EH205" s="196">
        <f t="shared" si="423"/>
        <v>0</v>
      </c>
      <c r="EI205" s="196">
        <f t="shared" si="423"/>
        <v>0</v>
      </c>
      <c r="EJ205" s="196">
        <f t="shared" si="423"/>
        <v>0</v>
      </c>
      <c r="EK205" s="196">
        <f t="shared" si="423"/>
        <v>0</v>
      </c>
      <c r="EL205" s="196">
        <f t="shared" si="423"/>
        <v>0</v>
      </c>
      <c r="EM205" s="196">
        <f t="shared" si="423"/>
        <v>0</v>
      </c>
      <c r="EN205" s="196">
        <f t="shared" si="423"/>
        <v>194911635</v>
      </c>
      <c r="EO205" s="196">
        <f t="shared" si="423"/>
        <v>381611111.06999999</v>
      </c>
      <c r="EP205" s="196">
        <f t="shared" si="423"/>
        <v>305347959</v>
      </c>
      <c r="EQ205" s="196">
        <f t="shared" si="423"/>
        <v>305347959</v>
      </c>
      <c r="ER205" s="196">
        <f t="shared" si="423"/>
        <v>0</v>
      </c>
      <c r="ES205" s="196">
        <f t="shared" si="423"/>
        <v>0</v>
      </c>
      <c r="ET205" s="196">
        <f t="shared" si="423"/>
        <v>0</v>
      </c>
      <c r="EU205" s="196">
        <f t="shared" si="423"/>
        <v>0</v>
      </c>
      <c r="EV205" s="196">
        <f t="shared" si="423"/>
        <v>0</v>
      </c>
      <c r="EW205" s="196">
        <f t="shared" si="423"/>
        <v>194911635</v>
      </c>
      <c r="EX205" s="196">
        <f t="shared" ref="EX205:GZ205" si="424">SUM(EX206:EX210)</f>
        <v>1078360621.0699999</v>
      </c>
      <c r="EY205" s="196">
        <f t="shared" si="424"/>
        <v>763691816</v>
      </c>
      <c r="EZ205" s="196">
        <f t="shared" si="424"/>
        <v>763691816</v>
      </c>
      <c r="FA205" s="196">
        <f t="shared" si="424"/>
        <v>0</v>
      </c>
      <c r="FB205" s="196">
        <f t="shared" si="424"/>
        <v>0</v>
      </c>
      <c r="FC205" s="196">
        <f t="shared" si="424"/>
        <v>0</v>
      </c>
      <c r="FD205" s="196">
        <f t="shared" si="424"/>
        <v>0</v>
      </c>
      <c r="FE205" s="196">
        <f t="shared" si="424"/>
        <v>0</v>
      </c>
      <c r="FF205" s="196">
        <f t="shared" si="424"/>
        <v>0</v>
      </c>
      <c r="FG205" s="196">
        <f t="shared" si="424"/>
        <v>0</v>
      </c>
      <c r="FH205" s="196">
        <f t="shared" si="424"/>
        <v>89681009</v>
      </c>
      <c r="FI205" s="196">
        <f t="shared" si="424"/>
        <v>64055773</v>
      </c>
      <c r="FJ205" s="196">
        <f t="shared" si="424"/>
        <v>42719400</v>
      </c>
      <c r="FK205" s="196">
        <f t="shared" si="424"/>
        <v>0</v>
      </c>
      <c r="FL205" s="196">
        <f t="shared" si="424"/>
        <v>0</v>
      </c>
      <c r="FM205" s="196">
        <f t="shared" si="424"/>
        <v>80000000</v>
      </c>
      <c r="FN205" s="196">
        <f t="shared" si="424"/>
        <v>34600886</v>
      </c>
      <c r="FO205" s="196">
        <f t="shared" si="424"/>
        <v>29600886</v>
      </c>
      <c r="FP205" s="196">
        <f t="shared" si="424"/>
        <v>0</v>
      </c>
      <c r="FQ205" s="196">
        <f t="shared" si="424"/>
        <v>0</v>
      </c>
      <c r="FR205" s="196">
        <f t="shared" si="424"/>
        <v>422445905</v>
      </c>
      <c r="FS205" s="196">
        <f t="shared" si="424"/>
        <v>114015728</v>
      </c>
      <c r="FT205" s="196">
        <f t="shared" si="424"/>
        <v>82819683</v>
      </c>
      <c r="FU205" s="196">
        <f t="shared" si="424"/>
        <v>0</v>
      </c>
      <c r="FV205" s="196">
        <f t="shared" si="424"/>
        <v>0</v>
      </c>
      <c r="FW205" s="196">
        <f t="shared" si="424"/>
        <v>0</v>
      </c>
      <c r="FX205" s="196">
        <f t="shared" si="424"/>
        <v>0</v>
      </c>
      <c r="FY205" s="196">
        <f t="shared" si="424"/>
        <v>0</v>
      </c>
      <c r="FZ205" s="196">
        <f t="shared" si="424"/>
        <v>0</v>
      </c>
      <c r="GA205" s="196">
        <f t="shared" si="424"/>
        <v>0</v>
      </c>
      <c r="GB205" s="196">
        <f t="shared" si="424"/>
        <v>0</v>
      </c>
      <c r="GC205" s="196">
        <f t="shared" si="424"/>
        <v>0</v>
      </c>
      <c r="GD205" s="196">
        <f t="shared" si="424"/>
        <v>0</v>
      </c>
      <c r="GE205" s="196">
        <f t="shared" si="424"/>
        <v>0</v>
      </c>
      <c r="GF205" s="196">
        <f t="shared" si="424"/>
        <v>0</v>
      </c>
      <c r="GG205" s="196">
        <f t="shared" si="424"/>
        <v>0</v>
      </c>
      <c r="GH205" s="196">
        <f t="shared" si="424"/>
        <v>0</v>
      </c>
      <c r="GI205" s="196">
        <f t="shared" si="424"/>
        <v>0</v>
      </c>
      <c r="GJ205" s="196">
        <f t="shared" si="424"/>
        <v>0</v>
      </c>
      <c r="GK205" s="196">
        <f t="shared" si="424"/>
        <v>200758984.00142908</v>
      </c>
      <c r="GL205" s="196">
        <f t="shared" si="424"/>
        <v>345502000</v>
      </c>
      <c r="GM205" s="196">
        <f t="shared" si="424"/>
        <v>217244000</v>
      </c>
      <c r="GN205" s="196">
        <f t="shared" si="424"/>
        <v>156176000</v>
      </c>
      <c r="GO205" s="196">
        <f t="shared" si="424"/>
        <v>0</v>
      </c>
      <c r="GP205" s="196">
        <f t="shared" si="424"/>
        <v>0</v>
      </c>
      <c r="GQ205" s="196">
        <f t="shared" si="424"/>
        <v>0</v>
      </c>
      <c r="GR205" s="196">
        <f t="shared" si="424"/>
        <v>0</v>
      </c>
      <c r="GS205" s="196">
        <f t="shared" si="424"/>
        <v>0</v>
      </c>
      <c r="GT205" s="196">
        <f t="shared" si="424"/>
        <v>0</v>
      </c>
      <c r="GU205" s="196">
        <f t="shared" si="424"/>
        <v>200758984.00142908</v>
      </c>
      <c r="GV205" s="196">
        <f t="shared" si="424"/>
        <v>937628914</v>
      </c>
      <c r="GW205" s="196">
        <f t="shared" si="424"/>
        <v>429916387</v>
      </c>
      <c r="GX205" s="196">
        <f t="shared" si="424"/>
        <v>311315969</v>
      </c>
      <c r="GY205" s="196">
        <f t="shared" si="424"/>
        <v>0</v>
      </c>
      <c r="GZ205" s="186">
        <f t="shared" si="424"/>
        <v>892724878.00142908</v>
      </c>
    </row>
    <row r="206" spans="1:208" ht="95.25" customHeight="1" x14ac:dyDescent="0.2">
      <c r="A206" s="326"/>
      <c r="B206" s="326"/>
      <c r="C206" s="456">
        <v>25</v>
      </c>
      <c r="D206" s="721" t="s">
        <v>489</v>
      </c>
      <c r="E206" s="988" t="s">
        <v>490</v>
      </c>
      <c r="F206" s="619" t="s">
        <v>491</v>
      </c>
      <c r="G206" s="265">
        <v>142</v>
      </c>
      <c r="H206" s="261" t="s">
        <v>492</v>
      </c>
      <c r="I206" s="258" t="s">
        <v>493</v>
      </c>
      <c r="J206" s="988" t="s">
        <v>444</v>
      </c>
      <c r="K206" s="988">
        <v>2</v>
      </c>
      <c r="L206" s="492" t="s">
        <v>58</v>
      </c>
      <c r="M206" s="264" t="s">
        <v>53</v>
      </c>
      <c r="N206" s="264">
        <v>12</v>
      </c>
      <c r="O206" s="496">
        <v>12</v>
      </c>
      <c r="P206" s="497">
        <v>12</v>
      </c>
      <c r="Q206" s="491">
        <v>12</v>
      </c>
      <c r="R206" s="268"/>
      <c r="S206" s="499">
        <v>12</v>
      </c>
      <c r="T206" s="491">
        <v>12</v>
      </c>
      <c r="U206" s="491"/>
      <c r="V206" s="499">
        <v>9</v>
      </c>
      <c r="W206" s="491">
        <v>12</v>
      </c>
      <c r="X206" s="492"/>
      <c r="Y206" s="645">
        <v>6</v>
      </c>
      <c r="Z206" s="493">
        <f>BM206/$BM$205</f>
        <v>3.2486553766666149E-2</v>
      </c>
      <c r="AA206" s="265">
        <v>3</v>
      </c>
      <c r="AB206" s="345" t="s">
        <v>455</v>
      </c>
      <c r="AC206" s="66"/>
      <c r="AD206" s="55"/>
      <c r="AE206" s="54"/>
      <c r="AF206" s="54"/>
      <c r="AG206" s="66"/>
      <c r="AH206" s="55"/>
      <c r="AI206" s="55"/>
      <c r="AJ206" s="55"/>
      <c r="AK206" s="66"/>
      <c r="AL206" s="55"/>
      <c r="AM206" s="55"/>
      <c r="AN206" s="55"/>
      <c r="AO206" s="66"/>
      <c r="AP206" s="55"/>
      <c r="AQ206" s="55"/>
      <c r="AR206" s="55"/>
      <c r="AS206" s="66"/>
      <c r="AT206" s="55"/>
      <c r="AU206" s="54"/>
      <c r="AV206" s="54"/>
      <c r="AW206" s="66"/>
      <c r="AX206" s="55"/>
      <c r="AY206" s="55"/>
      <c r="AZ206" s="55"/>
      <c r="BA206" s="66"/>
      <c r="BB206" s="55"/>
      <c r="BC206" s="55"/>
      <c r="BD206" s="55"/>
      <c r="BE206" s="66">
        <v>10000000</v>
      </c>
      <c r="BF206" s="55">
        <v>10000000</v>
      </c>
      <c r="BG206" s="54">
        <v>9650000</v>
      </c>
      <c r="BH206" s="54">
        <v>9650000</v>
      </c>
      <c r="BI206" s="66"/>
      <c r="BJ206" s="55"/>
      <c r="BK206" s="55"/>
      <c r="BL206" s="55"/>
      <c r="BM206" s="53">
        <f>+AC206+AG206+AK206+AO206+AS206+AW206+BA206+BE206+BI206</f>
        <v>10000000</v>
      </c>
      <c r="BN206" s="54">
        <f t="shared" ref="BN206:BP210" si="425">AD206+AH206+AL206+AP206+AT206+AX206+BB206+BF206+BJ206</f>
        <v>10000000</v>
      </c>
      <c r="BO206" s="54">
        <f t="shared" si="425"/>
        <v>9650000</v>
      </c>
      <c r="BP206" s="54">
        <f t="shared" si="425"/>
        <v>9650000</v>
      </c>
      <c r="BQ206" s="83"/>
      <c r="BR206" s="83"/>
      <c r="BS206" s="83"/>
      <c r="BT206" s="83"/>
      <c r="BU206" s="83"/>
      <c r="BV206" s="82">
        <v>56000000</v>
      </c>
      <c r="BW206" s="83">
        <v>53125000</v>
      </c>
      <c r="BX206" s="83">
        <v>53125000</v>
      </c>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4">
        <v>6147579.9099539006</v>
      </c>
      <c r="CW206" s="83">
        <v>6147580</v>
      </c>
      <c r="CX206" s="83">
        <v>0</v>
      </c>
      <c r="CY206" s="83">
        <v>0</v>
      </c>
      <c r="CZ206" s="83"/>
      <c r="DA206" s="83"/>
      <c r="DB206" s="83"/>
      <c r="DC206" s="83"/>
      <c r="DD206" s="83"/>
      <c r="DE206" s="81">
        <f t="shared" ref="DE206:DH209" si="426">BQ206+BU206+BZ206+CE206+CI206+CM206+CQ206+CV206+DA206</f>
        <v>6147579.9099539006</v>
      </c>
      <c r="DF206" s="95">
        <f t="shared" si="426"/>
        <v>62147580</v>
      </c>
      <c r="DG206" s="95">
        <f t="shared" si="426"/>
        <v>53125000</v>
      </c>
      <c r="DH206" s="95">
        <f t="shared" si="426"/>
        <v>53125000</v>
      </c>
      <c r="DI206" s="95"/>
      <c r="DJ206" s="84"/>
      <c r="DK206" s="65"/>
      <c r="DL206" s="84"/>
      <c r="DM206" s="84"/>
      <c r="DN206" s="84"/>
      <c r="DO206" s="84">
        <v>27000000</v>
      </c>
      <c r="DP206" s="84">
        <v>27000000</v>
      </c>
      <c r="DQ206" s="84">
        <v>27000000</v>
      </c>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v>6300000</v>
      </c>
      <c r="EO206" s="84">
        <v>80000000</v>
      </c>
      <c r="EP206" s="84">
        <v>79890664</v>
      </c>
      <c r="EQ206" s="84">
        <v>79890664</v>
      </c>
      <c r="ER206" s="84"/>
      <c r="ES206" s="84"/>
      <c r="ET206" s="83"/>
      <c r="EU206" s="83"/>
      <c r="EV206" s="83"/>
      <c r="EW206" s="81">
        <f t="shared" ref="EW206:EX210" si="427">DJ206+DN206+DS206+DX206+EB206+EF206+EJ206+EN206+ES206</f>
        <v>6300000</v>
      </c>
      <c r="EX206" s="86">
        <f t="shared" si="427"/>
        <v>107000000</v>
      </c>
      <c r="EY206" s="86">
        <f t="shared" ref="EY206:EZ210" si="428">DL206+DP206+DU206+DZ206+ED206+EH206+EL206+EP206+EU206</f>
        <v>106890664</v>
      </c>
      <c r="EZ206" s="86">
        <f t="shared" si="428"/>
        <v>106890664</v>
      </c>
      <c r="FA206" s="176"/>
      <c r="FB206" s="83"/>
      <c r="FC206" s="84"/>
      <c r="FD206" s="84"/>
      <c r="FE206" s="84"/>
      <c r="FF206" s="140"/>
      <c r="FG206" s="83"/>
      <c r="FH206" s="83">
        <v>9000000</v>
      </c>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v>6500000</v>
      </c>
      <c r="GL206" s="83">
        <v>103702000</v>
      </c>
      <c r="GM206" s="83">
        <v>62055000</v>
      </c>
      <c r="GN206" s="83">
        <v>49644000</v>
      </c>
      <c r="GO206" s="83"/>
      <c r="GP206" s="84"/>
      <c r="GQ206" s="83"/>
      <c r="GR206" s="83"/>
      <c r="GS206" s="83"/>
      <c r="GT206" s="83"/>
      <c r="GU206" s="81">
        <f t="shared" ref="GU206:GY210" si="429">FB206+FG206+FL206+FQ206+FV206+GA206+GF206+GK206+GP206</f>
        <v>6500000</v>
      </c>
      <c r="GV206" s="81">
        <f t="shared" si="429"/>
        <v>112702000</v>
      </c>
      <c r="GW206" s="81">
        <f t="shared" si="429"/>
        <v>62055000</v>
      </c>
      <c r="GX206" s="81">
        <f t="shared" si="429"/>
        <v>49644000</v>
      </c>
      <c r="GY206" s="673">
        <f t="shared" si="429"/>
        <v>0</v>
      </c>
      <c r="GZ206" s="67">
        <f>BM206+DE206+EW206+GU206</f>
        <v>28947579.9099539</v>
      </c>
    </row>
    <row r="207" spans="1:208" ht="217.5" customHeight="1" x14ac:dyDescent="0.2">
      <c r="A207" s="326"/>
      <c r="B207" s="326"/>
      <c r="C207" s="288" t="s">
        <v>494</v>
      </c>
      <c r="D207" s="258" t="s">
        <v>495</v>
      </c>
      <c r="E207" s="265">
        <v>10</v>
      </c>
      <c r="F207" s="265" t="s">
        <v>496</v>
      </c>
      <c r="G207" s="265">
        <v>143</v>
      </c>
      <c r="H207" s="261" t="s">
        <v>497</v>
      </c>
      <c r="I207" s="258" t="s">
        <v>498</v>
      </c>
      <c r="J207" s="988" t="s">
        <v>444</v>
      </c>
      <c r="K207" s="897">
        <v>2</v>
      </c>
      <c r="L207" s="492" t="s">
        <v>58</v>
      </c>
      <c r="M207" s="264">
        <v>1</v>
      </c>
      <c r="N207" s="264">
        <v>1</v>
      </c>
      <c r="O207" s="475">
        <v>1</v>
      </c>
      <c r="P207" s="484">
        <v>1</v>
      </c>
      <c r="Q207" s="482">
        <v>1</v>
      </c>
      <c r="R207" s="268"/>
      <c r="S207" s="480">
        <v>1</v>
      </c>
      <c r="T207" s="482">
        <v>1</v>
      </c>
      <c r="U207" s="482"/>
      <c r="V207" s="480">
        <v>1</v>
      </c>
      <c r="W207" s="690">
        <v>1</v>
      </c>
      <c r="X207" s="691"/>
      <c r="Y207" s="692">
        <v>0.6</v>
      </c>
      <c r="Z207" s="493">
        <f>BM207/$BM$205</f>
        <v>0</v>
      </c>
      <c r="AA207" s="265">
        <v>3</v>
      </c>
      <c r="AB207" s="345" t="s">
        <v>455</v>
      </c>
      <c r="AC207" s="66"/>
      <c r="AD207" s="55"/>
      <c r="AE207" s="54"/>
      <c r="AF207" s="54"/>
      <c r="AG207" s="66"/>
      <c r="AH207" s="55"/>
      <c r="AI207" s="55"/>
      <c r="AJ207" s="55"/>
      <c r="AK207" s="66"/>
      <c r="AL207" s="55"/>
      <c r="AM207" s="55"/>
      <c r="AN207" s="55"/>
      <c r="AO207" s="66"/>
      <c r="AP207" s="55"/>
      <c r="AQ207" s="55"/>
      <c r="AR207" s="55"/>
      <c r="AS207" s="66"/>
      <c r="AT207" s="55"/>
      <c r="AU207" s="54"/>
      <c r="AV207" s="54"/>
      <c r="AW207" s="66"/>
      <c r="AX207" s="55"/>
      <c r="AY207" s="55"/>
      <c r="AZ207" s="55"/>
      <c r="BA207" s="66"/>
      <c r="BB207" s="55"/>
      <c r="BC207" s="55"/>
      <c r="BD207" s="55"/>
      <c r="BE207" s="66"/>
      <c r="BF207" s="55"/>
      <c r="BG207" s="54"/>
      <c r="BH207" s="54"/>
      <c r="BI207" s="66"/>
      <c r="BJ207" s="55"/>
      <c r="BK207" s="55"/>
      <c r="BL207" s="55"/>
      <c r="BM207" s="53">
        <f>+AC207+AG207+AK207+AO207+AS207+AW207+BA207+BE207+BI207</f>
        <v>0</v>
      </c>
      <c r="BN207" s="54">
        <f t="shared" si="425"/>
        <v>0</v>
      </c>
      <c r="BO207" s="54">
        <f t="shared" si="425"/>
        <v>0</v>
      </c>
      <c r="BP207" s="54">
        <f t="shared" si="425"/>
        <v>0</v>
      </c>
      <c r="BQ207" s="83"/>
      <c r="BR207" s="83"/>
      <c r="BS207" s="83"/>
      <c r="BT207" s="83"/>
      <c r="BU207" s="83"/>
      <c r="BV207" s="82">
        <v>20000000</v>
      </c>
      <c r="BW207" s="83">
        <v>19045948</v>
      </c>
      <c r="BX207" s="83">
        <v>19045948</v>
      </c>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4">
        <v>0</v>
      </c>
      <c r="CW207" s="83"/>
      <c r="CX207" s="83"/>
      <c r="CY207" s="83"/>
      <c r="CZ207" s="83"/>
      <c r="DA207" s="83"/>
      <c r="DB207" s="83"/>
      <c r="DC207" s="83"/>
      <c r="DD207" s="83"/>
      <c r="DE207" s="81">
        <f t="shared" si="426"/>
        <v>0</v>
      </c>
      <c r="DF207" s="95">
        <f t="shared" si="426"/>
        <v>20000000</v>
      </c>
      <c r="DG207" s="95">
        <f t="shared" si="426"/>
        <v>19045948</v>
      </c>
      <c r="DH207" s="95">
        <f t="shared" si="426"/>
        <v>19045948</v>
      </c>
      <c r="DI207" s="95"/>
      <c r="DJ207" s="84"/>
      <c r="DK207" s="65"/>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v>35000000</v>
      </c>
      <c r="EP207" s="84">
        <v>18569300</v>
      </c>
      <c r="EQ207" s="84">
        <v>18569300</v>
      </c>
      <c r="ER207" s="84"/>
      <c r="ES207" s="84"/>
      <c r="ET207" s="83"/>
      <c r="EU207" s="83"/>
      <c r="EV207" s="83"/>
      <c r="EW207" s="81">
        <f t="shared" si="427"/>
        <v>0</v>
      </c>
      <c r="EX207" s="86">
        <f t="shared" si="427"/>
        <v>35000000</v>
      </c>
      <c r="EY207" s="86">
        <f t="shared" si="428"/>
        <v>18569300</v>
      </c>
      <c r="EZ207" s="86">
        <f t="shared" si="428"/>
        <v>18569300</v>
      </c>
      <c r="FA207" s="176"/>
      <c r="FB207" s="83"/>
      <c r="FC207" s="84"/>
      <c r="FD207" s="84"/>
      <c r="FE207" s="84"/>
      <c r="FF207" s="140"/>
      <c r="FG207" s="83"/>
      <c r="FH207" s="83">
        <v>28403914</v>
      </c>
      <c r="FI207" s="83">
        <v>21336373</v>
      </c>
      <c r="FJ207" s="83">
        <v>0</v>
      </c>
      <c r="FK207" s="83"/>
      <c r="FL207" s="83"/>
      <c r="FM207" s="83">
        <v>10000000</v>
      </c>
      <c r="FN207" s="83">
        <v>8955000</v>
      </c>
      <c r="FO207" s="83">
        <v>8955000</v>
      </c>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v>0</v>
      </c>
      <c r="GL207" s="83"/>
      <c r="GM207" s="83"/>
      <c r="GN207" s="83"/>
      <c r="GO207" s="83"/>
      <c r="GP207" s="84"/>
      <c r="GQ207" s="83"/>
      <c r="GR207" s="83"/>
      <c r="GS207" s="83"/>
      <c r="GT207" s="83"/>
      <c r="GU207" s="81">
        <f t="shared" si="429"/>
        <v>0</v>
      </c>
      <c r="GV207" s="81">
        <f t="shared" si="429"/>
        <v>38403914</v>
      </c>
      <c r="GW207" s="81">
        <f t="shared" si="429"/>
        <v>30291373</v>
      </c>
      <c r="GX207" s="81">
        <f t="shared" si="429"/>
        <v>8955000</v>
      </c>
      <c r="GY207" s="673">
        <f t="shared" si="429"/>
        <v>0</v>
      </c>
      <c r="GZ207" s="67">
        <f>BM207+DE207+EW207+GU207</f>
        <v>0</v>
      </c>
    </row>
    <row r="208" spans="1:208" ht="343.5" customHeight="1" x14ac:dyDescent="0.2">
      <c r="A208" s="326"/>
      <c r="B208" s="326"/>
      <c r="C208" s="288">
        <v>25</v>
      </c>
      <c r="D208" s="459" t="s">
        <v>489</v>
      </c>
      <c r="E208" s="265" t="s">
        <v>490</v>
      </c>
      <c r="F208" s="619" t="s">
        <v>491</v>
      </c>
      <c r="G208" s="265">
        <v>144</v>
      </c>
      <c r="H208" s="261" t="s">
        <v>499</v>
      </c>
      <c r="I208" s="258" t="s">
        <v>500</v>
      </c>
      <c r="J208" s="988" t="s">
        <v>444</v>
      </c>
      <c r="K208" s="988">
        <v>2</v>
      </c>
      <c r="L208" s="492" t="s">
        <v>58</v>
      </c>
      <c r="M208" s="264">
        <v>5</v>
      </c>
      <c r="N208" s="264">
        <v>5</v>
      </c>
      <c r="O208" s="475">
        <v>5</v>
      </c>
      <c r="P208" s="484">
        <v>4</v>
      </c>
      <c r="Q208" s="482">
        <v>5</v>
      </c>
      <c r="R208" s="268"/>
      <c r="S208" s="480">
        <v>5</v>
      </c>
      <c r="T208" s="482">
        <v>5</v>
      </c>
      <c r="U208" s="482"/>
      <c r="V208" s="480">
        <v>4</v>
      </c>
      <c r="W208" s="482">
        <v>5</v>
      </c>
      <c r="X208" s="492"/>
      <c r="Y208" s="645">
        <v>4</v>
      </c>
      <c r="Z208" s="493">
        <f>BM208/$BM$205</f>
        <v>0.58182362632832729</v>
      </c>
      <c r="AA208" s="265">
        <v>3</v>
      </c>
      <c r="AB208" s="345" t="s">
        <v>455</v>
      </c>
      <c r="AC208" s="66"/>
      <c r="AD208" s="55"/>
      <c r="AE208" s="54"/>
      <c r="AF208" s="54"/>
      <c r="AG208" s="66"/>
      <c r="AH208" s="55">
        <v>30000000</v>
      </c>
      <c r="AI208" s="55">
        <v>3534550</v>
      </c>
      <c r="AJ208" s="55">
        <v>3534550</v>
      </c>
      <c r="AK208" s="66"/>
      <c r="AL208" s="55"/>
      <c r="AM208" s="55"/>
      <c r="AN208" s="55"/>
      <c r="AO208" s="57">
        <v>7383</v>
      </c>
      <c r="AP208" s="58">
        <v>132046856</v>
      </c>
      <c r="AQ208" s="58"/>
      <c r="AR208" s="55"/>
      <c r="AS208" s="66"/>
      <c r="AT208" s="55"/>
      <c r="AU208" s="54"/>
      <c r="AV208" s="54"/>
      <c r="AW208" s="66"/>
      <c r="AX208" s="55"/>
      <c r="AY208" s="55"/>
      <c r="AZ208" s="55"/>
      <c r="BA208" s="66"/>
      <c r="BB208" s="55"/>
      <c r="BC208" s="55"/>
      <c r="BD208" s="55"/>
      <c r="BE208" s="66">
        <f>77600000+101489369</f>
        <v>179089369</v>
      </c>
      <c r="BF208" s="55">
        <v>179089369</v>
      </c>
      <c r="BG208" s="54">
        <v>119500000</v>
      </c>
      <c r="BH208" s="54">
        <v>119500000</v>
      </c>
      <c r="BI208" s="66"/>
      <c r="BJ208" s="55"/>
      <c r="BK208" s="55"/>
      <c r="BL208" s="55"/>
      <c r="BM208" s="53">
        <f>+AC208+AG208+AK208+AO208+AS208+AW208+BA208+BE208+BI208</f>
        <v>179096752</v>
      </c>
      <c r="BN208" s="54">
        <f t="shared" si="425"/>
        <v>341136225</v>
      </c>
      <c r="BO208" s="54">
        <f t="shared" si="425"/>
        <v>123034550</v>
      </c>
      <c r="BP208" s="54">
        <f t="shared" si="425"/>
        <v>123034550</v>
      </c>
      <c r="BQ208" s="83"/>
      <c r="BR208" s="83"/>
      <c r="BS208" s="83"/>
      <c r="BT208" s="83"/>
      <c r="BU208" s="83"/>
      <c r="BV208" s="82">
        <v>24000000</v>
      </c>
      <c r="BW208" s="83">
        <v>24000000</v>
      </c>
      <c r="BX208" s="83">
        <v>19540135</v>
      </c>
      <c r="BY208" s="83"/>
      <c r="BZ208" s="83"/>
      <c r="CA208" s="83"/>
      <c r="CB208" s="83"/>
      <c r="CC208" s="83"/>
      <c r="CD208" s="83"/>
      <c r="CE208" s="83"/>
      <c r="CF208" s="82">
        <v>238136825</v>
      </c>
      <c r="CG208" s="83">
        <v>12710390</v>
      </c>
      <c r="CH208" s="83">
        <v>12710390</v>
      </c>
      <c r="CI208" s="83"/>
      <c r="CJ208" s="83"/>
      <c r="CK208" s="83"/>
      <c r="CL208" s="83"/>
      <c r="CM208" s="83"/>
      <c r="CN208" s="83"/>
      <c r="CO208" s="83"/>
      <c r="CP208" s="83"/>
      <c r="CQ208" s="83"/>
      <c r="CR208" s="83"/>
      <c r="CS208" s="83"/>
      <c r="CT208" s="83"/>
      <c r="CU208" s="83"/>
      <c r="CV208" s="84">
        <v>110101159.45331961</v>
      </c>
      <c r="CW208" s="83">
        <v>170101159</v>
      </c>
      <c r="CX208" s="83">
        <v>146822135</v>
      </c>
      <c r="CY208" s="83">
        <v>144027000</v>
      </c>
      <c r="CZ208" s="83"/>
      <c r="DA208" s="83"/>
      <c r="DB208" s="83"/>
      <c r="DC208" s="83"/>
      <c r="DD208" s="83"/>
      <c r="DE208" s="81">
        <f t="shared" si="426"/>
        <v>110101159.45331961</v>
      </c>
      <c r="DF208" s="95">
        <f t="shared" si="426"/>
        <v>432237984</v>
      </c>
      <c r="DG208" s="95">
        <f t="shared" si="426"/>
        <v>183532525</v>
      </c>
      <c r="DH208" s="95">
        <f t="shared" si="426"/>
        <v>176277525</v>
      </c>
      <c r="DI208" s="95"/>
      <c r="DJ208" s="84"/>
      <c r="DK208" s="65"/>
      <c r="DL208" s="84"/>
      <c r="DM208" s="84"/>
      <c r="DN208" s="84"/>
      <c r="DO208" s="84">
        <v>244966570</v>
      </c>
      <c r="DP208" s="84">
        <v>79880109</v>
      </c>
      <c r="DQ208" s="84">
        <v>79880109</v>
      </c>
      <c r="DR208" s="84"/>
      <c r="DS208" s="84"/>
      <c r="DT208" s="84"/>
      <c r="DU208" s="84"/>
      <c r="DV208" s="84"/>
      <c r="DW208" s="84"/>
      <c r="DX208" s="84"/>
      <c r="DY208" s="65">
        <v>244408802</v>
      </c>
      <c r="DZ208" s="84">
        <v>178709080</v>
      </c>
      <c r="EA208" s="84">
        <v>178709080</v>
      </c>
      <c r="EB208" s="84"/>
      <c r="EC208" s="84"/>
      <c r="ED208" s="84"/>
      <c r="EE208" s="84"/>
      <c r="EF208" s="84"/>
      <c r="EG208" s="84"/>
      <c r="EH208" s="84"/>
      <c r="EI208" s="84"/>
      <c r="EJ208" s="84"/>
      <c r="EK208" s="84"/>
      <c r="EL208" s="84"/>
      <c r="EM208" s="84"/>
      <c r="EN208" s="84">
        <v>113400000</v>
      </c>
      <c r="EO208" s="84">
        <v>106036549.06999999</v>
      </c>
      <c r="EP208" s="84">
        <v>67271999</v>
      </c>
      <c r="EQ208" s="84">
        <v>67271999</v>
      </c>
      <c r="ER208" s="84"/>
      <c r="ES208" s="84"/>
      <c r="ET208" s="83"/>
      <c r="EU208" s="83"/>
      <c r="EV208" s="83"/>
      <c r="EW208" s="81">
        <f t="shared" si="427"/>
        <v>113400000</v>
      </c>
      <c r="EX208" s="85">
        <f t="shared" si="427"/>
        <v>595411921.06999993</v>
      </c>
      <c r="EY208" s="86">
        <f t="shared" si="428"/>
        <v>325861188</v>
      </c>
      <c r="EZ208" s="86">
        <f t="shared" si="428"/>
        <v>325861188</v>
      </c>
      <c r="FA208" s="176"/>
      <c r="FB208" s="83"/>
      <c r="FC208" s="84"/>
      <c r="FD208" s="84"/>
      <c r="FE208" s="84"/>
      <c r="FF208" s="140"/>
      <c r="FG208" s="83"/>
      <c r="FH208" s="83">
        <f>25631640+9557695</f>
        <v>35189335</v>
      </c>
      <c r="FI208" s="83">
        <v>25631640</v>
      </c>
      <c r="FJ208" s="83">
        <v>25631640</v>
      </c>
      <c r="FK208" s="83"/>
      <c r="FL208" s="83"/>
      <c r="FM208" s="83">
        <v>70000000</v>
      </c>
      <c r="FN208" s="83">
        <v>25645886</v>
      </c>
      <c r="FO208" s="83">
        <v>20645886</v>
      </c>
      <c r="FP208" s="83"/>
      <c r="FQ208" s="83"/>
      <c r="FR208" s="83">
        <v>242840543</v>
      </c>
      <c r="FS208" s="83">
        <v>43034728</v>
      </c>
      <c r="FT208" s="83">
        <v>40085683</v>
      </c>
      <c r="FU208" s="83"/>
      <c r="FV208" s="83"/>
      <c r="FW208" s="83"/>
      <c r="FX208" s="83"/>
      <c r="FY208" s="83"/>
      <c r="FZ208" s="83"/>
      <c r="GA208" s="83"/>
      <c r="GB208" s="83"/>
      <c r="GC208" s="83"/>
      <c r="GD208" s="83"/>
      <c r="GE208" s="83"/>
      <c r="GF208" s="83"/>
      <c r="GG208" s="83"/>
      <c r="GH208" s="83"/>
      <c r="GI208" s="83"/>
      <c r="GJ208" s="83"/>
      <c r="GK208" s="83">
        <v>116800000</v>
      </c>
      <c r="GL208" s="83">
        <v>97200000</v>
      </c>
      <c r="GM208" s="83">
        <v>58765000</v>
      </c>
      <c r="GN208" s="83">
        <v>43430000</v>
      </c>
      <c r="GO208" s="83"/>
      <c r="GP208" s="84"/>
      <c r="GQ208" s="83"/>
      <c r="GR208" s="83"/>
      <c r="GS208" s="83"/>
      <c r="GT208" s="83"/>
      <c r="GU208" s="81">
        <f t="shared" si="429"/>
        <v>116800000</v>
      </c>
      <c r="GV208" s="81">
        <f t="shared" si="429"/>
        <v>445229878</v>
      </c>
      <c r="GW208" s="81">
        <f t="shared" si="429"/>
        <v>153077254</v>
      </c>
      <c r="GX208" s="81">
        <f t="shared" si="429"/>
        <v>129793209</v>
      </c>
      <c r="GY208" s="673">
        <f t="shared" si="429"/>
        <v>0</v>
      </c>
      <c r="GZ208" s="67">
        <f>BM208+DE208+EW208+GU208</f>
        <v>519397911.45331961</v>
      </c>
    </row>
    <row r="209" spans="1:208" ht="95.25" customHeight="1" x14ac:dyDescent="0.2">
      <c r="A209" s="326"/>
      <c r="B209" s="326"/>
      <c r="C209" s="288" t="s">
        <v>501</v>
      </c>
      <c r="D209" s="258" t="s">
        <v>502</v>
      </c>
      <c r="E209" s="265" t="s">
        <v>503</v>
      </c>
      <c r="F209" s="280">
        <v>0.8</v>
      </c>
      <c r="G209" s="265">
        <v>145</v>
      </c>
      <c r="H209" s="261" t="s">
        <v>504</v>
      </c>
      <c r="I209" s="258" t="s">
        <v>443</v>
      </c>
      <c r="J209" s="988" t="s">
        <v>444</v>
      </c>
      <c r="K209" s="988">
        <v>2</v>
      </c>
      <c r="L209" s="492" t="s">
        <v>58</v>
      </c>
      <c r="M209" s="503" t="s">
        <v>53</v>
      </c>
      <c r="N209" s="504">
        <v>1</v>
      </c>
      <c r="O209" s="475">
        <v>1</v>
      </c>
      <c r="P209" s="484">
        <v>1</v>
      </c>
      <c r="Q209" s="482">
        <v>1</v>
      </c>
      <c r="R209" s="268"/>
      <c r="S209" s="480">
        <v>1</v>
      </c>
      <c r="T209" s="482">
        <v>1</v>
      </c>
      <c r="U209" s="482"/>
      <c r="V209" s="480">
        <v>1</v>
      </c>
      <c r="W209" s="482">
        <v>1</v>
      </c>
      <c r="X209" s="492"/>
      <c r="Y209" s="646">
        <v>0.6</v>
      </c>
      <c r="Z209" s="493">
        <f>BM209/$BM$205</f>
        <v>0.25574360483834202</v>
      </c>
      <c r="AA209" s="265">
        <v>3</v>
      </c>
      <c r="AB209" s="345" t="s">
        <v>455</v>
      </c>
      <c r="AC209" s="66"/>
      <c r="AD209" s="55"/>
      <c r="AE209" s="54"/>
      <c r="AF209" s="54"/>
      <c r="AG209" s="66"/>
      <c r="AH209" s="55"/>
      <c r="AI209" s="55"/>
      <c r="AJ209" s="55"/>
      <c r="AK209" s="66"/>
      <c r="AL209" s="55"/>
      <c r="AM209" s="55"/>
      <c r="AN209" s="55"/>
      <c r="AO209" s="66"/>
      <c r="AP209" s="55"/>
      <c r="AQ209" s="55"/>
      <c r="AR209" s="55"/>
      <c r="AS209" s="66"/>
      <c r="AT209" s="55"/>
      <c r="AU209" s="54"/>
      <c r="AV209" s="54"/>
      <c r="AW209" s="66"/>
      <c r="AX209" s="55"/>
      <c r="AY209" s="55"/>
      <c r="AZ209" s="55"/>
      <c r="BA209" s="66"/>
      <c r="BB209" s="55"/>
      <c r="BC209" s="55"/>
      <c r="BD209" s="55"/>
      <c r="BE209" s="66">
        <v>78722910</v>
      </c>
      <c r="BF209" s="55">
        <v>78722910</v>
      </c>
      <c r="BG209" s="54">
        <v>28893333</v>
      </c>
      <c r="BH209" s="54">
        <v>28893333</v>
      </c>
      <c r="BI209" s="66"/>
      <c r="BJ209" s="55"/>
      <c r="BK209" s="55"/>
      <c r="BL209" s="55"/>
      <c r="BM209" s="53">
        <f>+AC209+AG209+AK209+AO209+AS209+AW209+BA209+BE209+BI209</f>
        <v>78722910</v>
      </c>
      <c r="BN209" s="54">
        <f t="shared" si="425"/>
        <v>78722910</v>
      </c>
      <c r="BO209" s="54">
        <f t="shared" si="425"/>
        <v>28893333</v>
      </c>
      <c r="BP209" s="54">
        <f t="shared" si="425"/>
        <v>28893333</v>
      </c>
      <c r="BQ209" s="83"/>
      <c r="BR209" s="83"/>
      <c r="BS209" s="83"/>
      <c r="BT209" s="83"/>
      <c r="BU209" s="83"/>
      <c r="BV209" s="82"/>
      <c r="BW209" s="83"/>
      <c r="BX209" s="83"/>
      <c r="BY209" s="83"/>
      <c r="BZ209" s="83"/>
      <c r="CA209" s="83"/>
      <c r="CB209" s="83"/>
      <c r="CC209" s="83"/>
      <c r="CD209" s="83"/>
      <c r="CE209" s="83"/>
      <c r="CF209" s="82"/>
      <c r="CG209" s="83"/>
      <c r="CH209" s="83"/>
      <c r="CI209" s="83"/>
      <c r="CJ209" s="83"/>
      <c r="CK209" s="83"/>
      <c r="CL209" s="83"/>
      <c r="CM209" s="83"/>
      <c r="CN209" s="83"/>
      <c r="CO209" s="83"/>
      <c r="CP209" s="83"/>
      <c r="CQ209" s="83"/>
      <c r="CR209" s="83"/>
      <c r="CS209" s="83"/>
      <c r="CT209" s="83"/>
      <c r="CU209" s="83"/>
      <c r="CV209" s="97">
        <v>48395537.9969109</v>
      </c>
      <c r="CW209" s="83">
        <v>88395537.9969109</v>
      </c>
      <c r="CX209" s="83">
        <v>77840000</v>
      </c>
      <c r="CY209" s="83">
        <v>77840000</v>
      </c>
      <c r="CZ209" s="83"/>
      <c r="DA209" s="83"/>
      <c r="DB209" s="83"/>
      <c r="DC209" s="83"/>
      <c r="DD209" s="83"/>
      <c r="DE209" s="81">
        <f t="shared" si="426"/>
        <v>48395537.9969109</v>
      </c>
      <c r="DF209" s="95">
        <f t="shared" si="426"/>
        <v>88395537.9969109</v>
      </c>
      <c r="DG209" s="95">
        <f t="shared" si="426"/>
        <v>77840000</v>
      </c>
      <c r="DH209" s="95">
        <f t="shared" si="426"/>
        <v>77840000</v>
      </c>
      <c r="DI209" s="95"/>
      <c r="DJ209" s="84"/>
      <c r="DK209" s="65"/>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v>49800000</v>
      </c>
      <c r="EO209" s="84">
        <v>110574562</v>
      </c>
      <c r="EP209" s="84">
        <v>89660000</v>
      </c>
      <c r="EQ209" s="84">
        <v>89660000</v>
      </c>
      <c r="ER209" s="84"/>
      <c r="ES209" s="84"/>
      <c r="ET209" s="83"/>
      <c r="EU209" s="83"/>
      <c r="EV209" s="83"/>
      <c r="EW209" s="81">
        <f t="shared" si="427"/>
        <v>49800000</v>
      </c>
      <c r="EX209" s="86">
        <f t="shared" si="427"/>
        <v>110574562</v>
      </c>
      <c r="EY209" s="86">
        <f t="shared" si="428"/>
        <v>89660000</v>
      </c>
      <c r="EZ209" s="86">
        <f t="shared" si="428"/>
        <v>89660000</v>
      </c>
      <c r="FA209" s="176"/>
      <c r="FB209" s="83"/>
      <c r="FC209" s="84"/>
      <c r="FD209" s="84"/>
      <c r="FE209" s="84"/>
      <c r="FF209" s="140"/>
      <c r="FG209" s="83"/>
      <c r="FH209" s="83">
        <v>17087760</v>
      </c>
      <c r="FI209" s="83">
        <v>17087760</v>
      </c>
      <c r="FJ209" s="83">
        <v>17087760</v>
      </c>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v>51300000</v>
      </c>
      <c r="GL209" s="83">
        <v>99600000</v>
      </c>
      <c r="GM209" s="83">
        <v>60410000</v>
      </c>
      <c r="GN209" s="83">
        <v>46537000</v>
      </c>
      <c r="GO209" s="83"/>
      <c r="GP209" s="84"/>
      <c r="GQ209" s="83"/>
      <c r="GR209" s="83"/>
      <c r="GS209" s="83"/>
      <c r="GT209" s="83"/>
      <c r="GU209" s="81">
        <f t="shared" si="429"/>
        <v>51300000</v>
      </c>
      <c r="GV209" s="81">
        <f t="shared" si="429"/>
        <v>116687760</v>
      </c>
      <c r="GW209" s="81">
        <f t="shared" si="429"/>
        <v>77497760</v>
      </c>
      <c r="GX209" s="81">
        <f t="shared" si="429"/>
        <v>63624760</v>
      </c>
      <c r="GY209" s="673">
        <f t="shared" si="429"/>
        <v>0</v>
      </c>
      <c r="GZ209" s="67">
        <f>BM209+DE209+EW209+GU209</f>
        <v>228218447.9969109</v>
      </c>
    </row>
    <row r="210" spans="1:208" ht="189.75" customHeight="1" x14ac:dyDescent="0.2">
      <c r="A210" s="326"/>
      <c r="B210" s="326"/>
      <c r="C210" s="277" t="s">
        <v>505</v>
      </c>
      <c r="D210" s="258" t="s">
        <v>506</v>
      </c>
      <c r="E210" s="280">
        <v>0.68</v>
      </c>
      <c r="F210" s="280">
        <v>0.73</v>
      </c>
      <c r="G210" s="265">
        <v>146</v>
      </c>
      <c r="H210" s="261" t="s">
        <v>507</v>
      </c>
      <c r="I210" s="258" t="s">
        <v>508</v>
      </c>
      <c r="J210" s="988" t="s">
        <v>444</v>
      </c>
      <c r="K210" s="988">
        <v>2</v>
      </c>
      <c r="L210" s="492" t="s">
        <v>58</v>
      </c>
      <c r="M210" s="264" t="s">
        <v>53</v>
      </c>
      <c r="N210" s="264">
        <v>1</v>
      </c>
      <c r="O210" s="475">
        <v>1</v>
      </c>
      <c r="P210" s="484">
        <v>1</v>
      </c>
      <c r="Q210" s="482">
        <v>1</v>
      </c>
      <c r="R210" s="268"/>
      <c r="S210" s="500">
        <v>0.9</v>
      </c>
      <c r="T210" s="482">
        <v>1</v>
      </c>
      <c r="U210" s="482"/>
      <c r="V210" s="480">
        <v>1</v>
      </c>
      <c r="W210" s="482">
        <v>1</v>
      </c>
      <c r="X210" s="492"/>
      <c r="Y210" s="646">
        <v>0.5</v>
      </c>
      <c r="Z210" s="493">
        <f>BM210/$BM$205</f>
        <v>0.12994621506666459</v>
      </c>
      <c r="AA210" s="265">
        <v>3</v>
      </c>
      <c r="AB210" s="345" t="s">
        <v>455</v>
      </c>
      <c r="AC210" s="66"/>
      <c r="AD210" s="55"/>
      <c r="AE210" s="54"/>
      <c r="AF210" s="54"/>
      <c r="AG210" s="66"/>
      <c r="AH210" s="55"/>
      <c r="AI210" s="55"/>
      <c r="AJ210" s="55"/>
      <c r="AK210" s="66"/>
      <c r="AL210" s="55"/>
      <c r="AM210" s="55"/>
      <c r="AN210" s="55"/>
      <c r="AO210" s="56"/>
      <c r="AP210" s="55">
        <v>163297270</v>
      </c>
      <c r="AQ210" s="55">
        <v>101394245</v>
      </c>
      <c r="AR210" s="55">
        <v>101394245</v>
      </c>
      <c r="AS210" s="66"/>
      <c r="AT210" s="55"/>
      <c r="AU210" s="54"/>
      <c r="AV210" s="54"/>
      <c r="AW210" s="66"/>
      <c r="AX210" s="55"/>
      <c r="AY210" s="55"/>
      <c r="AZ210" s="55"/>
      <c r="BA210" s="66"/>
      <c r="BB210" s="55"/>
      <c r="BC210" s="55"/>
      <c r="BD210" s="55"/>
      <c r="BE210" s="55">
        <v>40000000</v>
      </c>
      <c r="BF210" s="55">
        <v>40000000</v>
      </c>
      <c r="BG210" s="54">
        <v>28100000</v>
      </c>
      <c r="BH210" s="54">
        <v>28100000</v>
      </c>
      <c r="BI210" s="66"/>
      <c r="BJ210" s="55"/>
      <c r="BK210" s="55"/>
      <c r="BL210" s="55"/>
      <c r="BM210" s="53">
        <f>+AC210+AG210+AK210+AO210+AS210+AW210+BA210+BE210+BI210</f>
        <v>40000000</v>
      </c>
      <c r="BN210" s="54">
        <f t="shared" si="425"/>
        <v>203297270</v>
      </c>
      <c r="BO210" s="54">
        <f t="shared" si="425"/>
        <v>129494245</v>
      </c>
      <c r="BP210" s="54">
        <f t="shared" si="425"/>
        <v>129494245</v>
      </c>
      <c r="BQ210" s="83">
        <v>0</v>
      </c>
      <c r="BR210" s="83">
        <v>0</v>
      </c>
      <c r="BS210" s="83">
        <v>0</v>
      </c>
      <c r="BT210" s="83">
        <v>0</v>
      </c>
      <c r="BU210" s="83">
        <v>0</v>
      </c>
      <c r="BV210" s="56"/>
      <c r="BW210" s="83">
        <v>0</v>
      </c>
      <c r="BX210" s="83">
        <v>0</v>
      </c>
      <c r="BY210" s="83"/>
      <c r="BZ210" s="83"/>
      <c r="CA210" s="83">
        <v>0</v>
      </c>
      <c r="CB210" s="83">
        <v>0</v>
      </c>
      <c r="CC210" s="83"/>
      <c r="CD210" s="83"/>
      <c r="CE210" s="83"/>
      <c r="CF210" s="82">
        <v>169295280</v>
      </c>
      <c r="CG210" s="83">
        <v>144673600</v>
      </c>
      <c r="CH210" s="83">
        <v>144673600</v>
      </c>
      <c r="CI210" s="83"/>
      <c r="CJ210" s="83"/>
      <c r="CK210" s="83"/>
      <c r="CL210" s="83"/>
      <c r="CM210" s="83"/>
      <c r="CN210" s="83"/>
      <c r="CO210" s="83"/>
      <c r="CP210" s="83"/>
      <c r="CQ210" s="83"/>
      <c r="CR210" s="83"/>
      <c r="CS210" s="83"/>
      <c r="CT210" s="83"/>
      <c r="CU210" s="83"/>
      <c r="CV210" s="84">
        <v>24590320</v>
      </c>
      <c r="CW210" s="83">
        <v>24590320</v>
      </c>
      <c r="CX210" s="83">
        <v>23760000</v>
      </c>
      <c r="CY210" s="83">
        <v>23760000</v>
      </c>
      <c r="CZ210" s="83"/>
      <c r="DA210" s="83"/>
      <c r="DB210" s="83"/>
      <c r="DC210" s="83"/>
      <c r="DD210" s="83"/>
      <c r="DE210" s="81">
        <v>24590319.639815602</v>
      </c>
      <c r="DF210" s="95">
        <f>BR210+BV210+CA210+CF210+CJ210+CN210+CR210+CW210+DB210</f>
        <v>193885600</v>
      </c>
      <c r="DG210" s="95">
        <f>BS210+BW210+CB210+CG210+CK210+CO210+CS210+CX210+DC210</f>
        <v>168433600</v>
      </c>
      <c r="DH210" s="95">
        <f>BT210+BX210+CC210+CH210+CL210+CP210+CT210+CY210+DD210</f>
        <v>168433600</v>
      </c>
      <c r="DI210" s="95"/>
      <c r="DJ210" s="84"/>
      <c r="DK210" s="65"/>
      <c r="DL210" s="84"/>
      <c r="DM210" s="84"/>
      <c r="DN210" s="84"/>
      <c r="DO210" s="84">
        <v>6000000</v>
      </c>
      <c r="DP210" s="84"/>
      <c r="DQ210" s="84"/>
      <c r="DR210" s="84"/>
      <c r="DS210" s="84"/>
      <c r="DT210" s="84"/>
      <c r="DU210" s="84"/>
      <c r="DV210" s="84"/>
      <c r="DW210" s="84"/>
      <c r="DX210" s="84"/>
      <c r="DY210" s="84">
        <v>174374138</v>
      </c>
      <c r="DZ210" s="84">
        <v>172754668</v>
      </c>
      <c r="EA210" s="84">
        <v>172754668</v>
      </c>
      <c r="EB210" s="84"/>
      <c r="EC210" s="84"/>
      <c r="ED210" s="84"/>
      <c r="EE210" s="84"/>
      <c r="EF210" s="84"/>
      <c r="EG210" s="84"/>
      <c r="EH210" s="84"/>
      <c r="EI210" s="84"/>
      <c r="EJ210" s="84"/>
      <c r="EK210" s="84"/>
      <c r="EL210" s="84"/>
      <c r="EM210" s="84"/>
      <c r="EN210" s="84">
        <v>25411635</v>
      </c>
      <c r="EO210" s="84">
        <v>50000000</v>
      </c>
      <c r="EP210" s="84">
        <v>49955996</v>
      </c>
      <c r="EQ210" s="84">
        <v>49955996</v>
      </c>
      <c r="ER210" s="84"/>
      <c r="ES210" s="84"/>
      <c r="ET210" s="83"/>
      <c r="EU210" s="83"/>
      <c r="EV210" s="83"/>
      <c r="EW210" s="81">
        <f t="shared" si="427"/>
        <v>25411635</v>
      </c>
      <c r="EX210" s="86">
        <f t="shared" si="427"/>
        <v>230374138</v>
      </c>
      <c r="EY210" s="86">
        <f t="shared" si="428"/>
        <v>222710664</v>
      </c>
      <c r="EZ210" s="86">
        <f t="shared" si="428"/>
        <v>222710664</v>
      </c>
      <c r="FA210" s="176"/>
      <c r="FB210" s="83"/>
      <c r="FC210" s="84"/>
      <c r="FD210" s="84"/>
      <c r="FE210" s="84"/>
      <c r="FF210" s="140"/>
      <c r="FG210" s="83"/>
      <c r="FH210" s="83"/>
      <c r="FI210" s="83"/>
      <c r="FJ210" s="83"/>
      <c r="FK210" s="83"/>
      <c r="FL210" s="83"/>
      <c r="FM210" s="83"/>
      <c r="FN210" s="83"/>
      <c r="FO210" s="83"/>
      <c r="FP210" s="83"/>
      <c r="FQ210" s="83"/>
      <c r="FR210" s="83">
        <v>179605362</v>
      </c>
      <c r="FS210" s="83">
        <v>70981000</v>
      </c>
      <c r="FT210" s="83">
        <v>42734000</v>
      </c>
      <c r="FU210" s="83"/>
      <c r="FV210" s="83"/>
      <c r="FW210" s="83"/>
      <c r="FX210" s="83"/>
      <c r="FY210" s="83"/>
      <c r="FZ210" s="83"/>
      <c r="GA210" s="83"/>
      <c r="GB210" s="83"/>
      <c r="GC210" s="83"/>
      <c r="GD210" s="83"/>
      <c r="GE210" s="83"/>
      <c r="GF210" s="83"/>
      <c r="GG210" s="83"/>
      <c r="GH210" s="83"/>
      <c r="GI210" s="83"/>
      <c r="GJ210" s="83"/>
      <c r="GK210" s="83">
        <v>26158984.001429077</v>
      </c>
      <c r="GL210" s="83">
        <f>42000000+3000000</f>
        <v>45000000</v>
      </c>
      <c r="GM210" s="83">
        <v>36014000</v>
      </c>
      <c r="GN210" s="83">
        <v>16565000</v>
      </c>
      <c r="GO210" s="83"/>
      <c r="GP210" s="84"/>
      <c r="GQ210" s="83"/>
      <c r="GR210" s="83"/>
      <c r="GS210" s="83"/>
      <c r="GT210" s="83"/>
      <c r="GU210" s="81">
        <f t="shared" si="429"/>
        <v>26158984.001429077</v>
      </c>
      <c r="GV210" s="81">
        <f t="shared" si="429"/>
        <v>224605362</v>
      </c>
      <c r="GW210" s="81">
        <f t="shared" si="429"/>
        <v>106995000</v>
      </c>
      <c r="GX210" s="81">
        <f t="shared" si="429"/>
        <v>59299000</v>
      </c>
      <c r="GY210" s="673">
        <f t="shared" si="429"/>
        <v>0</v>
      </c>
      <c r="GZ210" s="67">
        <f>BM210+DE210+EW210+GU210</f>
        <v>116160938.64124468</v>
      </c>
    </row>
    <row r="211" spans="1:208" ht="24.75" customHeight="1" x14ac:dyDescent="0.2">
      <c r="A211" s="326"/>
      <c r="B211" s="326"/>
      <c r="C211" s="246">
        <v>41</v>
      </c>
      <c r="D211" s="247" t="s">
        <v>509</v>
      </c>
      <c r="E211" s="294"/>
      <c r="F211" s="295"/>
      <c r="G211" s="249"/>
      <c r="H211" s="249"/>
      <c r="I211" s="249"/>
      <c r="J211" s="249"/>
      <c r="K211" s="249"/>
      <c r="L211" s="249"/>
      <c r="M211" s="249"/>
      <c r="N211" s="249"/>
      <c r="O211" s="249"/>
      <c r="P211" s="249"/>
      <c r="Q211" s="249"/>
      <c r="R211" s="249"/>
      <c r="S211" s="249"/>
      <c r="T211" s="249"/>
      <c r="U211" s="249"/>
      <c r="V211" s="249"/>
      <c r="W211" s="249"/>
      <c r="X211" s="249"/>
      <c r="Y211" s="296"/>
      <c r="Z211" s="249"/>
      <c r="AA211" s="249"/>
      <c r="AB211" s="249"/>
      <c r="AC211" s="194">
        <f t="shared" ref="AC211:BL211" si="430">SUM(AC212:AC213)</f>
        <v>0</v>
      </c>
      <c r="AD211" s="194">
        <f t="shared" si="430"/>
        <v>0</v>
      </c>
      <c r="AE211" s="194">
        <f t="shared" si="430"/>
        <v>0</v>
      </c>
      <c r="AF211" s="194">
        <f t="shared" si="430"/>
        <v>0</v>
      </c>
      <c r="AG211" s="194">
        <f t="shared" si="430"/>
        <v>0</v>
      </c>
      <c r="AH211" s="194">
        <f t="shared" si="430"/>
        <v>0</v>
      </c>
      <c r="AI211" s="194">
        <f t="shared" si="430"/>
        <v>0</v>
      </c>
      <c r="AJ211" s="194">
        <f t="shared" si="430"/>
        <v>0</v>
      </c>
      <c r="AK211" s="194">
        <f t="shared" si="430"/>
        <v>0</v>
      </c>
      <c r="AL211" s="194">
        <f t="shared" si="430"/>
        <v>0</v>
      </c>
      <c r="AM211" s="194">
        <f t="shared" si="430"/>
        <v>0</v>
      </c>
      <c r="AN211" s="194">
        <f t="shared" si="430"/>
        <v>0</v>
      </c>
      <c r="AO211" s="194">
        <f t="shared" si="430"/>
        <v>0</v>
      </c>
      <c r="AP211" s="194">
        <f t="shared" si="430"/>
        <v>0</v>
      </c>
      <c r="AQ211" s="194">
        <f t="shared" si="430"/>
        <v>0</v>
      </c>
      <c r="AR211" s="194">
        <f t="shared" si="430"/>
        <v>0</v>
      </c>
      <c r="AS211" s="194">
        <f t="shared" si="430"/>
        <v>0</v>
      </c>
      <c r="AT211" s="194">
        <f t="shared" si="430"/>
        <v>0</v>
      </c>
      <c r="AU211" s="194">
        <f t="shared" si="430"/>
        <v>0</v>
      </c>
      <c r="AV211" s="194">
        <f t="shared" si="430"/>
        <v>0</v>
      </c>
      <c r="AW211" s="194">
        <f t="shared" si="430"/>
        <v>0</v>
      </c>
      <c r="AX211" s="194">
        <f t="shared" si="430"/>
        <v>0</v>
      </c>
      <c r="AY211" s="194">
        <f t="shared" si="430"/>
        <v>0</v>
      </c>
      <c r="AZ211" s="194">
        <f t="shared" si="430"/>
        <v>0</v>
      </c>
      <c r="BA211" s="194">
        <f t="shared" si="430"/>
        <v>0</v>
      </c>
      <c r="BB211" s="194">
        <f t="shared" si="430"/>
        <v>0</v>
      </c>
      <c r="BC211" s="194">
        <f t="shared" si="430"/>
        <v>0</v>
      </c>
      <c r="BD211" s="194">
        <f t="shared" si="430"/>
        <v>0</v>
      </c>
      <c r="BE211" s="194">
        <f t="shared" si="430"/>
        <v>10000000</v>
      </c>
      <c r="BF211" s="194">
        <f t="shared" si="430"/>
        <v>10000000</v>
      </c>
      <c r="BG211" s="194">
        <f t="shared" si="430"/>
        <v>0</v>
      </c>
      <c r="BH211" s="194">
        <f t="shared" si="430"/>
        <v>0</v>
      </c>
      <c r="BI211" s="194">
        <f t="shared" si="430"/>
        <v>0</v>
      </c>
      <c r="BJ211" s="194">
        <f t="shared" si="430"/>
        <v>0</v>
      </c>
      <c r="BK211" s="194">
        <f t="shared" si="430"/>
        <v>0</v>
      </c>
      <c r="BL211" s="194">
        <f t="shared" si="430"/>
        <v>0</v>
      </c>
      <c r="BM211" s="194">
        <f t="shared" ref="BM211:DX211" si="431">SUM(BM212:BM213)</f>
        <v>10000000</v>
      </c>
      <c r="BN211" s="194">
        <f t="shared" si="431"/>
        <v>10000000</v>
      </c>
      <c r="BO211" s="194">
        <f t="shared" si="431"/>
        <v>0</v>
      </c>
      <c r="BP211" s="194">
        <f t="shared" si="431"/>
        <v>0</v>
      </c>
      <c r="BQ211" s="194">
        <f t="shared" si="431"/>
        <v>0</v>
      </c>
      <c r="BR211" s="194">
        <f t="shared" si="431"/>
        <v>0</v>
      </c>
      <c r="BS211" s="194">
        <f t="shared" si="431"/>
        <v>0</v>
      </c>
      <c r="BT211" s="194">
        <f t="shared" si="431"/>
        <v>0</v>
      </c>
      <c r="BU211" s="194">
        <f t="shared" si="431"/>
        <v>0</v>
      </c>
      <c r="BV211" s="194">
        <f t="shared" si="431"/>
        <v>0</v>
      </c>
      <c r="BW211" s="194">
        <f t="shared" si="431"/>
        <v>0</v>
      </c>
      <c r="BX211" s="194">
        <f t="shared" si="431"/>
        <v>0</v>
      </c>
      <c r="BY211" s="194">
        <f t="shared" si="431"/>
        <v>0</v>
      </c>
      <c r="BZ211" s="194">
        <f t="shared" si="431"/>
        <v>0</v>
      </c>
      <c r="CA211" s="194">
        <f t="shared" si="431"/>
        <v>0</v>
      </c>
      <c r="CB211" s="194">
        <f t="shared" si="431"/>
        <v>0</v>
      </c>
      <c r="CC211" s="194">
        <f t="shared" si="431"/>
        <v>0</v>
      </c>
      <c r="CD211" s="194">
        <f t="shared" si="431"/>
        <v>0</v>
      </c>
      <c r="CE211" s="194">
        <f t="shared" si="431"/>
        <v>0</v>
      </c>
      <c r="CF211" s="194">
        <f t="shared" si="431"/>
        <v>0</v>
      </c>
      <c r="CG211" s="194">
        <f t="shared" si="431"/>
        <v>0</v>
      </c>
      <c r="CH211" s="194">
        <f t="shared" si="431"/>
        <v>0</v>
      </c>
      <c r="CI211" s="194">
        <f t="shared" si="431"/>
        <v>0</v>
      </c>
      <c r="CJ211" s="194">
        <f t="shared" si="431"/>
        <v>0</v>
      </c>
      <c r="CK211" s="194">
        <f t="shared" si="431"/>
        <v>0</v>
      </c>
      <c r="CL211" s="194">
        <f t="shared" si="431"/>
        <v>0</v>
      </c>
      <c r="CM211" s="194">
        <f t="shared" si="431"/>
        <v>0</v>
      </c>
      <c r="CN211" s="194">
        <f t="shared" si="431"/>
        <v>0</v>
      </c>
      <c r="CO211" s="194">
        <f t="shared" si="431"/>
        <v>0</v>
      </c>
      <c r="CP211" s="194">
        <f t="shared" si="431"/>
        <v>0</v>
      </c>
      <c r="CQ211" s="194">
        <f t="shared" si="431"/>
        <v>0</v>
      </c>
      <c r="CR211" s="194">
        <f t="shared" si="431"/>
        <v>0</v>
      </c>
      <c r="CS211" s="194">
        <f t="shared" si="431"/>
        <v>0</v>
      </c>
      <c r="CT211" s="194">
        <f t="shared" si="431"/>
        <v>0</v>
      </c>
      <c r="CU211" s="194">
        <f t="shared" si="431"/>
        <v>0</v>
      </c>
      <c r="CV211" s="194">
        <f t="shared" si="431"/>
        <v>10300000</v>
      </c>
      <c r="CW211" s="194">
        <f t="shared" si="431"/>
        <v>10300000</v>
      </c>
      <c r="CX211" s="194">
        <f t="shared" si="431"/>
        <v>0</v>
      </c>
      <c r="CY211" s="194">
        <f t="shared" si="431"/>
        <v>0</v>
      </c>
      <c r="CZ211" s="194">
        <f t="shared" si="431"/>
        <v>0</v>
      </c>
      <c r="DA211" s="194">
        <f t="shared" si="431"/>
        <v>0</v>
      </c>
      <c r="DB211" s="194">
        <f t="shared" si="431"/>
        <v>0</v>
      </c>
      <c r="DC211" s="194">
        <f t="shared" si="431"/>
        <v>0</v>
      </c>
      <c r="DD211" s="194">
        <f t="shared" si="431"/>
        <v>0</v>
      </c>
      <c r="DE211" s="194">
        <f t="shared" si="431"/>
        <v>10300000</v>
      </c>
      <c r="DF211" s="194">
        <f t="shared" si="431"/>
        <v>10300000</v>
      </c>
      <c r="DG211" s="194">
        <f t="shared" si="431"/>
        <v>0</v>
      </c>
      <c r="DH211" s="194">
        <f t="shared" si="431"/>
        <v>0</v>
      </c>
      <c r="DI211" s="194">
        <f t="shared" si="431"/>
        <v>0</v>
      </c>
      <c r="DJ211" s="194">
        <f t="shared" si="431"/>
        <v>0</v>
      </c>
      <c r="DK211" s="194">
        <f t="shared" si="431"/>
        <v>0</v>
      </c>
      <c r="DL211" s="194">
        <f t="shared" si="431"/>
        <v>0</v>
      </c>
      <c r="DM211" s="194">
        <f t="shared" si="431"/>
        <v>0</v>
      </c>
      <c r="DN211" s="194">
        <f t="shared" si="431"/>
        <v>0</v>
      </c>
      <c r="DO211" s="194">
        <f t="shared" si="431"/>
        <v>0</v>
      </c>
      <c r="DP211" s="194">
        <f t="shared" si="431"/>
        <v>0</v>
      </c>
      <c r="DQ211" s="194">
        <f t="shared" si="431"/>
        <v>0</v>
      </c>
      <c r="DR211" s="194">
        <f t="shared" si="431"/>
        <v>0</v>
      </c>
      <c r="DS211" s="194">
        <f t="shared" si="431"/>
        <v>0</v>
      </c>
      <c r="DT211" s="194">
        <f t="shared" si="431"/>
        <v>0</v>
      </c>
      <c r="DU211" s="194">
        <f t="shared" si="431"/>
        <v>0</v>
      </c>
      <c r="DV211" s="194">
        <f t="shared" si="431"/>
        <v>0</v>
      </c>
      <c r="DW211" s="194">
        <f t="shared" si="431"/>
        <v>0</v>
      </c>
      <c r="DX211" s="194">
        <f t="shared" si="431"/>
        <v>0</v>
      </c>
      <c r="DY211" s="194">
        <f t="shared" ref="DY211:EW211" si="432">SUM(DY212:DY213)</f>
        <v>0</v>
      </c>
      <c r="DZ211" s="194">
        <f t="shared" si="432"/>
        <v>0</v>
      </c>
      <c r="EA211" s="194">
        <f t="shared" si="432"/>
        <v>0</v>
      </c>
      <c r="EB211" s="194">
        <f t="shared" si="432"/>
        <v>0</v>
      </c>
      <c r="EC211" s="194">
        <f t="shared" si="432"/>
        <v>0</v>
      </c>
      <c r="ED211" s="194">
        <f t="shared" si="432"/>
        <v>0</v>
      </c>
      <c r="EE211" s="194">
        <f t="shared" si="432"/>
        <v>0</v>
      </c>
      <c r="EF211" s="194">
        <f t="shared" si="432"/>
        <v>0</v>
      </c>
      <c r="EG211" s="194">
        <f t="shared" si="432"/>
        <v>0</v>
      </c>
      <c r="EH211" s="194">
        <f t="shared" si="432"/>
        <v>0</v>
      </c>
      <c r="EI211" s="194">
        <f t="shared" si="432"/>
        <v>0</v>
      </c>
      <c r="EJ211" s="194">
        <f t="shared" si="432"/>
        <v>0</v>
      </c>
      <c r="EK211" s="194">
        <f t="shared" si="432"/>
        <v>0</v>
      </c>
      <c r="EL211" s="194">
        <f t="shared" si="432"/>
        <v>0</v>
      </c>
      <c r="EM211" s="194">
        <f t="shared" si="432"/>
        <v>0</v>
      </c>
      <c r="EN211" s="194">
        <f t="shared" si="432"/>
        <v>10609000</v>
      </c>
      <c r="EO211" s="194">
        <f t="shared" si="432"/>
        <v>20000000</v>
      </c>
      <c r="EP211" s="194">
        <f t="shared" si="432"/>
        <v>9600000</v>
      </c>
      <c r="EQ211" s="194">
        <f t="shared" si="432"/>
        <v>9600000</v>
      </c>
      <c r="ER211" s="194">
        <f t="shared" si="432"/>
        <v>0</v>
      </c>
      <c r="ES211" s="194">
        <f t="shared" si="432"/>
        <v>0</v>
      </c>
      <c r="ET211" s="194">
        <f t="shared" si="432"/>
        <v>0</v>
      </c>
      <c r="EU211" s="194">
        <f t="shared" si="432"/>
        <v>0</v>
      </c>
      <c r="EV211" s="194">
        <f t="shared" si="432"/>
        <v>0</v>
      </c>
      <c r="EW211" s="194">
        <f t="shared" si="432"/>
        <v>10609000</v>
      </c>
      <c r="EX211" s="194">
        <f t="shared" ref="EX211:GZ211" si="433">SUM(EX212:EX213)</f>
        <v>20000000</v>
      </c>
      <c r="EY211" s="194">
        <f t="shared" si="433"/>
        <v>9600000</v>
      </c>
      <c r="EZ211" s="194">
        <f t="shared" si="433"/>
        <v>9600000</v>
      </c>
      <c r="FA211" s="194">
        <f t="shared" si="433"/>
        <v>0</v>
      </c>
      <c r="FB211" s="194">
        <f t="shared" si="433"/>
        <v>0</v>
      </c>
      <c r="FC211" s="194">
        <f t="shared" si="433"/>
        <v>0</v>
      </c>
      <c r="FD211" s="194">
        <f t="shared" si="433"/>
        <v>0</v>
      </c>
      <c r="FE211" s="194">
        <f t="shared" si="433"/>
        <v>0</v>
      </c>
      <c r="FF211" s="194">
        <f t="shared" si="433"/>
        <v>0</v>
      </c>
      <c r="FG211" s="194">
        <f t="shared" si="433"/>
        <v>0</v>
      </c>
      <c r="FH211" s="194">
        <f t="shared" si="433"/>
        <v>0</v>
      </c>
      <c r="FI211" s="194">
        <f t="shared" si="433"/>
        <v>0</v>
      </c>
      <c r="FJ211" s="194">
        <f t="shared" si="433"/>
        <v>0</v>
      </c>
      <c r="FK211" s="194">
        <f t="shared" si="433"/>
        <v>0</v>
      </c>
      <c r="FL211" s="194">
        <f t="shared" si="433"/>
        <v>0</v>
      </c>
      <c r="FM211" s="194">
        <f t="shared" si="433"/>
        <v>0</v>
      </c>
      <c r="FN211" s="194">
        <f t="shared" si="433"/>
        <v>0</v>
      </c>
      <c r="FO211" s="194">
        <f t="shared" si="433"/>
        <v>0</v>
      </c>
      <c r="FP211" s="194">
        <f t="shared" si="433"/>
        <v>0</v>
      </c>
      <c r="FQ211" s="194">
        <f t="shared" si="433"/>
        <v>0</v>
      </c>
      <c r="FR211" s="194">
        <f t="shared" si="433"/>
        <v>0</v>
      </c>
      <c r="FS211" s="194">
        <f t="shared" si="433"/>
        <v>0</v>
      </c>
      <c r="FT211" s="194">
        <f t="shared" si="433"/>
        <v>0</v>
      </c>
      <c r="FU211" s="194">
        <f t="shared" si="433"/>
        <v>0</v>
      </c>
      <c r="FV211" s="194">
        <f t="shared" si="433"/>
        <v>0</v>
      </c>
      <c r="FW211" s="194">
        <f t="shared" si="433"/>
        <v>0</v>
      </c>
      <c r="FX211" s="194">
        <f t="shared" si="433"/>
        <v>0</v>
      </c>
      <c r="FY211" s="194">
        <f t="shared" si="433"/>
        <v>0</v>
      </c>
      <c r="FZ211" s="194">
        <f t="shared" si="433"/>
        <v>0</v>
      </c>
      <c r="GA211" s="194">
        <f t="shared" si="433"/>
        <v>0</v>
      </c>
      <c r="GB211" s="194">
        <f t="shared" si="433"/>
        <v>0</v>
      </c>
      <c r="GC211" s="194">
        <f t="shared" si="433"/>
        <v>0</v>
      </c>
      <c r="GD211" s="194">
        <f t="shared" si="433"/>
        <v>0</v>
      </c>
      <c r="GE211" s="194">
        <f t="shared" si="433"/>
        <v>0</v>
      </c>
      <c r="GF211" s="194">
        <f t="shared" si="433"/>
        <v>0</v>
      </c>
      <c r="GG211" s="194">
        <f t="shared" si="433"/>
        <v>0</v>
      </c>
      <c r="GH211" s="194">
        <f t="shared" si="433"/>
        <v>0</v>
      </c>
      <c r="GI211" s="194">
        <f t="shared" si="433"/>
        <v>0</v>
      </c>
      <c r="GJ211" s="194">
        <f t="shared" si="433"/>
        <v>0</v>
      </c>
      <c r="GK211" s="194">
        <f t="shared" si="433"/>
        <v>10927270</v>
      </c>
      <c r="GL211" s="194">
        <f t="shared" si="433"/>
        <v>29000000</v>
      </c>
      <c r="GM211" s="194">
        <f t="shared" si="433"/>
        <v>16960000</v>
      </c>
      <c r="GN211" s="194">
        <f t="shared" si="433"/>
        <v>10176000</v>
      </c>
      <c r="GO211" s="194">
        <f t="shared" si="433"/>
        <v>0</v>
      </c>
      <c r="GP211" s="194">
        <f t="shared" si="433"/>
        <v>0</v>
      </c>
      <c r="GQ211" s="194">
        <f t="shared" si="433"/>
        <v>0</v>
      </c>
      <c r="GR211" s="194">
        <f t="shared" si="433"/>
        <v>0</v>
      </c>
      <c r="GS211" s="194">
        <f t="shared" si="433"/>
        <v>0</v>
      </c>
      <c r="GT211" s="194">
        <f t="shared" si="433"/>
        <v>0</v>
      </c>
      <c r="GU211" s="194">
        <f t="shared" si="433"/>
        <v>10927270</v>
      </c>
      <c r="GV211" s="194">
        <f t="shared" si="433"/>
        <v>29000000</v>
      </c>
      <c r="GW211" s="194">
        <f t="shared" si="433"/>
        <v>16960000</v>
      </c>
      <c r="GX211" s="194">
        <f t="shared" si="433"/>
        <v>10176000</v>
      </c>
      <c r="GY211" s="194">
        <f t="shared" si="433"/>
        <v>0</v>
      </c>
      <c r="GZ211" s="199">
        <f t="shared" si="433"/>
        <v>41836270</v>
      </c>
    </row>
    <row r="212" spans="1:208" ht="102.75" customHeight="1" x14ac:dyDescent="0.2">
      <c r="A212" s="326"/>
      <c r="B212" s="326"/>
      <c r="C212" s="456">
        <v>28</v>
      </c>
      <c r="D212" s="717" t="s">
        <v>510</v>
      </c>
      <c r="E212" s="1038">
        <v>0.5</v>
      </c>
      <c r="F212" s="1038">
        <v>1</v>
      </c>
      <c r="G212" s="265">
        <v>147</v>
      </c>
      <c r="H212" s="261" t="s">
        <v>511</v>
      </c>
      <c r="I212" s="275" t="s">
        <v>512</v>
      </c>
      <c r="J212" s="988" t="s">
        <v>444</v>
      </c>
      <c r="K212" s="988">
        <v>2</v>
      </c>
      <c r="L212" s="476" t="s">
        <v>58</v>
      </c>
      <c r="M212" s="264">
        <v>14</v>
      </c>
      <c r="N212" s="264">
        <v>14</v>
      </c>
      <c r="O212" s="475">
        <v>14</v>
      </c>
      <c r="P212" s="484">
        <v>0</v>
      </c>
      <c r="Q212" s="482">
        <v>14</v>
      </c>
      <c r="R212" s="268"/>
      <c r="S212" s="480">
        <v>0</v>
      </c>
      <c r="T212" s="482">
        <v>14</v>
      </c>
      <c r="U212" s="482"/>
      <c r="V212" s="480">
        <v>14</v>
      </c>
      <c r="W212" s="482">
        <v>14</v>
      </c>
      <c r="X212" s="476"/>
      <c r="Y212" s="641">
        <v>0</v>
      </c>
      <c r="Z212" s="390">
        <f>BM212/BM211</f>
        <v>0.5</v>
      </c>
      <c r="AA212" s="264">
        <v>3</v>
      </c>
      <c r="AB212" s="263" t="s">
        <v>455</v>
      </c>
      <c r="AC212" s="56"/>
      <c r="AD212" s="55"/>
      <c r="AE212" s="54"/>
      <c r="AF212" s="54"/>
      <c r="AG212" s="56"/>
      <c r="AH212" s="55"/>
      <c r="AI212" s="55"/>
      <c r="AJ212" s="55"/>
      <c r="AK212" s="56"/>
      <c r="AL212" s="55"/>
      <c r="AM212" s="55"/>
      <c r="AN212" s="55"/>
      <c r="AO212" s="56"/>
      <c r="AP212" s="55"/>
      <c r="AQ212" s="55"/>
      <c r="AR212" s="55"/>
      <c r="AS212" s="56"/>
      <c r="AT212" s="55"/>
      <c r="AU212" s="54"/>
      <c r="AV212" s="54"/>
      <c r="AW212" s="56"/>
      <c r="AX212" s="55"/>
      <c r="AY212" s="55"/>
      <c r="AZ212" s="55"/>
      <c r="BA212" s="56"/>
      <c r="BB212" s="55"/>
      <c r="BC212" s="55"/>
      <c r="BD212" s="55"/>
      <c r="BE212" s="56">
        <v>5000000</v>
      </c>
      <c r="BF212" s="55">
        <v>5000000</v>
      </c>
      <c r="BG212" s="54"/>
      <c r="BH212" s="54"/>
      <c r="BI212" s="56"/>
      <c r="BJ212" s="55"/>
      <c r="BK212" s="55"/>
      <c r="BL212" s="55"/>
      <c r="BM212" s="53">
        <f>+AC212+AG212+AK212+AO212+AS212+AW212+BA212+BE212+BI212</f>
        <v>5000000</v>
      </c>
      <c r="BN212" s="54">
        <f t="shared" ref="BN212:BP213" si="434">AD212+AH212+AL212+AP212+AT212+AX212+BB212+BF212+BJ212</f>
        <v>5000000</v>
      </c>
      <c r="BO212" s="54">
        <f t="shared" si="434"/>
        <v>0</v>
      </c>
      <c r="BP212" s="54">
        <f t="shared" si="434"/>
        <v>0</v>
      </c>
      <c r="BQ212" s="83"/>
      <c r="BR212" s="83"/>
      <c r="BS212" s="83"/>
      <c r="BT212" s="83"/>
      <c r="BU212" s="83"/>
      <c r="BV212" s="82"/>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4">
        <v>5150000</v>
      </c>
      <c r="CW212" s="83">
        <v>5150000</v>
      </c>
      <c r="CX212" s="83"/>
      <c r="CY212" s="83">
        <v>0</v>
      </c>
      <c r="CZ212" s="83"/>
      <c r="DA212" s="83"/>
      <c r="DB212" s="83"/>
      <c r="DC212" s="83"/>
      <c r="DD212" s="83"/>
      <c r="DE212" s="81">
        <f t="shared" ref="DE212:DH213" si="435">BQ212+BU212+BZ212+CE212+CI212+CM212+CQ212+CV212+DA212</f>
        <v>5150000</v>
      </c>
      <c r="DF212" s="95">
        <f t="shared" si="435"/>
        <v>5150000</v>
      </c>
      <c r="DG212" s="95">
        <f t="shared" si="435"/>
        <v>0</v>
      </c>
      <c r="DH212" s="95">
        <f t="shared" si="435"/>
        <v>0</v>
      </c>
      <c r="DI212" s="95"/>
      <c r="DJ212" s="84"/>
      <c r="DK212" s="65"/>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v>5304500</v>
      </c>
      <c r="EO212" s="84">
        <v>10000000</v>
      </c>
      <c r="EP212" s="84">
        <v>9600000</v>
      </c>
      <c r="EQ212" s="84">
        <v>9600000</v>
      </c>
      <c r="ER212" s="84"/>
      <c r="ES212" s="84"/>
      <c r="ET212" s="83"/>
      <c r="EU212" s="83"/>
      <c r="EV212" s="83"/>
      <c r="EW212" s="81">
        <f t="shared" ref="EW212:EX213" si="436">DJ212+DN212+DS212+DX212+EB212+EF212+EJ212+EN212+ES212</f>
        <v>5304500</v>
      </c>
      <c r="EX212" s="86">
        <f t="shared" si="436"/>
        <v>10000000</v>
      </c>
      <c r="EY212" s="86">
        <f t="shared" ref="EY212:EZ213" si="437">DL212+DP212+DU212+DZ212+ED212+EH212+EL212+EP212+EU212</f>
        <v>9600000</v>
      </c>
      <c r="EZ212" s="86">
        <f t="shared" si="437"/>
        <v>9600000</v>
      </c>
      <c r="FA212" s="176"/>
      <c r="FB212" s="83"/>
      <c r="FC212" s="84"/>
      <c r="FD212" s="84"/>
      <c r="FE212" s="84"/>
      <c r="FF212" s="140"/>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4">
        <v>5500000</v>
      </c>
      <c r="GL212" s="84">
        <f>10000000+4000000</f>
        <v>14000000</v>
      </c>
      <c r="GM212" s="84">
        <v>10000000</v>
      </c>
      <c r="GN212" s="84">
        <v>3216000</v>
      </c>
      <c r="GO212" s="84"/>
      <c r="GP212" s="84"/>
      <c r="GQ212" s="83"/>
      <c r="GR212" s="83"/>
      <c r="GS212" s="83"/>
      <c r="GT212" s="83"/>
      <c r="GU212" s="81">
        <f t="shared" ref="GU212:GY213" si="438">FB212+FG212+FL212+FQ212+FV212+GA212+GF212+GK212+GP212</f>
        <v>5500000</v>
      </c>
      <c r="GV212" s="81">
        <f t="shared" si="438"/>
        <v>14000000</v>
      </c>
      <c r="GW212" s="81">
        <f t="shared" si="438"/>
        <v>10000000</v>
      </c>
      <c r="GX212" s="81">
        <f t="shared" si="438"/>
        <v>3216000</v>
      </c>
      <c r="GY212" s="673">
        <f t="shared" si="438"/>
        <v>0</v>
      </c>
      <c r="GZ212" s="67">
        <f>BM212+DE212+EW212+GU212</f>
        <v>20954500</v>
      </c>
    </row>
    <row r="213" spans="1:208" ht="71.25" customHeight="1" x14ac:dyDescent="0.2">
      <c r="A213" s="326"/>
      <c r="B213" s="326"/>
      <c r="C213" s="277"/>
      <c r="D213" s="718"/>
      <c r="E213" s="380"/>
      <c r="F213" s="380"/>
      <c r="G213" s="265">
        <v>148</v>
      </c>
      <c r="H213" s="261" t="s">
        <v>513</v>
      </c>
      <c r="I213" s="275" t="s">
        <v>514</v>
      </c>
      <c r="J213" s="265" t="s">
        <v>444</v>
      </c>
      <c r="K213" s="265">
        <v>2</v>
      </c>
      <c r="L213" s="482" t="s">
        <v>58</v>
      </c>
      <c r="M213" s="264" t="s">
        <v>53</v>
      </c>
      <c r="N213" s="264">
        <v>11</v>
      </c>
      <c r="O213" s="1032">
        <v>11</v>
      </c>
      <c r="P213" s="1033">
        <v>0</v>
      </c>
      <c r="Q213" s="487">
        <v>11</v>
      </c>
      <c r="R213" s="268"/>
      <c r="S213" s="507">
        <v>0</v>
      </c>
      <c r="T213" s="482">
        <v>11</v>
      </c>
      <c r="U213" s="482"/>
      <c r="V213" s="480">
        <v>1</v>
      </c>
      <c r="W213" s="482">
        <v>11</v>
      </c>
      <c r="X213" s="482"/>
      <c r="Y213" s="641">
        <v>0</v>
      </c>
      <c r="Z213" s="390">
        <f>BM213/BM211</f>
        <v>0.5</v>
      </c>
      <c r="AA213" s="264">
        <v>3</v>
      </c>
      <c r="AB213" s="263" t="s">
        <v>455</v>
      </c>
      <c r="AC213" s="56"/>
      <c r="AD213" s="55"/>
      <c r="AE213" s="54"/>
      <c r="AF213" s="54"/>
      <c r="AG213" s="56"/>
      <c r="AH213" s="55"/>
      <c r="AI213" s="55"/>
      <c r="AJ213" s="55"/>
      <c r="AK213" s="56"/>
      <c r="AL213" s="55"/>
      <c r="AM213" s="55"/>
      <c r="AN213" s="55"/>
      <c r="AO213" s="56"/>
      <c r="AP213" s="55"/>
      <c r="AQ213" s="55"/>
      <c r="AR213" s="55"/>
      <c r="AS213" s="56"/>
      <c r="AT213" s="55"/>
      <c r="AU213" s="54"/>
      <c r="AV213" s="54"/>
      <c r="AW213" s="56"/>
      <c r="AX213" s="55"/>
      <c r="AY213" s="55"/>
      <c r="AZ213" s="55"/>
      <c r="BA213" s="56"/>
      <c r="BB213" s="55"/>
      <c r="BC213" s="55"/>
      <c r="BD213" s="55"/>
      <c r="BE213" s="56">
        <v>5000000</v>
      </c>
      <c r="BF213" s="55">
        <v>5000000</v>
      </c>
      <c r="BG213" s="54"/>
      <c r="BH213" s="54"/>
      <c r="BI213" s="56"/>
      <c r="BJ213" s="55"/>
      <c r="BK213" s="55"/>
      <c r="BL213" s="55"/>
      <c r="BM213" s="53">
        <f>+AC213+AG213+AK213+AO213+AS213+AW213+BA213+BE213+BI213</f>
        <v>5000000</v>
      </c>
      <c r="BN213" s="54">
        <f t="shared" si="434"/>
        <v>5000000</v>
      </c>
      <c r="BO213" s="54">
        <f t="shared" si="434"/>
        <v>0</v>
      </c>
      <c r="BP213" s="54">
        <f t="shared" si="434"/>
        <v>0</v>
      </c>
      <c r="BQ213" s="83"/>
      <c r="BR213" s="83"/>
      <c r="BS213" s="83"/>
      <c r="BT213" s="83"/>
      <c r="BU213" s="83"/>
      <c r="BV213" s="82"/>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4">
        <v>5150000</v>
      </c>
      <c r="CW213" s="83">
        <v>5150000</v>
      </c>
      <c r="CX213" s="83"/>
      <c r="CY213" s="83"/>
      <c r="CZ213" s="83"/>
      <c r="DA213" s="83"/>
      <c r="DB213" s="83"/>
      <c r="DC213" s="83"/>
      <c r="DD213" s="83"/>
      <c r="DE213" s="81">
        <f t="shared" si="435"/>
        <v>5150000</v>
      </c>
      <c r="DF213" s="95">
        <f t="shared" si="435"/>
        <v>5150000</v>
      </c>
      <c r="DG213" s="95">
        <f t="shared" si="435"/>
        <v>0</v>
      </c>
      <c r="DH213" s="95">
        <f t="shared" si="435"/>
        <v>0</v>
      </c>
      <c r="DI213" s="95"/>
      <c r="DJ213" s="84"/>
      <c r="DK213" s="65"/>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v>5304500</v>
      </c>
      <c r="EO213" s="84">
        <v>10000000</v>
      </c>
      <c r="EP213" s="84"/>
      <c r="EQ213" s="84"/>
      <c r="ER213" s="84"/>
      <c r="ES213" s="84"/>
      <c r="ET213" s="83"/>
      <c r="EU213" s="83"/>
      <c r="EV213" s="83"/>
      <c r="EW213" s="81">
        <f t="shared" si="436"/>
        <v>5304500</v>
      </c>
      <c r="EX213" s="86">
        <f t="shared" si="436"/>
        <v>10000000</v>
      </c>
      <c r="EY213" s="86">
        <f t="shared" si="437"/>
        <v>0</v>
      </c>
      <c r="EZ213" s="86">
        <f t="shared" si="437"/>
        <v>0</v>
      </c>
      <c r="FA213" s="176"/>
      <c r="FB213" s="83"/>
      <c r="FC213" s="84"/>
      <c r="FD213" s="84"/>
      <c r="FE213" s="84"/>
      <c r="FF213" s="140"/>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4">
        <v>5427270</v>
      </c>
      <c r="GL213" s="84">
        <f>10000000+5000000</f>
        <v>15000000</v>
      </c>
      <c r="GM213" s="84">
        <v>6960000</v>
      </c>
      <c r="GN213" s="84">
        <v>6960000</v>
      </c>
      <c r="GO213" s="84"/>
      <c r="GP213" s="84"/>
      <c r="GQ213" s="83"/>
      <c r="GR213" s="83"/>
      <c r="GS213" s="83"/>
      <c r="GT213" s="83"/>
      <c r="GU213" s="81">
        <f t="shared" si="438"/>
        <v>5427270</v>
      </c>
      <c r="GV213" s="81">
        <f t="shared" si="438"/>
        <v>15000000</v>
      </c>
      <c r="GW213" s="81">
        <f t="shared" si="438"/>
        <v>6960000</v>
      </c>
      <c r="GX213" s="81">
        <f t="shared" si="438"/>
        <v>6960000</v>
      </c>
      <c r="GY213" s="673">
        <f t="shared" si="438"/>
        <v>0</v>
      </c>
      <c r="GZ213" s="67">
        <f>BM213+DE213+EW213+GU213</f>
        <v>20881770</v>
      </c>
    </row>
    <row r="214" spans="1:208" ht="24.75" customHeight="1" x14ac:dyDescent="0.2">
      <c r="A214" s="326"/>
      <c r="B214" s="326"/>
      <c r="C214" s="246">
        <v>42</v>
      </c>
      <c r="D214" s="247" t="s">
        <v>515</v>
      </c>
      <c r="E214" s="295"/>
      <c r="F214" s="295"/>
      <c r="G214" s="249"/>
      <c r="H214" s="249"/>
      <c r="I214" s="249"/>
      <c r="J214" s="249"/>
      <c r="K214" s="249"/>
      <c r="L214" s="249"/>
      <c r="M214" s="249"/>
      <c r="N214" s="249"/>
      <c r="O214" s="249"/>
      <c r="P214" s="249"/>
      <c r="Q214" s="249"/>
      <c r="R214" s="249"/>
      <c r="S214" s="249"/>
      <c r="T214" s="249"/>
      <c r="U214" s="249"/>
      <c r="V214" s="249"/>
      <c r="W214" s="249"/>
      <c r="X214" s="249"/>
      <c r="Y214" s="296"/>
      <c r="Z214" s="249"/>
      <c r="AA214" s="249"/>
      <c r="AB214" s="249"/>
      <c r="AC214" s="186">
        <f t="shared" ref="AC214:BL214" si="439">SUM(AC215:AC216)</f>
        <v>0</v>
      </c>
      <c r="AD214" s="186">
        <f t="shared" si="439"/>
        <v>0</v>
      </c>
      <c r="AE214" s="186">
        <f t="shared" si="439"/>
        <v>0</v>
      </c>
      <c r="AF214" s="186">
        <f t="shared" si="439"/>
        <v>0</v>
      </c>
      <c r="AG214" s="186">
        <f t="shared" si="439"/>
        <v>0</v>
      </c>
      <c r="AH214" s="186">
        <f t="shared" si="439"/>
        <v>0</v>
      </c>
      <c r="AI214" s="186">
        <f t="shared" si="439"/>
        <v>0</v>
      </c>
      <c r="AJ214" s="186">
        <f t="shared" si="439"/>
        <v>0</v>
      </c>
      <c r="AK214" s="186">
        <f t="shared" si="439"/>
        <v>0</v>
      </c>
      <c r="AL214" s="186">
        <f t="shared" si="439"/>
        <v>0</v>
      </c>
      <c r="AM214" s="186">
        <f t="shared" si="439"/>
        <v>0</v>
      </c>
      <c r="AN214" s="186">
        <f t="shared" si="439"/>
        <v>0</v>
      </c>
      <c r="AO214" s="186">
        <f t="shared" si="439"/>
        <v>0</v>
      </c>
      <c r="AP214" s="186">
        <f t="shared" si="439"/>
        <v>0</v>
      </c>
      <c r="AQ214" s="186">
        <f t="shared" si="439"/>
        <v>0</v>
      </c>
      <c r="AR214" s="186">
        <f t="shared" si="439"/>
        <v>0</v>
      </c>
      <c r="AS214" s="186">
        <f t="shared" si="439"/>
        <v>0</v>
      </c>
      <c r="AT214" s="186">
        <f t="shared" si="439"/>
        <v>0</v>
      </c>
      <c r="AU214" s="186">
        <f t="shared" si="439"/>
        <v>0</v>
      </c>
      <c r="AV214" s="186">
        <f t="shared" si="439"/>
        <v>0</v>
      </c>
      <c r="AW214" s="186">
        <f t="shared" si="439"/>
        <v>0</v>
      </c>
      <c r="AX214" s="186">
        <f t="shared" si="439"/>
        <v>0</v>
      </c>
      <c r="AY214" s="186">
        <f t="shared" si="439"/>
        <v>0</v>
      </c>
      <c r="AZ214" s="186">
        <f t="shared" si="439"/>
        <v>0</v>
      </c>
      <c r="BA214" s="186">
        <f t="shared" si="439"/>
        <v>0</v>
      </c>
      <c r="BB214" s="186">
        <f t="shared" si="439"/>
        <v>0</v>
      </c>
      <c r="BC214" s="186">
        <f t="shared" si="439"/>
        <v>0</v>
      </c>
      <c r="BD214" s="186">
        <f t="shared" si="439"/>
        <v>0</v>
      </c>
      <c r="BE214" s="186">
        <f t="shared" si="439"/>
        <v>50000000</v>
      </c>
      <c r="BF214" s="186">
        <f t="shared" si="439"/>
        <v>50000000</v>
      </c>
      <c r="BG214" s="186">
        <f t="shared" si="439"/>
        <v>42600000</v>
      </c>
      <c r="BH214" s="186">
        <f t="shared" si="439"/>
        <v>42600000</v>
      </c>
      <c r="BI214" s="186">
        <f t="shared" si="439"/>
        <v>0</v>
      </c>
      <c r="BJ214" s="186">
        <f t="shared" si="439"/>
        <v>0</v>
      </c>
      <c r="BK214" s="186">
        <f t="shared" si="439"/>
        <v>0</v>
      </c>
      <c r="BL214" s="186">
        <f t="shared" si="439"/>
        <v>0</v>
      </c>
      <c r="BM214" s="186">
        <f t="shared" ref="BM214:DX214" si="440">SUM(BM215:BM216)</f>
        <v>50000000</v>
      </c>
      <c r="BN214" s="186">
        <f t="shared" si="440"/>
        <v>50000000</v>
      </c>
      <c r="BO214" s="186">
        <f t="shared" si="440"/>
        <v>42600000</v>
      </c>
      <c r="BP214" s="186">
        <f t="shared" si="440"/>
        <v>42600000</v>
      </c>
      <c r="BQ214" s="186">
        <f t="shared" si="440"/>
        <v>0</v>
      </c>
      <c r="BR214" s="186">
        <f t="shared" si="440"/>
        <v>0</v>
      </c>
      <c r="BS214" s="186">
        <f t="shared" si="440"/>
        <v>0</v>
      </c>
      <c r="BT214" s="186">
        <f t="shared" si="440"/>
        <v>0</v>
      </c>
      <c r="BU214" s="186">
        <f t="shared" si="440"/>
        <v>0</v>
      </c>
      <c r="BV214" s="186">
        <f t="shared" si="440"/>
        <v>0</v>
      </c>
      <c r="BW214" s="186">
        <f t="shared" si="440"/>
        <v>0</v>
      </c>
      <c r="BX214" s="186">
        <f t="shared" si="440"/>
        <v>0</v>
      </c>
      <c r="BY214" s="186">
        <f t="shared" si="440"/>
        <v>0</v>
      </c>
      <c r="BZ214" s="186">
        <f t="shared" si="440"/>
        <v>0</v>
      </c>
      <c r="CA214" s="186">
        <f t="shared" si="440"/>
        <v>0</v>
      </c>
      <c r="CB214" s="186">
        <f t="shared" si="440"/>
        <v>0</v>
      </c>
      <c r="CC214" s="186">
        <f t="shared" si="440"/>
        <v>0</v>
      </c>
      <c r="CD214" s="186">
        <f t="shared" si="440"/>
        <v>0</v>
      </c>
      <c r="CE214" s="186">
        <f t="shared" si="440"/>
        <v>0</v>
      </c>
      <c r="CF214" s="186">
        <f t="shared" si="440"/>
        <v>0</v>
      </c>
      <c r="CG214" s="186">
        <f t="shared" si="440"/>
        <v>0</v>
      </c>
      <c r="CH214" s="186">
        <f t="shared" si="440"/>
        <v>0</v>
      </c>
      <c r="CI214" s="186">
        <f t="shared" si="440"/>
        <v>0</v>
      </c>
      <c r="CJ214" s="186">
        <f t="shared" si="440"/>
        <v>0</v>
      </c>
      <c r="CK214" s="186">
        <f t="shared" si="440"/>
        <v>0</v>
      </c>
      <c r="CL214" s="186">
        <f t="shared" si="440"/>
        <v>0</v>
      </c>
      <c r="CM214" s="186">
        <f t="shared" si="440"/>
        <v>0</v>
      </c>
      <c r="CN214" s="186">
        <f t="shared" si="440"/>
        <v>0</v>
      </c>
      <c r="CO214" s="186">
        <f t="shared" si="440"/>
        <v>0</v>
      </c>
      <c r="CP214" s="186">
        <f t="shared" si="440"/>
        <v>0</v>
      </c>
      <c r="CQ214" s="186">
        <f t="shared" si="440"/>
        <v>0</v>
      </c>
      <c r="CR214" s="186">
        <f t="shared" si="440"/>
        <v>0</v>
      </c>
      <c r="CS214" s="186">
        <f t="shared" si="440"/>
        <v>0</v>
      </c>
      <c r="CT214" s="186">
        <f t="shared" si="440"/>
        <v>0</v>
      </c>
      <c r="CU214" s="186">
        <f t="shared" si="440"/>
        <v>0</v>
      </c>
      <c r="CV214" s="186">
        <f t="shared" si="440"/>
        <v>51500000</v>
      </c>
      <c r="CW214" s="186">
        <f t="shared" si="440"/>
        <v>51500000</v>
      </c>
      <c r="CX214" s="186">
        <f t="shared" si="440"/>
        <v>51448000</v>
      </c>
      <c r="CY214" s="186">
        <f t="shared" si="440"/>
        <v>51448000</v>
      </c>
      <c r="CZ214" s="186">
        <f t="shared" si="440"/>
        <v>0</v>
      </c>
      <c r="DA214" s="186">
        <f t="shared" si="440"/>
        <v>0</v>
      </c>
      <c r="DB214" s="186">
        <f t="shared" si="440"/>
        <v>0</v>
      </c>
      <c r="DC214" s="186">
        <f t="shared" si="440"/>
        <v>0</v>
      </c>
      <c r="DD214" s="186">
        <f t="shared" si="440"/>
        <v>0</v>
      </c>
      <c r="DE214" s="186">
        <f t="shared" si="440"/>
        <v>51500000</v>
      </c>
      <c r="DF214" s="186">
        <f t="shared" si="440"/>
        <v>51500000</v>
      </c>
      <c r="DG214" s="186">
        <f t="shared" si="440"/>
        <v>51448000</v>
      </c>
      <c r="DH214" s="186">
        <f t="shared" si="440"/>
        <v>51448000</v>
      </c>
      <c r="DI214" s="186">
        <f t="shared" si="440"/>
        <v>0</v>
      </c>
      <c r="DJ214" s="186">
        <f t="shared" si="440"/>
        <v>0</v>
      </c>
      <c r="DK214" s="186">
        <f t="shared" si="440"/>
        <v>0</v>
      </c>
      <c r="DL214" s="186">
        <f t="shared" si="440"/>
        <v>0</v>
      </c>
      <c r="DM214" s="186">
        <f t="shared" si="440"/>
        <v>0</v>
      </c>
      <c r="DN214" s="186">
        <f t="shared" si="440"/>
        <v>0</v>
      </c>
      <c r="DO214" s="186">
        <f t="shared" si="440"/>
        <v>3000000</v>
      </c>
      <c r="DP214" s="186">
        <f t="shared" si="440"/>
        <v>2992000</v>
      </c>
      <c r="DQ214" s="186">
        <f t="shared" si="440"/>
        <v>2992000</v>
      </c>
      <c r="DR214" s="186">
        <f t="shared" si="440"/>
        <v>0</v>
      </c>
      <c r="DS214" s="186">
        <f t="shared" si="440"/>
        <v>0</v>
      </c>
      <c r="DT214" s="186">
        <f t="shared" si="440"/>
        <v>0</v>
      </c>
      <c r="DU214" s="186">
        <f t="shared" si="440"/>
        <v>0</v>
      </c>
      <c r="DV214" s="186">
        <f t="shared" si="440"/>
        <v>0</v>
      </c>
      <c r="DW214" s="186">
        <f t="shared" si="440"/>
        <v>0</v>
      </c>
      <c r="DX214" s="186">
        <f t="shared" si="440"/>
        <v>0</v>
      </c>
      <c r="DY214" s="186">
        <f t="shared" ref="DY214:EW214" si="441">SUM(DY215:DY216)</f>
        <v>0</v>
      </c>
      <c r="DZ214" s="186">
        <f t="shared" si="441"/>
        <v>0</v>
      </c>
      <c r="EA214" s="186">
        <f t="shared" si="441"/>
        <v>0</v>
      </c>
      <c r="EB214" s="186">
        <f t="shared" si="441"/>
        <v>0</v>
      </c>
      <c r="EC214" s="186">
        <f t="shared" si="441"/>
        <v>0</v>
      </c>
      <c r="ED214" s="186">
        <f t="shared" si="441"/>
        <v>0</v>
      </c>
      <c r="EE214" s="186">
        <f t="shared" si="441"/>
        <v>0</v>
      </c>
      <c r="EF214" s="186">
        <f t="shared" si="441"/>
        <v>0</v>
      </c>
      <c r="EG214" s="186">
        <f t="shared" si="441"/>
        <v>0</v>
      </c>
      <c r="EH214" s="186">
        <f t="shared" si="441"/>
        <v>0</v>
      </c>
      <c r="EI214" s="186">
        <f t="shared" si="441"/>
        <v>0</v>
      </c>
      <c r="EJ214" s="186">
        <f t="shared" si="441"/>
        <v>0</v>
      </c>
      <c r="EK214" s="186">
        <f t="shared" si="441"/>
        <v>0</v>
      </c>
      <c r="EL214" s="186">
        <f t="shared" si="441"/>
        <v>0</v>
      </c>
      <c r="EM214" s="186">
        <f t="shared" si="441"/>
        <v>0</v>
      </c>
      <c r="EN214" s="186">
        <f t="shared" si="441"/>
        <v>53045000</v>
      </c>
      <c r="EO214" s="186">
        <f t="shared" si="441"/>
        <v>60000000</v>
      </c>
      <c r="EP214" s="186">
        <f t="shared" si="441"/>
        <v>56400000</v>
      </c>
      <c r="EQ214" s="186">
        <f t="shared" si="441"/>
        <v>56400000</v>
      </c>
      <c r="ER214" s="186">
        <f t="shared" si="441"/>
        <v>0</v>
      </c>
      <c r="ES214" s="186">
        <f t="shared" si="441"/>
        <v>0</v>
      </c>
      <c r="ET214" s="186">
        <f t="shared" si="441"/>
        <v>0</v>
      </c>
      <c r="EU214" s="186">
        <f t="shared" si="441"/>
        <v>0</v>
      </c>
      <c r="EV214" s="186">
        <f t="shared" si="441"/>
        <v>0</v>
      </c>
      <c r="EW214" s="186">
        <f t="shared" si="441"/>
        <v>53045000</v>
      </c>
      <c r="EX214" s="186">
        <f t="shared" ref="EX214:GZ214" si="442">SUM(EX215:EX216)</f>
        <v>63000000</v>
      </c>
      <c r="EY214" s="186">
        <f t="shared" si="442"/>
        <v>59392000</v>
      </c>
      <c r="EZ214" s="186">
        <f t="shared" si="442"/>
        <v>59392000</v>
      </c>
      <c r="FA214" s="186">
        <f t="shared" si="442"/>
        <v>0</v>
      </c>
      <c r="FB214" s="186">
        <f t="shared" si="442"/>
        <v>0</v>
      </c>
      <c r="FC214" s="186">
        <f t="shared" si="442"/>
        <v>0</v>
      </c>
      <c r="FD214" s="186">
        <f t="shared" si="442"/>
        <v>0</v>
      </c>
      <c r="FE214" s="186">
        <f t="shared" si="442"/>
        <v>0</v>
      </c>
      <c r="FF214" s="186">
        <f t="shared" si="442"/>
        <v>0</v>
      </c>
      <c r="FG214" s="186">
        <f t="shared" si="442"/>
        <v>0</v>
      </c>
      <c r="FH214" s="186">
        <f t="shared" si="442"/>
        <v>0</v>
      </c>
      <c r="FI214" s="186">
        <f t="shared" si="442"/>
        <v>0</v>
      </c>
      <c r="FJ214" s="186">
        <f t="shared" si="442"/>
        <v>0</v>
      </c>
      <c r="FK214" s="186">
        <f t="shared" si="442"/>
        <v>0</v>
      </c>
      <c r="FL214" s="186">
        <f t="shared" si="442"/>
        <v>0</v>
      </c>
      <c r="FM214" s="186">
        <f t="shared" si="442"/>
        <v>0</v>
      </c>
      <c r="FN214" s="186">
        <f t="shared" si="442"/>
        <v>0</v>
      </c>
      <c r="FO214" s="186">
        <f t="shared" si="442"/>
        <v>0</v>
      </c>
      <c r="FP214" s="186">
        <f t="shared" si="442"/>
        <v>0</v>
      </c>
      <c r="FQ214" s="186">
        <f t="shared" si="442"/>
        <v>0</v>
      </c>
      <c r="FR214" s="186">
        <f t="shared" si="442"/>
        <v>0</v>
      </c>
      <c r="FS214" s="186">
        <f t="shared" si="442"/>
        <v>0</v>
      </c>
      <c r="FT214" s="186">
        <f t="shared" si="442"/>
        <v>0</v>
      </c>
      <c r="FU214" s="186">
        <f t="shared" si="442"/>
        <v>0</v>
      </c>
      <c r="FV214" s="186">
        <f t="shared" si="442"/>
        <v>0</v>
      </c>
      <c r="FW214" s="186">
        <f t="shared" si="442"/>
        <v>0</v>
      </c>
      <c r="FX214" s="186">
        <f t="shared" si="442"/>
        <v>0</v>
      </c>
      <c r="FY214" s="186">
        <f t="shared" si="442"/>
        <v>0</v>
      </c>
      <c r="FZ214" s="186">
        <f t="shared" si="442"/>
        <v>0</v>
      </c>
      <c r="GA214" s="186">
        <f t="shared" si="442"/>
        <v>0</v>
      </c>
      <c r="GB214" s="186">
        <f t="shared" si="442"/>
        <v>0</v>
      </c>
      <c r="GC214" s="186">
        <f t="shared" si="442"/>
        <v>0</v>
      </c>
      <c r="GD214" s="186">
        <f t="shared" si="442"/>
        <v>0</v>
      </c>
      <c r="GE214" s="186">
        <f t="shared" si="442"/>
        <v>0</v>
      </c>
      <c r="GF214" s="186">
        <f t="shared" si="442"/>
        <v>0</v>
      </c>
      <c r="GG214" s="186">
        <f t="shared" si="442"/>
        <v>0</v>
      </c>
      <c r="GH214" s="186">
        <f t="shared" si="442"/>
        <v>0</v>
      </c>
      <c r="GI214" s="186">
        <f t="shared" si="442"/>
        <v>0</v>
      </c>
      <c r="GJ214" s="186">
        <f t="shared" si="442"/>
        <v>0</v>
      </c>
      <c r="GK214" s="186">
        <f t="shared" si="442"/>
        <v>54636350</v>
      </c>
      <c r="GL214" s="186">
        <f t="shared" si="442"/>
        <v>76000000</v>
      </c>
      <c r="GM214" s="186">
        <f t="shared" si="442"/>
        <v>41970000</v>
      </c>
      <c r="GN214" s="186">
        <f t="shared" si="442"/>
        <v>33576000</v>
      </c>
      <c r="GO214" s="186">
        <f t="shared" si="442"/>
        <v>0</v>
      </c>
      <c r="GP214" s="186">
        <f t="shared" si="442"/>
        <v>0</v>
      </c>
      <c r="GQ214" s="186">
        <f t="shared" si="442"/>
        <v>0</v>
      </c>
      <c r="GR214" s="186">
        <f t="shared" si="442"/>
        <v>0</v>
      </c>
      <c r="GS214" s="186">
        <f t="shared" si="442"/>
        <v>0</v>
      </c>
      <c r="GT214" s="186">
        <f t="shared" si="442"/>
        <v>0</v>
      </c>
      <c r="GU214" s="186">
        <f t="shared" si="442"/>
        <v>54636350</v>
      </c>
      <c r="GV214" s="186">
        <f t="shared" si="442"/>
        <v>76000000</v>
      </c>
      <c r="GW214" s="186">
        <f t="shared" si="442"/>
        <v>41970000</v>
      </c>
      <c r="GX214" s="186">
        <f t="shared" si="442"/>
        <v>33576000</v>
      </c>
      <c r="GY214" s="186">
        <f t="shared" si="442"/>
        <v>0</v>
      </c>
      <c r="GZ214" s="186">
        <f t="shared" si="442"/>
        <v>209181350</v>
      </c>
    </row>
    <row r="215" spans="1:208" ht="164.25" customHeight="1" x14ac:dyDescent="0.2">
      <c r="A215" s="326"/>
      <c r="B215" s="326"/>
      <c r="C215" s="288" t="s">
        <v>516</v>
      </c>
      <c r="D215" s="459" t="s">
        <v>517</v>
      </c>
      <c r="E215" s="265" t="s">
        <v>518</v>
      </c>
      <c r="F215" s="265" t="s">
        <v>519</v>
      </c>
      <c r="G215" s="265">
        <v>149</v>
      </c>
      <c r="H215" s="261" t="s">
        <v>520</v>
      </c>
      <c r="I215" s="275" t="s">
        <v>521</v>
      </c>
      <c r="J215" s="345" t="s">
        <v>444</v>
      </c>
      <c r="K215" s="505">
        <v>2</v>
      </c>
      <c r="L215" s="492" t="s">
        <v>58</v>
      </c>
      <c r="M215" s="264" t="s">
        <v>53</v>
      </c>
      <c r="N215" s="718">
        <v>8</v>
      </c>
      <c r="O215" s="496">
        <v>8</v>
      </c>
      <c r="P215" s="497">
        <v>8</v>
      </c>
      <c r="Q215" s="491">
        <v>8</v>
      </c>
      <c r="R215" s="429"/>
      <c r="S215" s="499">
        <v>9</v>
      </c>
      <c r="T215" s="491">
        <v>8</v>
      </c>
      <c r="U215" s="491"/>
      <c r="V215" s="499">
        <v>8</v>
      </c>
      <c r="W215" s="491">
        <v>8</v>
      </c>
      <c r="X215" s="492"/>
      <c r="Y215" s="645">
        <v>6</v>
      </c>
      <c r="Z215" s="506">
        <f>BM215/BM214</f>
        <v>0.75</v>
      </c>
      <c r="AA215" s="264">
        <v>8</v>
      </c>
      <c r="AB215" s="347" t="s">
        <v>135</v>
      </c>
      <c r="AC215" s="62"/>
      <c r="AD215" s="58"/>
      <c r="AE215" s="59"/>
      <c r="AF215" s="59"/>
      <c r="AG215" s="62"/>
      <c r="AH215" s="58"/>
      <c r="AI215" s="58"/>
      <c r="AJ215" s="58"/>
      <c r="AK215" s="62"/>
      <c r="AL215" s="58"/>
      <c r="AM215" s="58"/>
      <c r="AN215" s="58"/>
      <c r="AO215" s="62"/>
      <c r="AP215" s="58"/>
      <c r="AQ215" s="58"/>
      <c r="AR215" s="58"/>
      <c r="AS215" s="62"/>
      <c r="AT215" s="58"/>
      <c r="AU215" s="59"/>
      <c r="AV215" s="59"/>
      <c r="AW215" s="62"/>
      <c r="AX215" s="58"/>
      <c r="AY215" s="58"/>
      <c r="AZ215" s="58"/>
      <c r="BA215" s="62"/>
      <c r="BB215" s="58"/>
      <c r="BC215" s="58"/>
      <c r="BD215" s="58"/>
      <c r="BE215" s="57">
        <f>10000000+27500000</f>
        <v>37500000</v>
      </c>
      <c r="BF215" s="58">
        <v>37500000</v>
      </c>
      <c r="BG215" s="54">
        <v>31350000</v>
      </c>
      <c r="BH215" s="54">
        <v>31350000</v>
      </c>
      <c r="BI215" s="62"/>
      <c r="BJ215" s="58"/>
      <c r="BK215" s="58"/>
      <c r="BL215" s="58"/>
      <c r="BM215" s="53">
        <f>+AC215+AG215+AK215+AO215+AS215+AW215+BA215+BE215+BI215</f>
        <v>37500000</v>
      </c>
      <c r="BN215" s="54">
        <f t="shared" ref="BN215:BP216" si="443">AD215+AH215+AL215+AP215+AT215+AX215+BB215+BF215+BJ215</f>
        <v>37500000</v>
      </c>
      <c r="BO215" s="54">
        <f t="shared" si="443"/>
        <v>31350000</v>
      </c>
      <c r="BP215" s="54">
        <f t="shared" si="443"/>
        <v>31350000</v>
      </c>
      <c r="BQ215" s="83"/>
      <c r="BR215" s="83"/>
      <c r="BS215" s="83"/>
      <c r="BT215" s="83"/>
      <c r="BU215" s="83"/>
      <c r="BV215" s="82"/>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4">
        <v>38625000</v>
      </c>
      <c r="CW215" s="83">
        <v>38625000</v>
      </c>
      <c r="CX215" s="83">
        <v>38573000</v>
      </c>
      <c r="CY215" s="83">
        <v>38573000</v>
      </c>
      <c r="CZ215" s="83"/>
      <c r="DA215" s="83"/>
      <c r="DB215" s="83"/>
      <c r="DC215" s="83"/>
      <c r="DD215" s="83"/>
      <c r="DE215" s="81">
        <f t="shared" ref="DE215:DH216" si="444">BQ215+BU215+BZ215+CE215+CI215+CM215+CQ215+CV215+DA215</f>
        <v>38625000</v>
      </c>
      <c r="DF215" s="95">
        <f t="shared" si="444"/>
        <v>38625000</v>
      </c>
      <c r="DG215" s="95">
        <f t="shared" si="444"/>
        <v>38573000</v>
      </c>
      <c r="DH215" s="95">
        <f t="shared" si="444"/>
        <v>38573000</v>
      </c>
      <c r="DI215" s="95"/>
      <c r="DJ215" s="84"/>
      <c r="DK215" s="65"/>
      <c r="DL215" s="84"/>
      <c r="DM215" s="84"/>
      <c r="DN215" s="84"/>
      <c r="DO215" s="84">
        <v>3000000</v>
      </c>
      <c r="DP215" s="84">
        <v>2992000</v>
      </c>
      <c r="DQ215" s="84">
        <v>2992000</v>
      </c>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v>39783750</v>
      </c>
      <c r="EO215" s="84">
        <v>30000000</v>
      </c>
      <c r="EP215" s="84">
        <v>28560000</v>
      </c>
      <c r="EQ215" s="84">
        <v>28560000</v>
      </c>
      <c r="ER215" s="84"/>
      <c r="ES215" s="84"/>
      <c r="ET215" s="83"/>
      <c r="EU215" s="83"/>
      <c r="EV215" s="83"/>
      <c r="EW215" s="81">
        <f t="shared" ref="EW215:EX216" si="445">DJ215+DN215+DS215+DX215+EB215+EF215+EJ215+EN215+ES215</f>
        <v>39783750</v>
      </c>
      <c r="EX215" s="86">
        <f t="shared" si="445"/>
        <v>33000000</v>
      </c>
      <c r="EY215" s="86">
        <f t="shared" ref="EY215:EZ216" si="446">DL215+DP215+DU215+DZ215+ED215+EH215+EL215+EP215+EU215</f>
        <v>31552000</v>
      </c>
      <c r="EZ215" s="86">
        <f t="shared" si="446"/>
        <v>31552000</v>
      </c>
      <c r="FA215" s="176"/>
      <c r="FB215" s="83"/>
      <c r="FC215" s="84"/>
      <c r="FD215" s="84"/>
      <c r="FE215" s="84"/>
      <c r="FF215" s="140"/>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4">
        <v>40900000</v>
      </c>
      <c r="GL215" s="84">
        <v>48000000</v>
      </c>
      <c r="GM215" s="84">
        <v>27980000</v>
      </c>
      <c r="GN215" s="84">
        <v>22384000</v>
      </c>
      <c r="GO215" s="84"/>
      <c r="GP215" s="84"/>
      <c r="GQ215" s="83"/>
      <c r="GR215" s="83"/>
      <c r="GS215" s="83"/>
      <c r="GT215" s="83"/>
      <c r="GU215" s="81">
        <f t="shared" ref="GU215:GY216" si="447">FB215+FG215+FL215+FQ215+FV215+GA215+GF215+GK215+GP215</f>
        <v>40900000</v>
      </c>
      <c r="GV215" s="81">
        <f t="shared" si="447"/>
        <v>48000000</v>
      </c>
      <c r="GW215" s="81">
        <f t="shared" si="447"/>
        <v>27980000</v>
      </c>
      <c r="GX215" s="81">
        <f t="shared" si="447"/>
        <v>22384000</v>
      </c>
      <c r="GY215" s="673">
        <f t="shared" si="447"/>
        <v>0</v>
      </c>
      <c r="GZ215" s="67">
        <f>BM215+DE215+EW215+GU215</f>
        <v>156808750</v>
      </c>
    </row>
    <row r="216" spans="1:208" ht="162" customHeight="1" x14ac:dyDescent="0.2">
      <c r="A216" s="326"/>
      <c r="B216" s="326"/>
      <c r="C216" s="277">
        <v>28</v>
      </c>
      <c r="D216" s="359" t="s">
        <v>522</v>
      </c>
      <c r="E216" s="280">
        <v>0.5</v>
      </c>
      <c r="F216" s="280">
        <v>1</v>
      </c>
      <c r="G216" s="265">
        <v>150</v>
      </c>
      <c r="H216" s="261" t="s">
        <v>523</v>
      </c>
      <c r="I216" s="275" t="s">
        <v>524</v>
      </c>
      <c r="J216" s="345" t="s">
        <v>444</v>
      </c>
      <c r="K216" s="505">
        <v>2</v>
      </c>
      <c r="L216" s="492" t="s">
        <v>58</v>
      </c>
      <c r="M216" s="264">
        <v>0</v>
      </c>
      <c r="N216" s="264">
        <v>14</v>
      </c>
      <c r="O216" s="475">
        <v>14</v>
      </c>
      <c r="P216" s="484">
        <v>13</v>
      </c>
      <c r="Q216" s="482">
        <v>14</v>
      </c>
      <c r="R216" s="268"/>
      <c r="S216" s="480">
        <v>9</v>
      </c>
      <c r="T216" s="482">
        <v>14</v>
      </c>
      <c r="U216" s="482"/>
      <c r="V216" s="480">
        <v>14</v>
      </c>
      <c r="W216" s="482">
        <v>14</v>
      </c>
      <c r="X216" s="492"/>
      <c r="Y216" s="645">
        <v>11</v>
      </c>
      <c r="Z216" s="506">
        <f>BM216/BM214</f>
        <v>0.25</v>
      </c>
      <c r="AA216" s="264">
        <v>3</v>
      </c>
      <c r="AB216" s="347" t="s">
        <v>455</v>
      </c>
      <c r="AC216" s="62"/>
      <c r="AD216" s="58"/>
      <c r="AE216" s="59"/>
      <c r="AF216" s="59"/>
      <c r="AG216" s="62"/>
      <c r="AH216" s="58"/>
      <c r="AI216" s="58"/>
      <c r="AJ216" s="58"/>
      <c r="AK216" s="62"/>
      <c r="AL216" s="58"/>
      <c r="AM216" s="58"/>
      <c r="AN216" s="58"/>
      <c r="AO216" s="62"/>
      <c r="AP216" s="58"/>
      <c r="AQ216" s="58"/>
      <c r="AR216" s="58"/>
      <c r="AS216" s="62"/>
      <c r="AT216" s="58"/>
      <c r="AU216" s="59"/>
      <c r="AV216" s="59"/>
      <c r="AW216" s="62"/>
      <c r="AX216" s="58"/>
      <c r="AY216" s="58"/>
      <c r="AZ216" s="58"/>
      <c r="BA216" s="62"/>
      <c r="BB216" s="58"/>
      <c r="BC216" s="58"/>
      <c r="BD216" s="58"/>
      <c r="BE216" s="57">
        <v>12500000</v>
      </c>
      <c r="BF216" s="55">
        <v>12500000</v>
      </c>
      <c r="BG216" s="59">
        <v>11250000</v>
      </c>
      <c r="BH216" s="59">
        <v>11250000</v>
      </c>
      <c r="BI216" s="62"/>
      <c r="BJ216" s="58"/>
      <c r="BK216" s="58"/>
      <c r="BL216" s="58"/>
      <c r="BM216" s="53">
        <f>+AC216+AG216+AK216+AO216+AS216+AW216+BA216+BE216+BI216</f>
        <v>12500000</v>
      </c>
      <c r="BN216" s="54">
        <f t="shared" si="443"/>
        <v>12500000</v>
      </c>
      <c r="BO216" s="54">
        <f t="shared" si="443"/>
        <v>11250000</v>
      </c>
      <c r="BP216" s="54">
        <f t="shared" si="443"/>
        <v>11250000</v>
      </c>
      <c r="BQ216" s="83"/>
      <c r="BR216" s="83"/>
      <c r="BS216" s="83"/>
      <c r="BT216" s="83"/>
      <c r="BU216" s="83"/>
      <c r="BV216" s="82"/>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4">
        <v>12875000</v>
      </c>
      <c r="CW216" s="83">
        <v>12875000</v>
      </c>
      <c r="CX216" s="83">
        <v>12875000</v>
      </c>
      <c r="CY216" s="83">
        <v>12875000</v>
      </c>
      <c r="CZ216" s="83"/>
      <c r="DA216" s="83"/>
      <c r="DB216" s="83"/>
      <c r="DC216" s="83"/>
      <c r="DD216" s="83"/>
      <c r="DE216" s="81">
        <f t="shared" si="444"/>
        <v>12875000</v>
      </c>
      <c r="DF216" s="95">
        <f t="shared" si="444"/>
        <v>12875000</v>
      </c>
      <c r="DG216" s="95">
        <f t="shared" si="444"/>
        <v>12875000</v>
      </c>
      <c r="DH216" s="95">
        <f t="shared" si="444"/>
        <v>12875000</v>
      </c>
      <c r="DI216" s="95"/>
      <c r="DJ216" s="84"/>
      <c r="DK216" s="65"/>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v>13261250</v>
      </c>
      <c r="EO216" s="84">
        <v>30000000</v>
      </c>
      <c r="EP216" s="84">
        <v>27840000</v>
      </c>
      <c r="EQ216" s="84">
        <v>27840000</v>
      </c>
      <c r="ER216" s="84"/>
      <c r="ES216" s="84"/>
      <c r="ET216" s="83"/>
      <c r="EU216" s="83"/>
      <c r="EV216" s="83"/>
      <c r="EW216" s="81">
        <f t="shared" si="445"/>
        <v>13261250</v>
      </c>
      <c r="EX216" s="86">
        <f t="shared" si="445"/>
        <v>30000000</v>
      </c>
      <c r="EY216" s="86">
        <f t="shared" si="446"/>
        <v>27840000</v>
      </c>
      <c r="EZ216" s="86">
        <f t="shared" si="446"/>
        <v>27840000</v>
      </c>
      <c r="FA216" s="176"/>
      <c r="FB216" s="83"/>
      <c r="FC216" s="84"/>
      <c r="FD216" s="84"/>
      <c r="FE216" s="84"/>
      <c r="FF216" s="140"/>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4">
        <v>13736350</v>
      </c>
      <c r="GL216" s="84">
        <v>28000000</v>
      </c>
      <c r="GM216" s="84">
        <v>13990000</v>
      </c>
      <c r="GN216" s="84">
        <v>11192000</v>
      </c>
      <c r="GO216" s="84"/>
      <c r="GP216" s="84"/>
      <c r="GQ216" s="83"/>
      <c r="GR216" s="83"/>
      <c r="GS216" s="83"/>
      <c r="GT216" s="83"/>
      <c r="GU216" s="81">
        <f t="shared" si="447"/>
        <v>13736350</v>
      </c>
      <c r="GV216" s="81">
        <f t="shared" si="447"/>
        <v>28000000</v>
      </c>
      <c r="GW216" s="81">
        <f t="shared" si="447"/>
        <v>13990000</v>
      </c>
      <c r="GX216" s="81">
        <f t="shared" si="447"/>
        <v>11192000</v>
      </c>
      <c r="GY216" s="673">
        <f t="shared" si="447"/>
        <v>0</v>
      </c>
      <c r="GZ216" s="67">
        <f>BM216+DE216+EW216+GU216</f>
        <v>52372600</v>
      </c>
    </row>
    <row r="217" spans="1:208" ht="24.75" customHeight="1" x14ac:dyDescent="0.2">
      <c r="A217" s="326"/>
      <c r="B217" s="326"/>
      <c r="C217" s="246">
        <v>43</v>
      </c>
      <c r="D217" s="247" t="s">
        <v>525</v>
      </c>
      <c r="E217" s="250"/>
      <c r="F217" s="250"/>
      <c r="G217" s="249"/>
      <c r="H217" s="249"/>
      <c r="I217" s="249"/>
      <c r="J217" s="249"/>
      <c r="K217" s="249"/>
      <c r="L217" s="249"/>
      <c r="M217" s="249"/>
      <c r="N217" s="249"/>
      <c r="O217" s="249"/>
      <c r="P217" s="249"/>
      <c r="Q217" s="249"/>
      <c r="R217" s="249"/>
      <c r="S217" s="249"/>
      <c r="T217" s="249"/>
      <c r="U217" s="249"/>
      <c r="V217" s="249"/>
      <c r="W217" s="249"/>
      <c r="X217" s="249"/>
      <c r="Y217" s="296"/>
      <c r="Z217" s="249"/>
      <c r="AA217" s="249"/>
      <c r="AB217" s="249"/>
      <c r="AC217" s="51">
        <f t="shared" ref="AC217:BL217" si="448">SUM(AC218:AC220)</f>
        <v>0</v>
      </c>
      <c r="AD217" s="51">
        <f t="shared" si="448"/>
        <v>0</v>
      </c>
      <c r="AE217" s="51">
        <f t="shared" si="448"/>
        <v>0</v>
      </c>
      <c r="AF217" s="51">
        <f t="shared" si="448"/>
        <v>0</v>
      </c>
      <c r="AG217" s="51">
        <f t="shared" si="448"/>
        <v>1159435758</v>
      </c>
      <c r="AH217" s="51">
        <f t="shared" si="448"/>
        <v>1237889758</v>
      </c>
      <c r="AI217" s="51">
        <f t="shared" si="448"/>
        <v>622609160</v>
      </c>
      <c r="AJ217" s="51">
        <f t="shared" si="448"/>
        <v>608938568</v>
      </c>
      <c r="AK217" s="51">
        <f t="shared" si="448"/>
        <v>150000000</v>
      </c>
      <c r="AL217" s="51">
        <f t="shared" si="448"/>
        <v>150000000</v>
      </c>
      <c r="AM217" s="51">
        <f t="shared" si="448"/>
        <v>0</v>
      </c>
      <c r="AN217" s="51">
        <f t="shared" si="448"/>
        <v>0</v>
      </c>
      <c r="AO217" s="51">
        <f t="shared" si="448"/>
        <v>0</v>
      </c>
      <c r="AP217" s="51">
        <f t="shared" si="448"/>
        <v>0</v>
      </c>
      <c r="AQ217" s="51">
        <f t="shared" si="448"/>
        <v>0</v>
      </c>
      <c r="AR217" s="51">
        <f t="shared" si="448"/>
        <v>0</v>
      </c>
      <c r="AS217" s="51">
        <f t="shared" si="448"/>
        <v>0</v>
      </c>
      <c r="AT217" s="51">
        <f t="shared" si="448"/>
        <v>0</v>
      </c>
      <c r="AU217" s="51">
        <f t="shared" si="448"/>
        <v>0</v>
      </c>
      <c r="AV217" s="51">
        <f t="shared" si="448"/>
        <v>0</v>
      </c>
      <c r="AW217" s="51">
        <f t="shared" si="448"/>
        <v>0</v>
      </c>
      <c r="AX217" s="51">
        <f t="shared" si="448"/>
        <v>0</v>
      </c>
      <c r="AY217" s="51">
        <f t="shared" si="448"/>
        <v>0</v>
      </c>
      <c r="AZ217" s="51">
        <f t="shared" si="448"/>
        <v>0</v>
      </c>
      <c r="BA217" s="51">
        <f t="shared" si="448"/>
        <v>0</v>
      </c>
      <c r="BB217" s="51">
        <f t="shared" si="448"/>
        <v>0</v>
      </c>
      <c r="BC217" s="51">
        <f t="shared" si="448"/>
        <v>0</v>
      </c>
      <c r="BD217" s="51">
        <f t="shared" si="448"/>
        <v>0</v>
      </c>
      <c r="BE217" s="51">
        <f t="shared" si="448"/>
        <v>76771008</v>
      </c>
      <c r="BF217" s="51">
        <f t="shared" si="448"/>
        <v>76771008</v>
      </c>
      <c r="BG217" s="51">
        <f t="shared" si="448"/>
        <v>48073666</v>
      </c>
      <c r="BH217" s="51">
        <f t="shared" si="448"/>
        <v>48073666</v>
      </c>
      <c r="BI217" s="51">
        <f t="shared" si="448"/>
        <v>0</v>
      </c>
      <c r="BJ217" s="51">
        <f t="shared" si="448"/>
        <v>0</v>
      </c>
      <c r="BK217" s="51">
        <f t="shared" si="448"/>
        <v>0</v>
      </c>
      <c r="BL217" s="51">
        <f t="shared" si="448"/>
        <v>0</v>
      </c>
      <c r="BM217" s="51">
        <f t="shared" ref="BM217:DX217" si="449">SUM(BM218:BM220)</f>
        <v>1386206766</v>
      </c>
      <c r="BN217" s="51">
        <f t="shared" si="449"/>
        <v>1464660766</v>
      </c>
      <c r="BO217" s="51">
        <f t="shared" si="449"/>
        <v>670682826</v>
      </c>
      <c r="BP217" s="51">
        <f t="shared" si="449"/>
        <v>657012234</v>
      </c>
      <c r="BQ217" s="51">
        <f t="shared" si="449"/>
        <v>0</v>
      </c>
      <c r="BR217" s="51">
        <f t="shared" si="449"/>
        <v>0</v>
      </c>
      <c r="BS217" s="51">
        <f t="shared" si="449"/>
        <v>0</v>
      </c>
      <c r="BT217" s="51">
        <f t="shared" si="449"/>
        <v>0</v>
      </c>
      <c r="BU217" s="51">
        <f t="shared" si="449"/>
        <v>717874879</v>
      </c>
      <c r="BV217" s="51">
        <f t="shared" si="449"/>
        <v>655342908</v>
      </c>
      <c r="BW217" s="51">
        <f t="shared" si="449"/>
        <v>630480000</v>
      </c>
      <c r="BX217" s="51">
        <f t="shared" si="449"/>
        <v>630480000</v>
      </c>
      <c r="BY217" s="51">
        <f t="shared" si="449"/>
        <v>0</v>
      </c>
      <c r="BZ217" s="51">
        <f t="shared" si="449"/>
        <v>100000000</v>
      </c>
      <c r="CA217" s="51">
        <f t="shared" si="449"/>
        <v>100000000</v>
      </c>
      <c r="CB217" s="51">
        <f t="shared" si="449"/>
        <v>90400614</v>
      </c>
      <c r="CC217" s="51">
        <f t="shared" si="449"/>
        <v>90400614</v>
      </c>
      <c r="CD217" s="51">
        <f t="shared" si="449"/>
        <v>0</v>
      </c>
      <c r="CE217" s="51">
        <f t="shared" si="449"/>
        <v>0</v>
      </c>
      <c r="CF217" s="51">
        <f t="shared" si="449"/>
        <v>719782544.13</v>
      </c>
      <c r="CG217" s="51">
        <f t="shared" si="449"/>
        <v>338985315</v>
      </c>
      <c r="CH217" s="51">
        <f t="shared" si="449"/>
        <v>278985315</v>
      </c>
      <c r="CI217" s="51">
        <f t="shared" si="449"/>
        <v>0</v>
      </c>
      <c r="CJ217" s="51">
        <f t="shared" si="449"/>
        <v>0</v>
      </c>
      <c r="CK217" s="51">
        <f t="shared" si="449"/>
        <v>0</v>
      </c>
      <c r="CL217" s="51">
        <f t="shared" si="449"/>
        <v>0</v>
      </c>
      <c r="CM217" s="51">
        <f t="shared" si="449"/>
        <v>0</v>
      </c>
      <c r="CN217" s="51">
        <f t="shared" si="449"/>
        <v>0</v>
      </c>
      <c r="CO217" s="51">
        <f t="shared" si="449"/>
        <v>0</v>
      </c>
      <c r="CP217" s="51">
        <f t="shared" si="449"/>
        <v>0</v>
      </c>
      <c r="CQ217" s="51">
        <f t="shared" si="449"/>
        <v>0</v>
      </c>
      <c r="CR217" s="51">
        <f t="shared" si="449"/>
        <v>0</v>
      </c>
      <c r="CS217" s="51">
        <f t="shared" si="449"/>
        <v>0</v>
      </c>
      <c r="CT217" s="51">
        <f t="shared" si="449"/>
        <v>0</v>
      </c>
      <c r="CU217" s="51">
        <f t="shared" si="449"/>
        <v>0</v>
      </c>
      <c r="CV217" s="51">
        <f t="shared" si="449"/>
        <v>84258044</v>
      </c>
      <c r="CW217" s="51">
        <f t="shared" si="449"/>
        <v>209858044</v>
      </c>
      <c r="CX217" s="51">
        <f t="shared" si="449"/>
        <v>201533333.32999998</v>
      </c>
      <c r="CY217" s="51">
        <f t="shared" si="449"/>
        <v>201533333.32999998</v>
      </c>
      <c r="CZ217" s="51">
        <f t="shared" si="449"/>
        <v>0</v>
      </c>
      <c r="DA217" s="51">
        <f t="shared" si="449"/>
        <v>0</v>
      </c>
      <c r="DB217" s="51">
        <f t="shared" si="449"/>
        <v>0</v>
      </c>
      <c r="DC217" s="51">
        <f t="shared" si="449"/>
        <v>0</v>
      </c>
      <c r="DD217" s="51">
        <f t="shared" si="449"/>
        <v>0</v>
      </c>
      <c r="DE217" s="51">
        <f t="shared" si="449"/>
        <v>902132923</v>
      </c>
      <c r="DF217" s="51">
        <f t="shared" si="449"/>
        <v>1684983496.1300001</v>
      </c>
      <c r="DG217" s="51">
        <f t="shared" si="449"/>
        <v>1261399262.3299999</v>
      </c>
      <c r="DH217" s="51">
        <f t="shared" si="449"/>
        <v>1201399262.3299999</v>
      </c>
      <c r="DI217" s="51">
        <f t="shared" si="449"/>
        <v>0</v>
      </c>
      <c r="DJ217" s="51">
        <f t="shared" si="449"/>
        <v>0</v>
      </c>
      <c r="DK217" s="51">
        <f t="shared" si="449"/>
        <v>0</v>
      </c>
      <c r="DL217" s="51">
        <f t="shared" si="449"/>
        <v>0</v>
      </c>
      <c r="DM217" s="51">
        <f t="shared" si="449"/>
        <v>0</v>
      </c>
      <c r="DN217" s="51">
        <f t="shared" si="449"/>
        <v>739411125.43180001</v>
      </c>
      <c r="DO217" s="51">
        <f t="shared" si="449"/>
        <v>545977580</v>
      </c>
      <c r="DP217" s="51">
        <f t="shared" si="449"/>
        <v>390904000</v>
      </c>
      <c r="DQ217" s="51">
        <f t="shared" si="449"/>
        <v>253221190</v>
      </c>
      <c r="DR217" s="51">
        <f t="shared" si="449"/>
        <v>0</v>
      </c>
      <c r="DS217" s="51">
        <f t="shared" si="449"/>
        <v>0</v>
      </c>
      <c r="DT217" s="51">
        <f t="shared" si="449"/>
        <v>60000000</v>
      </c>
      <c r="DU217" s="51">
        <f t="shared" si="449"/>
        <v>58620000</v>
      </c>
      <c r="DV217" s="51">
        <f t="shared" si="449"/>
        <v>58620000</v>
      </c>
      <c r="DW217" s="51">
        <f t="shared" si="449"/>
        <v>0</v>
      </c>
      <c r="DX217" s="51">
        <f t="shared" si="449"/>
        <v>0</v>
      </c>
      <c r="DY217" s="51">
        <f t="shared" ref="DY217:EW217" si="450">SUM(DY218:DY220)</f>
        <v>723669712</v>
      </c>
      <c r="DZ217" s="51">
        <f t="shared" si="450"/>
        <v>323275057</v>
      </c>
      <c r="EA217" s="51">
        <f t="shared" si="450"/>
        <v>323275057</v>
      </c>
      <c r="EB217" s="51">
        <f t="shared" si="450"/>
        <v>0</v>
      </c>
      <c r="EC217" s="51">
        <f t="shared" si="450"/>
        <v>0</v>
      </c>
      <c r="ED217" s="51">
        <f t="shared" si="450"/>
        <v>0</v>
      </c>
      <c r="EE217" s="51">
        <f t="shared" si="450"/>
        <v>0</v>
      </c>
      <c r="EF217" s="51">
        <f t="shared" si="450"/>
        <v>0</v>
      </c>
      <c r="EG217" s="51">
        <f t="shared" si="450"/>
        <v>0</v>
      </c>
      <c r="EH217" s="51">
        <f t="shared" si="450"/>
        <v>0</v>
      </c>
      <c r="EI217" s="51">
        <f t="shared" si="450"/>
        <v>0</v>
      </c>
      <c r="EJ217" s="51">
        <f t="shared" si="450"/>
        <v>0</v>
      </c>
      <c r="EK217" s="51">
        <f t="shared" si="450"/>
        <v>0</v>
      </c>
      <c r="EL217" s="51">
        <f t="shared" si="450"/>
        <v>0</v>
      </c>
      <c r="EM217" s="51">
        <f t="shared" si="450"/>
        <v>0</v>
      </c>
      <c r="EN217" s="51">
        <f t="shared" si="450"/>
        <v>86785784.568199992</v>
      </c>
      <c r="EO217" s="51">
        <f t="shared" si="450"/>
        <v>188676711</v>
      </c>
      <c r="EP217" s="51">
        <f t="shared" si="450"/>
        <v>160030000</v>
      </c>
      <c r="EQ217" s="51">
        <f t="shared" si="450"/>
        <v>160030000</v>
      </c>
      <c r="ER217" s="51">
        <f t="shared" si="450"/>
        <v>0</v>
      </c>
      <c r="ES217" s="51">
        <f t="shared" si="450"/>
        <v>0</v>
      </c>
      <c r="ET217" s="51">
        <f t="shared" si="450"/>
        <v>0</v>
      </c>
      <c r="EU217" s="51">
        <f t="shared" si="450"/>
        <v>0</v>
      </c>
      <c r="EV217" s="51">
        <f t="shared" si="450"/>
        <v>0</v>
      </c>
      <c r="EW217" s="51">
        <f t="shared" si="450"/>
        <v>826196910</v>
      </c>
      <c r="EX217" s="51">
        <f t="shared" ref="EX217:GZ217" si="451">SUM(EX218:EX220)</f>
        <v>1518324003</v>
      </c>
      <c r="EY217" s="51">
        <f t="shared" si="451"/>
        <v>932829057</v>
      </c>
      <c r="EZ217" s="51">
        <f t="shared" si="451"/>
        <v>795146247</v>
      </c>
      <c r="FA217" s="51">
        <f t="shared" si="451"/>
        <v>0</v>
      </c>
      <c r="FB217" s="51">
        <f t="shared" si="451"/>
        <v>0</v>
      </c>
      <c r="FC217" s="51">
        <f t="shared" si="451"/>
        <v>0</v>
      </c>
      <c r="FD217" s="51">
        <f t="shared" si="451"/>
        <v>0</v>
      </c>
      <c r="FE217" s="51">
        <f t="shared" si="451"/>
        <v>0</v>
      </c>
      <c r="FF217" s="51">
        <f t="shared" si="451"/>
        <v>0</v>
      </c>
      <c r="FG217" s="51">
        <f t="shared" si="451"/>
        <v>761593459</v>
      </c>
      <c r="FH217" s="51">
        <f t="shared" si="451"/>
        <v>590675459</v>
      </c>
      <c r="FI217" s="51">
        <f t="shared" si="451"/>
        <v>0</v>
      </c>
      <c r="FJ217" s="51">
        <f t="shared" si="451"/>
        <v>0</v>
      </c>
      <c r="FK217" s="51">
        <f t="shared" si="451"/>
        <v>0</v>
      </c>
      <c r="FL217" s="51">
        <f t="shared" si="451"/>
        <v>0</v>
      </c>
      <c r="FM217" s="51">
        <f t="shared" si="451"/>
        <v>36000000</v>
      </c>
      <c r="FN217" s="51">
        <f t="shared" si="451"/>
        <v>27980000</v>
      </c>
      <c r="FO217" s="51">
        <f t="shared" si="451"/>
        <v>19586000</v>
      </c>
      <c r="FP217" s="51">
        <f t="shared" si="451"/>
        <v>0</v>
      </c>
      <c r="FQ217" s="51">
        <f t="shared" si="451"/>
        <v>0</v>
      </c>
      <c r="FR217" s="51">
        <f t="shared" si="451"/>
        <v>822800528</v>
      </c>
      <c r="FS217" s="51">
        <f t="shared" si="451"/>
        <v>236690000</v>
      </c>
      <c r="FT217" s="51">
        <f t="shared" si="451"/>
        <v>195111616</v>
      </c>
      <c r="FU217" s="51">
        <f t="shared" si="451"/>
        <v>0</v>
      </c>
      <c r="FV217" s="51">
        <f t="shared" si="451"/>
        <v>0</v>
      </c>
      <c r="FW217" s="51">
        <f t="shared" si="451"/>
        <v>0</v>
      </c>
      <c r="FX217" s="51">
        <f t="shared" si="451"/>
        <v>0</v>
      </c>
      <c r="FY217" s="51">
        <f t="shared" si="451"/>
        <v>0</v>
      </c>
      <c r="FZ217" s="51">
        <f t="shared" si="451"/>
        <v>0</v>
      </c>
      <c r="GA217" s="51">
        <f t="shared" si="451"/>
        <v>0</v>
      </c>
      <c r="GB217" s="51">
        <f t="shared" si="451"/>
        <v>0</v>
      </c>
      <c r="GC217" s="51">
        <f t="shared" si="451"/>
        <v>0</v>
      </c>
      <c r="GD217" s="51">
        <f t="shared" si="451"/>
        <v>0</v>
      </c>
      <c r="GE217" s="51">
        <f t="shared" si="451"/>
        <v>0</v>
      </c>
      <c r="GF217" s="51">
        <f t="shared" si="451"/>
        <v>0</v>
      </c>
      <c r="GG217" s="51">
        <f t="shared" si="451"/>
        <v>0</v>
      </c>
      <c r="GH217" s="51">
        <f t="shared" si="451"/>
        <v>0</v>
      </c>
      <c r="GI217" s="51">
        <f t="shared" si="451"/>
        <v>0</v>
      </c>
      <c r="GJ217" s="51">
        <f t="shared" si="451"/>
        <v>0</v>
      </c>
      <c r="GK217" s="51">
        <f t="shared" si="451"/>
        <v>89389358</v>
      </c>
      <c r="GL217" s="51">
        <f t="shared" si="451"/>
        <v>166000000</v>
      </c>
      <c r="GM217" s="51">
        <f t="shared" si="451"/>
        <v>92425000</v>
      </c>
      <c r="GN217" s="51">
        <f t="shared" si="451"/>
        <v>71142000</v>
      </c>
      <c r="GO217" s="51">
        <f t="shared" si="451"/>
        <v>0</v>
      </c>
      <c r="GP217" s="51">
        <f t="shared" si="451"/>
        <v>0</v>
      </c>
      <c r="GQ217" s="51">
        <f t="shared" si="451"/>
        <v>0</v>
      </c>
      <c r="GR217" s="51">
        <f t="shared" si="451"/>
        <v>0</v>
      </c>
      <c r="GS217" s="51">
        <f t="shared" si="451"/>
        <v>0</v>
      </c>
      <c r="GT217" s="51">
        <f t="shared" si="451"/>
        <v>0</v>
      </c>
      <c r="GU217" s="51">
        <f t="shared" si="451"/>
        <v>850982817</v>
      </c>
      <c r="GV217" s="51">
        <f t="shared" si="451"/>
        <v>1615475987</v>
      </c>
      <c r="GW217" s="51">
        <f t="shared" si="451"/>
        <v>357095000</v>
      </c>
      <c r="GX217" s="51">
        <f t="shared" si="451"/>
        <v>285839616</v>
      </c>
      <c r="GY217" s="51">
        <f t="shared" si="451"/>
        <v>0</v>
      </c>
      <c r="GZ217" s="51">
        <f t="shared" si="451"/>
        <v>3965519416</v>
      </c>
    </row>
    <row r="218" spans="1:208" ht="193.5" customHeight="1" x14ac:dyDescent="0.2">
      <c r="A218" s="326"/>
      <c r="B218" s="326"/>
      <c r="C218" s="456" t="s">
        <v>526</v>
      </c>
      <c r="D218" s="769" t="s">
        <v>527</v>
      </c>
      <c r="E218" s="1039">
        <v>0</v>
      </c>
      <c r="F218" s="1039">
        <v>1</v>
      </c>
      <c r="G218" s="265">
        <v>151</v>
      </c>
      <c r="H218" s="261" t="s">
        <v>528</v>
      </c>
      <c r="I218" s="275" t="s">
        <v>529</v>
      </c>
      <c r="J218" s="345" t="s">
        <v>444</v>
      </c>
      <c r="K218" s="505">
        <v>2</v>
      </c>
      <c r="L218" s="482" t="s">
        <v>58</v>
      </c>
      <c r="M218" s="264" t="s">
        <v>53</v>
      </c>
      <c r="N218" s="264">
        <v>12</v>
      </c>
      <c r="O218" s="475">
        <v>12</v>
      </c>
      <c r="P218" s="484">
        <v>12</v>
      </c>
      <c r="Q218" s="482">
        <v>12</v>
      </c>
      <c r="R218" s="268"/>
      <c r="S218" s="480">
        <v>12</v>
      </c>
      <c r="T218" s="482">
        <v>12</v>
      </c>
      <c r="U218" s="482"/>
      <c r="V218" s="480">
        <v>12</v>
      </c>
      <c r="W218" s="482">
        <v>12</v>
      </c>
      <c r="X218" s="492"/>
      <c r="Y218" s="645">
        <v>12</v>
      </c>
      <c r="Z218" s="506">
        <f>BM218/$BM$217</f>
        <v>0.10820896541490406</v>
      </c>
      <c r="AA218" s="264">
        <v>3</v>
      </c>
      <c r="AB218" s="347" t="s">
        <v>455</v>
      </c>
      <c r="AC218" s="62"/>
      <c r="AD218" s="58"/>
      <c r="AE218" s="59"/>
      <c r="AF218" s="59"/>
      <c r="AG218" s="62"/>
      <c r="AH218" s="58"/>
      <c r="AI218" s="58"/>
      <c r="AJ218" s="58"/>
      <c r="AK218" s="57">
        <v>150000000</v>
      </c>
      <c r="AL218" s="55">
        <v>150000000</v>
      </c>
      <c r="AM218" s="55">
        <v>0</v>
      </c>
      <c r="AN218" s="58">
        <v>0</v>
      </c>
      <c r="AO218" s="62"/>
      <c r="AP218" s="58"/>
      <c r="AQ218" s="58"/>
      <c r="AR218" s="58"/>
      <c r="AS218" s="62"/>
      <c r="AT218" s="58"/>
      <c r="AU218" s="59"/>
      <c r="AV218" s="59"/>
      <c r="AW218" s="62"/>
      <c r="AX218" s="58"/>
      <c r="AY218" s="58"/>
      <c r="AZ218" s="58"/>
      <c r="BA218" s="62"/>
      <c r="BB218" s="58"/>
      <c r="BC218" s="58"/>
      <c r="BD218" s="58"/>
      <c r="BE218" s="62"/>
      <c r="BF218" s="58"/>
      <c r="BG218" s="59"/>
      <c r="BH218" s="59"/>
      <c r="BI218" s="62"/>
      <c r="BJ218" s="58"/>
      <c r="BK218" s="58"/>
      <c r="BL218" s="58"/>
      <c r="BM218" s="53">
        <f>+AC218+AG218+AK218+AO218+AS218+AW218+BA218+BE218+BI218</f>
        <v>150000000</v>
      </c>
      <c r="BN218" s="54">
        <f t="shared" ref="BN218:BP220" si="452">AD218+AH218+AL218+AP218+AT218+AX218+BB218+BF218+BJ218</f>
        <v>150000000</v>
      </c>
      <c r="BO218" s="54">
        <f t="shared" si="452"/>
        <v>0</v>
      </c>
      <c r="BP218" s="54">
        <f t="shared" si="452"/>
        <v>0</v>
      </c>
      <c r="BQ218" s="83"/>
      <c r="BR218" s="83"/>
      <c r="BS218" s="83"/>
      <c r="BT218" s="83"/>
      <c r="BU218" s="84"/>
      <c r="BV218" s="65"/>
      <c r="BW218" s="84"/>
      <c r="BX218" s="84"/>
      <c r="BY218" s="84"/>
      <c r="BZ218" s="84"/>
      <c r="CA218" s="83">
        <v>100000000</v>
      </c>
      <c r="CB218" s="83">
        <v>90400614</v>
      </c>
      <c r="CC218" s="83">
        <v>90400614</v>
      </c>
      <c r="CD218" s="83"/>
      <c r="CE218" s="83"/>
      <c r="CF218" s="83"/>
      <c r="CG218" s="83"/>
      <c r="CH218" s="83"/>
      <c r="CI218" s="83"/>
      <c r="CJ218" s="83"/>
      <c r="CK218" s="83"/>
      <c r="CL218" s="83"/>
      <c r="CM218" s="83"/>
      <c r="CN218" s="83"/>
      <c r="CO218" s="83"/>
      <c r="CP218" s="83"/>
      <c r="CQ218" s="83"/>
      <c r="CR218" s="83"/>
      <c r="CS218" s="83"/>
      <c r="CT218" s="83"/>
      <c r="CU218" s="83"/>
      <c r="CV218" s="83"/>
      <c r="CW218" s="83">
        <v>120837740</v>
      </c>
      <c r="CX218" s="83">
        <v>116573333.33</v>
      </c>
      <c r="CY218" s="83">
        <v>116573333.33</v>
      </c>
      <c r="CZ218" s="83"/>
      <c r="DA218" s="83"/>
      <c r="DB218" s="83"/>
      <c r="DC218" s="83"/>
      <c r="DD218" s="83"/>
      <c r="DE218" s="81">
        <f t="shared" ref="DE218:DH220" si="453">BQ218+BU218+BZ218+CE218+CI218+CM218+CQ218+CV218+DA218</f>
        <v>0</v>
      </c>
      <c r="DF218" s="95">
        <f t="shared" si="453"/>
        <v>220837740</v>
      </c>
      <c r="DG218" s="95">
        <f t="shared" si="453"/>
        <v>206973947.32999998</v>
      </c>
      <c r="DH218" s="95">
        <f t="shared" si="453"/>
        <v>206973947.32999998</v>
      </c>
      <c r="DI218" s="95"/>
      <c r="DJ218" s="84"/>
      <c r="DK218" s="65"/>
      <c r="DL218" s="84"/>
      <c r="DM218" s="84"/>
      <c r="DN218" s="84">
        <v>48314215.431800008</v>
      </c>
      <c r="DO218" s="84">
        <v>10260000</v>
      </c>
      <c r="DP218" s="84">
        <v>8904000</v>
      </c>
      <c r="DQ218" s="84">
        <v>8904000</v>
      </c>
      <c r="DR218" s="84"/>
      <c r="DS218" s="84"/>
      <c r="DT218" s="84">
        <v>60000000</v>
      </c>
      <c r="DU218" s="84">
        <v>58620000</v>
      </c>
      <c r="DV218" s="84">
        <v>58620000</v>
      </c>
      <c r="DW218" s="84"/>
      <c r="DX218" s="84"/>
      <c r="DY218" s="84"/>
      <c r="DZ218" s="84"/>
      <c r="EA218" s="84"/>
      <c r="EB218" s="84"/>
      <c r="EC218" s="84"/>
      <c r="ED218" s="84"/>
      <c r="EE218" s="84"/>
      <c r="EF218" s="84"/>
      <c r="EG218" s="84"/>
      <c r="EH218" s="84"/>
      <c r="EI218" s="84"/>
      <c r="EJ218" s="84"/>
      <c r="EK218" s="84"/>
      <c r="EL218" s="84"/>
      <c r="EM218" s="84"/>
      <c r="EN218" s="84">
        <v>41085784.568199992</v>
      </c>
      <c r="EO218" s="84">
        <v>60916711</v>
      </c>
      <c r="EP218" s="84">
        <v>60066000</v>
      </c>
      <c r="EQ218" s="84">
        <v>60066000</v>
      </c>
      <c r="ER218" s="84"/>
      <c r="ES218" s="84"/>
      <c r="ET218" s="83"/>
      <c r="EU218" s="83"/>
      <c r="EV218" s="83"/>
      <c r="EW218" s="81">
        <f t="shared" ref="EW218:EX220" si="454">DJ218+DN218+DS218+DX218+EB218+EF218+EJ218+EN218+ES218</f>
        <v>89400000</v>
      </c>
      <c r="EX218" s="86">
        <f t="shared" si="454"/>
        <v>131176711</v>
      </c>
      <c r="EY218" s="86">
        <f t="shared" ref="EY218:EZ220" si="455">DL218+DP218+DU218+DZ218+ED218+EH218+EL218+EP218+EU218</f>
        <v>127590000</v>
      </c>
      <c r="EZ218" s="86">
        <f t="shared" si="455"/>
        <v>127590000</v>
      </c>
      <c r="FA218" s="176"/>
      <c r="FB218" s="83"/>
      <c r="FC218" s="84"/>
      <c r="FD218" s="84"/>
      <c r="FE218" s="84"/>
      <c r="FF218" s="140"/>
      <c r="FG218" s="65">
        <v>49710642</v>
      </c>
      <c r="FH218" s="82"/>
      <c r="FI218" s="82"/>
      <c r="FJ218" s="82"/>
      <c r="FK218" s="82"/>
      <c r="FL218" s="83"/>
      <c r="FM218" s="83">
        <v>36000000</v>
      </c>
      <c r="FN218" s="83">
        <v>27980000</v>
      </c>
      <c r="FO218" s="83">
        <v>19586000</v>
      </c>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v>42289358</v>
      </c>
      <c r="GL218" s="83">
        <f>48000000+32000000</f>
        <v>80000000</v>
      </c>
      <c r="GM218" s="83">
        <v>38845000</v>
      </c>
      <c r="GN218" s="83">
        <v>31076000</v>
      </c>
      <c r="GO218" s="83"/>
      <c r="GP218" s="83"/>
      <c r="GQ218" s="83"/>
      <c r="GR218" s="83"/>
      <c r="GS218" s="83"/>
      <c r="GT218" s="83"/>
      <c r="GU218" s="81">
        <f t="shared" ref="GU218:GY220" si="456">FB218+FG218+FL218+FQ218+FV218+GA218+GF218+GK218+GP218</f>
        <v>92000000</v>
      </c>
      <c r="GV218" s="81">
        <f t="shared" si="456"/>
        <v>116000000</v>
      </c>
      <c r="GW218" s="81">
        <f t="shared" si="456"/>
        <v>66825000</v>
      </c>
      <c r="GX218" s="81">
        <f t="shared" si="456"/>
        <v>50662000</v>
      </c>
      <c r="GY218" s="673">
        <f t="shared" si="456"/>
        <v>0</v>
      </c>
      <c r="GZ218" s="67">
        <f>BM218+DE218+EW218+GU218</f>
        <v>331400000</v>
      </c>
    </row>
    <row r="219" spans="1:208" ht="98.25" customHeight="1" x14ac:dyDescent="0.2">
      <c r="A219" s="326"/>
      <c r="B219" s="326"/>
      <c r="C219" s="279"/>
      <c r="D219" s="763"/>
      <c r="E219" s="764"/>
      <c r="F219" s="764"/>
      <c r="G219" s="265">
        <v>152</v>
      </c>
      <c r="H219" s="261" t="s">
        <v>530</v>
      </c>
      <c r="I219" s="275" t="s">
        <v>443</v>
      </c>
      <c r="J219" s="345" t="s">
        <v>444</v>
      </c>
      <c r="K219" s="505">
        <v>2</v>
      </c>
      <c r="L219" s="482" t="s">
        <v>58</v>
      </c>
      <c r="M219" s="264" t="s">
        <v>53</v>
      </c>
      <c r="N219" s="264">
        <v>1</v>
      </c>
      <c r="O219" s="1032">
        <v>1</v>
      </c>
      <c r="P219" s="1033">
        <v>1</v>
      </c>
      <c r="Q219" s="487">
        <v>1</v>
      </c>
      <c r="R219" s="268"/>
      <c r="S219" s="507">
        <v>1</v>
      </c>
      <c r="T219" s="487">
        <v>1</v>
      </c>
      <c r="U219" s="487"/>
      <c r="V219" s="507">
        <v>1</v>
      </c>
      <c r="W219" s="487">
        <v>1</v>
      </c>
      <c r="X219" s="482"/>
      <c r="Y219" s="645">
        <v>1</v>
      </c>
      <c r="Z219" s="506">
        <f>BM219/$BM$217</f>
        <v>5.5382075663595487E-2</v>
      </c>
      <c r="AA219" s="264">
        <v>3</v>
      </c>
      <c r="AB219" s="347" t="s">
        <v>455</v>
      </c>
      <c r="AC219" s="62"/>
      <c r="AD219" s="58"/>
      <c r="AE219" s="59"/>
      <c r="AF219" s="59"/>
      <c r="AG219" s="62"/>
      <c r="AH219" s="58"/>
      <c r="AI219" s="58"/>
      <c r="AJ219" s="58"/>
      <c r="AK219" s="62"/>
      <c r="AL219" s="58"/>
      <c r="AM219" s="58"/>
      <c r="AN219" s="58"/>
      <c r="AO219" s="62"/>
      <c r="AP219" s="58"/>
      <c r="AQ219" s="58"/>
      <c r="AR219" s="58"/>
      <c r="AS219" s="62"/>
      <c r="AT219" s="58"/>
      <c r="AU219" s="59"/>
      <c r="AV219" s="59"/>
      <c r="AW219" s="62"/>
      <c r="AX219" s="58"/>
      <c r="AY219" s="58"/>
      <c r="AZ219" s="58"/>
      <c r="BA219" s="62"/>
      <c r="BB219" s="58"/>
      <c r="BC219" s="58"/>
      <c r="BD219" s="58"/>
      <c r="BE219" s="57">
        <v>76771008</v>
      </c>
      <c r="BF219" s="55">
        <v>76771008</v>
      </c>
      <c r="BG219" s="54">
        <v>48073666</v>
      </c>
      <c r="BH219" s="59">
        <v>48073666</v>
      </c>
      <c r="BI219" s="62"/>
      <c r="BJ219" s="58"/>
      <c r="BK219" s="58"/>
      <c r="BL219" s="58"/>
      <c r="BM219" s="53">
        <f>+AC219+AG219+AK219+AO219+AS219+AW219+BA219+BE219+BI219</f>
        <v>76771008</v>
      </c>
      <c r="BN219" s="54">
        <f t="shared" si="452"/>
        <v>76771008</v>
      </c>
      <c r="BO219" s="54">
        <f t="shared" si="452"/>
        <v>48073666</v>
      </c>
      <c r="BP219" s="54">
        <f t="shared" si="452"/>
        <v>48073666</v>
      </c>
      <c r="BQ219" s="83"/>
      <c r="BR219" s="83"/>
      <c r="BS219" s="83"/>
      <c r="BT219" s="83"/>
      <c r="BU219" s="84"/>
      <c r="BV219" s="82"/>
      <c r="BW219" s="83"/>
      <c r="BX219" s="83"/>
      <c r="BY219" s="83"/>
      <c r="BZ219" s="83">
        <f>100000000-BZ218</f>
        <v>100000000</v>
      </c>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v>84258044</v>
      </c>
      <c r="CW219" s="83">
        <v>89020304</v>
      </c>
      <c r="CX219" s="83">
        <v>84960000</v>
      </c>
      <c r="CY219" s="83">
        <v>84960000</v>
      </c>
      <c r="CZ219" s="83"/>
      <c r="DA219" s="83"/>
      <c r="DB219" s="83"/>
      <c r="DC219" s="83"/>
      <c r="DD219" s="83"/>
      <c r="DE219" s="81">
        <f t="shared" si="453"/>
        <v>184258044</v>
      </c>
      <c r="DF219" s="95">
        <f t="shared" si="453"/>
        <v>89020304</v>
      </c>
      <c r="DG219" s="95">
        <f t="shared" si="453"/>
        <v>84960000</v>
      </c>
      <c r="DH219" s="95">
        <f t="shared" si="453"/>
        <v>84960000</v>
      </c>
      <c r="DI219" s="95"/>
      <c r="DJ219" s="84">
        <v>0</v>
      </c>
      <c r="DK219" s="82"/>
      <c r="DL219" s="83"/>
      <c r="DM219" s="83"/>
      <c r="DN219" s="87">
        <v>0</v>
      </c>
      <c r="DO219" s="82">
        <v>34740000</v>
      </c>
      <c r="DP219" s="82">
        <v>32000000</v>
      </c>
      <c r="DQ219" s="82">
        <v>32000000</v>
      </c>
      <c r="DR219" s="108"/>
      <c r="DS219" s="84">
        <v>0</v>
      </c>
      <c r="DT219" s="84"/>
      <c r="DU219" s="84"/>
      <c r="DV219" s="84"/>
      <c r="DW219" s="84"/>
      <c r="DX219" s="84"/>
      <c r="DY219" s="84"/>
      <c r="DZ219" s="84"/>
      <c r="EA219" s="84"/>
      <c r="EB219" s="84"/>
      <c r="EC219" s="84"/>
      <c r="ED219" s="84"/>
      <c r="EE219" s="84"/>
      <c r="EF219" s="84"/>
      <c r="EG219" s="84"/>
      <c r="EH219" s="84"/>
      <c r="EI219" s="84"/>
      <c r="EJ219" s="84"/>
      <c r="EK219" s="84"/>
      <c r="EL219" s="84"/>
      <c r="EM219" s="84"/>
      <c r="EN219" s="84">
        <v>45700000</v>
      </c>
      <c r="EO219" s="84">
        <v>127760000</v>
      </c>
      <c r="EP219" s="84">
        <v>99964000</v>
      </c>
      <c r="EQ219" s="84">
        <v>99964000</v>
      </c>
      <c r="ER219" s="84"/>
      <c r="ES219" s="84">
        <v>0</v>
      </c>
      <c r="ET219" s="83"/>
      <c r="EU219" s="83"/>
      <c r="EV219" s="83"/>
      <c r="EW219" s="81">
        <f t="shared" si="454"/>
        <v>45700000</v>
      </c>
      <c r="EX219" s="86">
        <f t="shared" si="454"/>
        <v>162500000</v>
      </c>
      <c r="EY219" s="86">
        <f t="shared" si="455"/>
        <v>131964000</v>
      </c>
      <c r="EZ219" s="86">
        <f t="shared" si="455"/>
        <v>131964000</v>
      </c>
      <c r="FA219" s="176"/>
      <c r="FB219" s="83"/>
      <c r="FC219" s="84"/>
      <c r="FD219" s="84"/>
      <c r="FE219" s="84"/>
      <c r="FF219" s="140"/>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v>47100000</v>
      </c>
      <c r="GL219" s="83">
        <f>48000000+18000000</f>
        <v>66000000</v>
      </c>
      <c r="GM219" s="83">
        <v>39590000</v>
      </c>
      <c r="GN219" s="83">
        <v>31672000</v>
      </c>
      <c r="GO219" s="83"/>
      <c r="GP219" s="83"/>
      <c r="GQ219" s="83"/>
      <c r="GR219" s="83"/>
      <c r="GS219" s="83"/>
      <c r="GT219" s="83"/>
      <c r="GU219" s="81">
        <f t="shared" si="456"/>
        <v>47100000</v>
      </c>
      <c r="GV219" s="81">
        <f t="shared" si="456"/>
        <v>66000000</v>
      </c>
      <c r="GW219" s="81">
        <f t="shared" si="456"/>
        <v>39590000</v>
      </c>
      <c r="GX219" s="81">
        <f t="shared" si="456"/>
        <v>31672000</v>
      </c>
      <c r="GY219" s="673">
        <f t="shared" si="456"/>
        <v>0</v>
      </c>
      <c r="GZ219" s="67">
        <f>BM219+DE219+EW219+GU219</f>
        <v>353829052</v>
      </c>
    </row>
    <row r="220" spans="1:208" ht="115.5" customHeight="1" x14ac:dyDescent="0.2">
      <c r="A220" s="326"/>
      <c r="B220" s="326"/>
      <c r="C220" s="277" t="s">
        <v>531</v>
      </c>
      <c r="D220" s="723" t="s">
        <v>532</v>
      </c>
      <c r="E220" s="406">
        <v>0</v>
      </c>
      <c r="F220" s="406">
        <v>1</v>
      </c>
      <c r="G220" s="265">
        <v>153</v>
      </c>
      <c r="H220" s="261" t="s">
        <v>533</v>
      </c>
      <c r="I220" s="275" t="s">
        <v>534</v>
      </c>
      <c r="J220" s="345" t="s">
        <v>444</v>
      </c>
      <c r="K220" s="505">
        <v>2</v>
      </c>
      <c r="L220" s="482" t="s">
        <v>58</v>
      </c>
      <c r="M220" s="264" t="s">
        <v>53</v>
      </c>
      <c r="N220" s="288">
        <v>150</v>
      </c>
      <c r="O220" s="475">
        <v>150</v>
      </c>
      <c r="P220" s="484">
        <v>173</v>
      </c>
      <c r="Q220" s="482">
        <v>150</v>
      </c>
      <c r="R220" s="268"/>
      <c r="S220" s="480">
        <v>186</v>
      </c>
      <c r="T220" s="482">
        <v>150</v>
      </c>
      <c r="U220" s="482"/>
      <c r="V220" s="480">
        <v>156</v>
      </c>
      <c r="W220" s="482">
        <v>150</v>
      </c>
      <c r="X220" s="492"/>
      <c r="Y220" s="645">
        <v>43</v>
      </c>
      <c r="Z220" s="506">
        <f>BM220/$BM$217</f>
        <v>0.83640895892150047</v>
      </c>
      <c r="AA220" s="264">
        <v>3</v>
      </c>
      <c r="AB220" s="347" t="s">
        <v>455</v>
      </c>
      <c r="AC220" s="62"/>
      <c r="AD220" s="58"/>
      <c r="AE220" s="59"/>
      <c r="AF220" s="59"/>
      <c r="AG220" s="55">
        <v>1159435758</v>
      </c>
      <c r="AH220" s="55">
        <v>1237889758</v>
      </c>
      <c r="AI220" s="55">
        <v>622609160</v>
      </c>
      <c r="AJ220" s="55">
        <v>608938568</v>
      </c>
      <c r="AK220" s="62"/>
      <c r="AL220" s="58"/>
      <c r="AM220" s="58"/>
      <c r="AN220" s="58"/>
      <c r="AO220" s="62"/>
      <c r="AP220" s="58"/>
      <c r="AQ220" s="58"/>
      <c r="AR220" s="58"/>
      <c r="AS220" s="62"/>
      <c r="AT220" s="58"/>
      <c r="AU220" s="59"/>
      <c r="AV220" s="59"/>
      <c r="AW220" s="62"/>
      <c r="AX220" s="58"/>
      <c r="AY220" s="58"/>
      <c r="AZ220" s="58"/>
      <c r="BA220" s="62"/>
      <c r="BB220" s="58"/>
      <c r="BC220" s="58"/>
      <c r="BD220" s="58"/>
      <c r="BE220" s="62"/>
      <c r="BF220" s="58"/>
      <c r="BG220" s="59"/>
      <c r="BH220" s="59"/>
      <c r="BI220" s="62"/>
      <c r="BJ220" s="58"/>
      <c r="BK220" s="58"/>
      <c r="BL220" s="58"/>
      <c r="BM220" s="53">
        <f>+AC220+AG220+AK220+AO220+AS220+AW220+BA220+BE220+BI220</f>
        <v>1159435758</v>
      </c>
      <c r="BN220" s="54">
        <f t="shared" si="452"/>
        <v>1237889758</v>
      </c>
      <c r="BO220" s="54">
        <f t="shared" si="452"/>
        <v>622609160</v>
      </c>
      <c r="BP220" s="54">
        <f t="shared" si="452"/>
        <v>608938568</v>
      </c>
      <c r="BQ220" s="83"/>
      <c r="BR220" s="83"/>
      <c r="BS220" s="83"/>
      <c r="BT220" s="83"/>
      <c r="BU220" s="65">
        <v>717874879</v>
      </c>
      <c r="BV220" s="82">
        <v>655342908</v>
      </c>
      <c r="BW220" s="82">
        <v>630480000</v>
      </c>
      <c r="BX220" s="82">
        <v>630480000</v>
      </c>
      <c r="BY220" s="82"/>
      <c r="BZ220" s="82"/>
      <c r="CA220" s="82"/>
      <c r="CB220" s="82"/>
      <c r="CC220" s="82"/>
      <c r="CD220" s="82"/>
      <c r="CE220" s="82"/>
      <c r="CF220" s="82">
        <v>719782544.13</v>
      </c>
      <c r="CG220" s="82">
        <v>338985315</v>
      </c>
      <c r="CH220" s="82">
        <v>278985315</v>
      </c>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1">
        <f t="shared" si="453"/>
        <v>717874879</v>
      </c>
      <c r="DF220" s="95">
        <f t="shared" si="453"/>
        <v>1375125452.1300001</v>
      </c>
      <c r="DG220" s="95">
        <f t="shared" si="453"/>
        <v>969465315</v>
      </c>
      <c r="DH220" s="95">
        <f t="shared" si="453"/>
        <v>909465315</v>
      </c>
      <c r="DI220" s="95"/>
      <c r="DJ220" s="84"/>
      <c r="DK220" s="65"/>
      <c r="DL220" s="84"/>
      <c r="DM220" s="84"/>
      <c r="DN220" s="84">
        <v>691096910</v>
      </c>
      <c r="DO220" s="84">
        <v>500977580</v>
      </c>
      <c r="DP220" s="84">
        <v>350000000</v>
      </c>
      <c r="DQ220" s="84">
        <v>212317190</v>
      </c>
      <c r="DR220" s="84"/>
      <c r="DS220" s="84"/>
      <c r="DT220" s="84"/>
      <c r="DU220" s="84"/>
      <c r="DV220" s="84"/>
      <c r="DW220" s="84"/>
      <c r="DX220" s="84"/>
      <c r="DY220" s="84">
        <v>723669712</v>
      </c>
      <c r="DZ220" s="84">
        <v>323275057</v>
      </c>
      <c r="EA220" s="84">
        <v>323275057</v>
      </c>
      <c r="EB220" s="84"/>
      <c r="EC220" s="84"/>
      <c r="ED220" s="84"/>
      <c r="EE220" s="84"/>
      <c r="EF220" s="84"/>
      <c r="EG220" s="84"/>
      <c r="EH220" s="84"/>
      <c r="EI220" s="84"/>
      <c r="EJ220" s="84"/>
      <c r="EK220" s="84"/>
      <c r="EL220" s="84"/>
      <c r="EM220" s="84"/>
      <c r="EN220" s="84"/>
      <c r="EO220" s="84"/>
      <c r="EP220" s="84"/>
      <c r="EQ220" s="84"/>
      <c r="ER220" s="84"/>
      <c r="ES220" s="84"/>
      <c r="ET220" s="83"/>
      <c r="EU220" s="83"/>
      <c r="EV220" s="83"/>
      <c r="EW220" s="81">
        <f t="shared" si="454"/>
        <v>691096910</v>
      </c>
      <c r="EX220" s="86">
        <f t="shared" si="454"/>
        <v>1224647292</v>
      </c>
      <c r="EY220" s="86">
        <f t="shared" si="455"/>
        <v>673275057</v>
      </c>
      <c r="EZ220" s="86">
        <f t="shared" si="455"/>
        <v>535592247</v>
      </c>
      <c r="FA220" s="176"/>
      <c r="FB220" s="83">
        <v>0</v>
      </c>
      <c r="FC220" s="84"/>
      <c r="FD220" s="84"/>
      <c r="FE220" s="84"/>
      <c r="FF220" s="140"/>
      <c r="FG220" s="83">
        <v>711882817</v>
      </c>
      <c r="FH220" s="608">
        <v>590675459</v>
      </c>
      <c r="FI220" s="608"/>
      <c r="FJ220" s="608"/>
      <c r="FK220" s="608"/>
      <c r="FL220" s="83">
        <v>0</v>
      </c>
      <c r="FM220" s="83"/>
      <c r="FN220" s="83"/>
      <c r="FO220" s="83"/>
      <c r="FP220" s="83"/>
      <c r="FQ220" s="83"/>
      <c r="FR220" s="83">
        <v>822800528</v>
      </c>
      <c r="FS220" s="83">
        <v>236690000</v>
      </c>
      <c r="FT220" s="83">
        <v>195111616</v>
      </c>
      <c r="FU220" s="608"/>
      <c r="FV220" s="83"/>
      <c r="FW220" s="83"/>
      <c r="FX220" s="83"/>
      <c r="FY220" s="83"/>
      <c r="FZ220" s="83"/>
      <c r="GA220" s="83"/>
      <c r="GB220" s="83"/>
      <c r="GC220" s="83"/>
      <c r="GD220" s="83"/>
      <c r="GE220" s="83"/>
      <c r="GF220" s="83">
        <v>0</v>
      </c>
      <c r="GG220" s="83"/>
      <c r="GH220" s="83"/>
      <c r="GI220" s="83"/>
      <c r="GJ220" s="83"/>
      <c r="GK220" s="83">
        <v>0</v>
      </c>
      <c r="GL220" s="83">
        <v>20000000</v>
      </c>
      <c r="GM220" s="83">
        <v>13990000</v>
      </c>
      <c r="GN220" s="83">
        <v>8394000</v>
      </c>
      <c r="GO220" s="83"/>
      <c r="GP220" s="83">
        <v>0</v>
      </c>
      <c r="GQ220" s="83"/>
      <c r="GR220" s="83"/>
      <c r="GS220" s="83"/>
      <c r="GT220" s="83"/>
      <c r="GU220" s="81">
        <f t="shared" si="456"/>
        <v>711882817</v>
      </c>
      <c r="GV220" s="81">
        <f t="shared" si="456"/>
        <v>1433475987</v>
      </c>
      <c r="GW220" s="81">
        <f t="shared" si="456"/>
        <v>250680000</v>
      </c>
      <c r="GX220" s="81">
        <f t="shared" si="456"/>
        <v>203505616</v>
      </c>
      <c r="GY220" s="673">
        <f t="shared" si="456"/>
        <v>0</v>
      </c>
      <c r="GZ220" s="67">
        <f>BM220+DE220+EW220+GU220</f>
        <v>3280290364</v>
      </c>
    </row>
    <row r="221" spans="1:208" ht="24.75" customHeight="1" x14ac:dyDescent="0.2">
      <c r="A221" s="326"/>
      <c r="B221" s="326"/>
      <c r="C221" s="246">
        <v>44</v>
      </c>
      <c r="D221" s="247" t="s">
        <v>535</v>
      </c>
      <c r="E221" s="250"/>
      <c r="F221" s="250"/>
      <c r="G221" s="249"/>
      <c r="H221" s="249"/>
      <c r="I221" s="249"/>
      <c r="J221" s="249"/>
      <c r="K221" s="249"/>
      <c r="L221" s="249"/>
      <c r="M221" s="249"/>
      <c r="N221" s="249"/>
      <c r="O221" s="249"/>
      <c r="P221" s="249"/>
      <c r="Q221" s="249"/>
      <c r="R221" s="249"/>
      <c r="S221" s="249"/>
      <c r="T221" s="249"/>
      <c r="U221" s="249"/>
      <c r="V221" s="249"/>
      <c r="W221" s="249"/>
      <c r="X221" s="249"/>
      <c r="Y221" s="296"/>
      <c r="Z221" s="249"/>
      <c r="AA221" s="249"/>
      <c r="AB221" s="249"/>
      <c r="AC221" s="197">
        <f t="shared" ref="AC221:BL221" si="457">SUM(AC222:AC225)</f>
        <v>0</v>
      </c>
      <c r="AD221" s="197">
        <f t="shared" si="457"/>
        <v>0</v>
      </c>
      <c r="AE221" s="197">
        <f t="shared" si="457"/>
        <v>0</v>
      </c>
      <c r="AF221" s="197">
        <f t="shared" si="457"/>
        <v>0</v>
      </c>
      <c r="AG221" s="197">
        <f t="shared" si="457"/>
        <v>0</v>
      </c>
      <c r="AH221" s="197">
        <f t="shared" si="457"/>
        <v>0</v>
      </c>
      <c r="AI221" s="197">
        <f t="shared" si="457"/>
        <v>0</v>
      </c>
      <c r="AJ221" s="197">
        <f t="shared" si="457"/>
        <v>0</v>
      </c>
      <c r="AK221" s="197">
        <f t="shared" si="457"/>
        <v>40000000</v>
      </c>
      <c r="AL221" s="197">
        <f t="shared" si="457"/>
        <v>40000000</v>
      </c>
      <c r="AM221" s="197">
        <f t="shared" si="457"/>
        <v>27133000</v>
      </c>
      <c r="AN221" s="197">
        <f t="shared" si="457"/>
        <v>27133000</v>
      </c>
      <c r="AO221" s="197">
        <f t="shared" si="457"/>
        <v>0</v>
      </c>
      <c r="AP221" s="197">
        <f t="shared" si="457"/>
        <v>0</v>
      </c>
      <c r="AQ221" s="197">
        <f t="shared" si="457"/>
        <v>0</v>
      </c>
      <c r="AR221" s="197">
        <f t="shared" si="457"/>
        <v>0</v>
      </c>
      <c r="AS221" s="197">
        <f t="shared" si="457"/>
        <v>0</v>
      </c>
      <c r="AT221" s="197">
        <f t="shared" si="457"/>
        <v>0</v>
      </c>
      <c r="AU221" s="197">
        <f t="shared" si="457"/>
        <v>0</v>
      </c>
      <c r="AV221" s="197">
        <f t="shared" si="457"/>
        <v>0</v>
      </c>
      <c r="AW221" s="197">
        <f t="shared" si="457"/>
        <v>0</v>
      </c>
      <c r="AX221" s="197">
        <f t="shared" si="457"/>
        <v>0</v>
      </c>
      <c r="AY221" s="197">
        <f t="shared" si="457"/>
        <v>0</v>
      </c>
      <c r="AZ221" s="197">
        <f t="shared" si="457"/>
        <v>0</v>
      </c>
      <c r="BA221" s="197">
        <f t="shared" si="457"/>
        <v>0</v>
      </c>
      <c r="BB221" s="197">
        <f t="shared" si="457"/>
        <v>0</v>
      </c>
      <c r="BC221" s="197">
        <f t="shared" si="457"/>
        <v>0</v>
      </c>
      <c r="BD221" s="197">
        <f t="shared" si="457"/>
        <v>0</v>
      </c>
      <c r="BE221" s="197">
        <f t="shared" si="457"/>
        <v>210007383</v>
      </c>
      <c r="BF221" s="197">
        <f t="shared" si="457"/>
        <v>210007383</v>
      </c>
      <c r="BG221" s="197">
        <f t="shared" si="457"/>
        <v>170144880</v>
      </c>
      <c r="BH221" s="197">
        <f t="shared" si="457"/>
        <v>170144880</v>
      </c>
      <c r="BI221" s="197">
        <f t="shared" si="457"/>
        <v>0</v>
      </c>
      <c r="BJ221" s="197">
        <f t="shared" si="457"/>
        <v>0</v>
      </c>
      <c r="BK221" s="197">
        <f t="shared" si="457"/>
        <v>0</v>
      </c>
      <c r="BL221" s="197">
        <f t="shared" si="457"/>
        <v>0</v>
      </c>
      <c r="BM221" s="197">
        <f t="shared" ref="BM221:DX221" si="458">SUM(BM222:BM225)</f>
        <v>250007383</v>
      </c>
      <c r="BN221" s="197">
        <f t="shared" si="458"/>
        <v>250007383</v>
      </c>
      <c r="BO221" s="197">
        <f t="shared" si="458"/>
        <v>197277880</v>
      </c>
      <c r="BP221" s="197">
        <f t="shared" si="458"/>
        <v>197277880</v>
      </c>
      <c r="BQ221" s="197">
        <f t="shared" si="458"/>
        <v>0</v>
      </c>
      <c r="BR221" s="197">
        <f t="shared" si="458"/>
        <v>0</v>
      </c>
      <c r="BS221" s="197">
        <f t="shared" si="458"/>
        <v>0</v>
      </c>
      <c r="BT221" s="197">
        <f t="shared" si="458"/>
        <v>0</v>
      </c>
      <c r="BU221" s="197">
        <f t="shared" si="458"/>
        <v>0</v>
      </c>
      <c r="BV221" s="197">
        <f t="shared" si="458"/>
        <v>100000000</v>
      </c>
      <c r="BW221" s="197">
        <f t="shared" si="458"/>
        <v>100000000</v>
      </c>
      <c r="BX221" s="197">
        <f t="shared" si="458"/>
        <v>100000000</v>
      </c>
      <c r="BY221" s="197">
        <f t="shared" si="458"/>
        <v>0</v>
      </c>
      <c r="BZ221" s="197">
        <f t="shared" si="458"/>
        <v>30000000</v>
      </c>
      <c r="CA221" s="197">
        <f t="shared" si="458"/>
        <v>30000000</v>
      </c>
      <c r="CB221" s="197">
        <f t="shared" si="458"/>
        <v>29999999.670000002</v>
      </c>
      <c r="CC221" s="197">
        <f t="shared" si="458"/>
        <v>21973333</v>
      </c>
      <c r="CD221" s="197">
        <f t="shared" si="458"/>
        <v>0</v>
      </c>
      <c r="CE221" s="197">
        <f t="shared" si="458"/>
        <v>0</v>
      </c>
      <c r="CF221" s="197">
        <f t="shared" si="458"/>
        <v>0</v>
      </c>
      <c r="CG221" s="197">
        <f t="shared" si="458"/>
        <v>0</v>
      </c>
      <c r="CH221" s="197">
        <f t="shared" si="458"/>
        <v>0</v>
      </c>
      <c r="CI221" s="197">
        <f t="shared" si="458"/>
        <v>0</v>
      </c>
      <c r="CJ221" s="197">
        <f t="shared" si="458"/>
        <v>0</v>
      </c>
      <c r="CK221" s="197">
        <f t="shared" si="458"/>
        <v>0</v>
      </c>
      <c r="CL221" s="197">
        <f t="shared" si="458"/>
        <v>0</v>
      </c>
      <c r="CM221" s="197">
        <f t="shared" si="458"/>
        <v>0</v>
      </c>
      <c r="CN221" s="197">
        <f t="shared" si="458"/>
        <v>0</v>
      </c>
      <c r="CO221" s="197">
        <f t="shared" si="458"/>
        <v>0</v>
      </c>
      <c r="CP221" s="197">
        <f t="shared" si="458"/>
        <v>0</v>
      </c>
      <c r="CQ221" s="197">
        <f t="shared" si="458"/>
        <v>0</v>
      </c>
      <c r="CR221" s="197">
        <f t="shared" si="458"/>
        <v>0</v>
      </c>
      <c r="CS221" s="197">
        <f t="shared" si="458"/>
        <v>0</v>
      </c>
      <c r="CT221" s="197">
        <f t="shared" si="458"/>
        <v>0</v>
      </c>
      <c r="CU221" s="197">
        <f t="shared" si="458"/>
        <v>0</v>
      </c>
      <c r="CV221" s="197">
        <f t="shared" si="458"/>
        <v>216307604</v>
      </c>
      <c r="CW221" s="197">
        <f t="shared" si="458"/>
        <v>274307604</v>
      </c>
      <c r="CX221" s="197">
        <f t="shared" si="458"/>
        <v>254422333.32999998</v>
      </c>
      <c r="CY221" s="197">
        <f t="shared" si="458"/>
        <v>247939000</v>
      </c>
      <c r="CZ221" s="197">
        <f t="shared" si="458"/>
        <v>0</v>
      </c>
      <c r="DA221" s="197">
        <f t="shared" si="458"/>
        <v>0</v>
      </c>
      <c r="DB221" s="197">
        <f t="shared" si="458"/>
        <v>0</v>
      </c>
      <c r="DC221" s="197">
        <f t="shared" si="458"/>
        <v>0</v>
      </c>
      <c r="DD221" s="197">
        <f t="shared" si="458"/>
        <v>0</v>
      </c>
      <c r="DE221" s="197">
        <f t="shared" si="458"/>
        <v>246307604</v>
      </c>
      <c r="DF221" s="197">
        <f t="shared" si="458"/>
        <v>404307604</v>
      </c>
      <c r="DG221" s="197">
        <f t="shared" si="458"/>
        <v>384422333</v>
      </c>
      <c r="DH221" s="197">
        <f t="shared" si="458"/>
        <v>369912333</v>
      </c>
      <c r="DI221" s="197">
        <f t="shared" si="458"/>
        <v>0</v>
      </c>
      <c r="DJ221" s="197">
        <f t="shared" si="458"/>
        <v>0</v>
      </c>
      <c r="DK221" s="197">
        <f t="shared" si="458"/>
        <v>0</v>
      </c>
      <c r="DL221" s="197">
        <f t="shared" si="458"/>
        <v>0</v>
      </c>
      <c r="DM221" s="197">
        <f t="shared" si="458"/>
        <v>0</v>
      </c>
      <c r="DN221" s="197">
        <f t="shared" si="458"/>
        <v>0</v>
      </c>
      <c r="DO221" s="197">
        <f t="shared" si="458"/>
        <v>0</v>
      </c>
      <c r="DP221" s="197">
        <f t="shared" si="458"/>
        <v>0</v>
      </c>
      <c r="DQ221" s="197">
        <f t="shared" si="458"/>
        <v>0</v>
      </c>
      <c r="DR221" s="197">
        <f t="shared" si="458"/>
        <v>0</v>
      </c>
      <c r="DS221" s="197">
        <f t="shared" si="458"/>
        <v>30000000</v>
      </c>
      <c r="DT221" s="197">
        <f t="shared" si="458"/>
        <v>0</v>
      </c>
      <c r="DU221" s="197">
        <f t="shared" si="458"/>
        <v>0</v>
      </c>
      <c r="DV221" s="197">
        <f t="shared" si="458"/>
        <v>0</v>
      </c>
      <c r="DW221" s="197">
        <f t="shared" si="458"/>
        <v>0</v>
      </c>
      <c r="DX221" s="197">
        <f t="shared" si="458"/>
        <v>0</v>
      </c>
      <c r="DY221" s="197">
        <f t="shared" ref="DY221:EW221" si="459">SUM(DY222:DY225)</f>
        <v>0</v>
      </c>
      <c r="DZ221" s="197">
        <f t="shared" si="459"/>
        <v>0</v>
      </c>
      <c r="EA221" s="197">
        <f t="shared" si="459"/>
        <v>0</v>
      </c>
      <c r="EB221" s="197">
        <f t="shared" si="459"/>
        <v>0</v>
      </c>
      <c r="EC221" s="197">
        <f t="shared" si="459"/>
        <v>0</v>
      </c>
      <c r="ED221" s="197">
        <f t="shared" si="459"/>
        <v>0</v>
      </c>
      <c r="EE221" s="197">
        <f t="shared" si="459"/>
        <v>0</v>
      </c>
      <c r="EF221" s="197">
        <f t="shared" si="459"/>
        <v>0</v>
      </c>
      <c r="EG221" s="197">
        <f t="shared" si="459"/>
        <v>0</v>
      </c>
      <c r="EH221" s="197">
        <f t="shared" si="459"/>
        <v>0</v>
      </c>
      <c r="EI221" s="197">
        <f t="shared" si="459"/>
        <v>0</v>
      </c>
      <c r="EJ221" s="197">
        <f t="shared" si="459"/>
        <v>0</v>
      </c>
      <c r="EK221" s="197">
        <f t="shared" si="459"/>
        <v>0</v>
      </c>
      <c r="EL221" s="197">
        <f t="shared" si="459"/>
        <v>0</v>
      </c>
      <c r="EM221" s="197">
        <f t="shared" si="459"/>
        <v>0</v>
      </c>
      <c r="EN221" s="197">
        <f t="shared" si="459"/>
        <v>222796832.99691775</v>
      </c>
      <c r="EO221" s="197">
        <f t="shared" si="459"/>
        <v>273927352</v>
      </c>
      <c r="EP221" s="197">
        <f t="shared" si="459"/>
        <v>263497333</v>
      </c>
      <c r="EQ221" s="197">
        <f t="shared" si="459"/>
        <v>263497333</v>
      </c>
      <c r="ER221" s="197">
        <f t="shared" si="459"/>
        <v>0</v>
      </c>
      <c r="ES221" s="197">
        <f t="shared" si="459"/>
        <v>0</v>
      </c>
      <c r="ET221" s="197">
        <f t="shared" si="459"/>
        <v>0</v>
      </c>
      <c r="EU221" s="197">
        <f t="shared" si="459"/>
        <v>0</v>
      </c>
      <c r="EV221" s="197">
        <f t="shared" si="459"/>
        <v>0</v>
      </c>
      <c r="EW221" s="197">
        <f t="shared" si="459"/>
        <v>252796832.99691775</v>
      </c>
      <c r="EX221" s="197">
        <f t="shared" ref="EX221:GZ221" si="460">SUM(EX222:EX225)</f>
        <v>273927352</v>
      </c>
      <c r="EY221" s="197">
        <f t="shared" si="460"/>
        <v>263497333</v>
      </c>
      <c r="EZ221" s="197">
        <f t="shared" si="460"/>
        <v>263497333</v>
      </c>
      <c r="FA221" s="197">
        <f t="shared" si="460"/>
        <v>0</v>
      </c>
      <c r="FB221" s="197">
        <f t="shared" si="460"/>
        <v>0</v>
      </c>
      <c r="FC221" s="197">
        <f t="shared" si="460"/>
        <v>0</v>
      </c>
      <c r="FD221" s="197">
        <f t="shared" si="460"/>
        <v>0</v>
      </c>
      <c r="FE221" s="197">
        <f t="shared" si="460"/>
        <v>0</v>
      </c>
      <c r="FF221" s="197">
        <f t="shared" si="460"/>
        <v>0</v>
      </c>
      <c r="FG221" s="197">
        <f t="shared" si="460"/>
        <v>0</v>
      </c>
      <c r="FH221" s="197">
        <f t="shared" si="460"/>
        <v>0</v>
      </c>
      <c r="FI221" s="197">
        <f t="shared" si="460"/>
        <v>0</v>
      </c>
      <c r="FJ221" s="197">
        <f t="shared" si="460"/>
        <v>0</v>
      </c>
      <c r="FK221" s="197">
        <f t="shared" si="460"/>
        <v>0</v>
      </c>
      <c r="FL221" s="197">
        <f t="shared" si="460"/>
        <v>20000000</v>
      </c>
      <c r="FM221" s="197">
        <f t="shared" si="460"/>
        <v>0</v>
      </c>
      <c r="FN221" s="197">
        <f t="shared" si="460"/>
        <v>0</v>
      </c>
      <c r="FO221" s="197">
        <f t="shared" si="460"/>
        <v>0</v>
      </c>
      <c r="FP221" s="197">
        <f t="shared" si="460"/>
        <v>0</v>
      </c>
      <c r="FQ221" s="197">
        <f t="shared" si="460"/>
        <v>0</v>
      </c>
      <c r="FR221" s="197">
        <f t="shared" si="460"/>
        <v>0</v>
      </c>
      <c r="FS221" s="197">
        <f t="shared" si="460"/>
        <v>0</v>
      </c>
      <c r="FT221" s="197">
        <f t="shared" si="460"/>
        <v>0</v>
      </c>
      <c r="FU221" s="197">
        <f t="shared" si="460"/>
        <v>0</v>
      </c>
      <c r="FV221" s="197">
        <f t="shared" si="460"/>
        <v>0</v>
      </c>
      <c r="FW221" s="197">
        <f t="shared" si="460"/>
        <v>0</v>
      </c>
      <c r="FX221" s="197">
        <f t="shared" si="460"/>
        <v>0</v>
      </c>
      <c r="FY221" s="197">
        <f t="shared" si="460"/>
        <v>0</v>
      </c>
      <c r="FZ221" s="197">
        <f t="shared" si="460"/>
        <v>0</v>
      </c>
      <c r="GA221" s="197">
        <f t="shared" si="460"/>
        <v>0</v>
      </c>
      <c r="GB221" s="197">
        <f t="shared" si="460"/>
        <v>0</v>
      </c>
      <c r="GC221" s="197">
        <f t="shared" si="460"/>
        <v>0</v>
      </c>
      <c r="GD221" s="197">
        <f t="shared" si="460"/>
        <v>0</v>
      </c>
      <c r="GE221" s="197">
        <f t="shared" si="460"/>
        <v>0</v>
      </c>
      <c r="GF221" s="197">
        <f t="shared" si="460"/>
        <v>0</v>
      </c>
      <c r="GG221" s="197">
        <f t="shared" si="460"/>
        <v>0</v>
      </c>
      <c r="GH221" s="197">
        <f t="shared" si="460"/>
        <v>0</v>
      </c>
      <c r="GI221" s="197">
        <f t="shared" si="460"/>
        <v>0</v>
      </c>
      <c r="GJ221" s="197">
        <f t="shared" si="460"/>
        <v>0</v>
      </c>
      <c r="GK221" s="197">
        <f t="shared" si="460"/>
        <v>229480737.99512923</v>
      </c>
      <c r="GL221" s="197">
        <f t="shared" si="460"/>
        <v>317416251</v>
      </c>
      <c r="GM221" s="197">
        <f t="shared" si="460"/>
        <v>163110000</v>
      </c>
      <c r="GN221" s="197">
        <f t="shared" si="460"/>
        <v>114263000</v>
      </c>
      <c r="GO221" s="197">
        <f t="shared" si="460"/>
        <v>0</v>
      </c>
      <c r="GP221" s="197">
        <f t="shared" si="460"/>
        <v>0</v>
      </c>
      <c r="GQ221" s="197">
        <f t="shared" si="460"/>
        <v>0</v>
      </c>
      <c r="GR221" s="197">
        <f t="shared" si="460"/>
        <v>0</v>
      </c>
      <c r="GS221" s="197">
        <f t="shared" si="460"/>
        <v>0</v>
      </c>
      <c r="GT221" s="197">
        <f t="shared" si="460"/>
        <v>0</v>
      </c>
      <c r="GU221" s="197">
        <f t="shared" si="460"/>
        <v>249480737.99512923</v>
      </c>
      <c r="GV221" s="197">
        <f t="shared" si="460"/>
        <v>317416251</v>
      </c>
      <c r="GW221" s="197">
        <f t="shared" si="460"/>
        <v>163110000</v>
      </c>
      <c r="GX221" s="197">
        <f t="shared" si="460"/>
        <v>114263000</v>
      </c>
      <c r="GY221" s="197">
        <f t="shared" si="460"/>
        <v>0</v>
      </c>
      <c r="GZ221" s="51">
        <f t="shared" si="460"/>
        <v>998592557.99204695</v>
      </c>
    </row>
    <row r="222" spans="1:208" ht="202.5" customHeight="1" x14ac:dyDescent="0.2">
      <c r="A222" s="326"/>
      <c r="B222" s="326"/>
      <c r="C222" s="288">
        <v>37</v>
      </c>
      <c r="D222" s="261" t="s">
        <v>536</v>
      </c>
      <c r="E222" s="265" t="s">
        <v>537</v>
      </c>
      <c r="F222" s="280">
        <v>0.6</v>
      </c>
      <c r="G222" s="265">
        <v>154</v>
      </c>
      <c r="H222" s="261" t="s">
        <v>538</v>
      </c>
      <c r="I222" s="275" t="s">
        <v>539</v>
      </c>
      <c r="J222" s="345" t="s">
        <v>444</v>
      </c>
      <c r="K222" s="505">
        <v>2</v>
      </c>
      <c r="L222" s="482" t="s">
        <v>58</v>
      </c>
      <c r="M222" s="264" t="s">
        <v>53</v>
      </c>
      <c r="N222" s="288">
        <v>5</v>
      </c>
      <c r="O222" s="475">
        <v>5</v>
      </c>
      <c r="P222" s="484">
        <v>5</v>
      </c>
      <c r="Q222" s="482">
        <v>5</v>
      </c>
      <c r="R222" s="268"/>
      <c r="S222" s="480">
        <v>4</v>
      </c>
      <c r="T222" s="491">
        <v>5</v>
      </c>
      <c r="U222" s="491"/>
      <c r="V222" s="499">
        <v>5</v>
      </c>
      <c r="W222" s="491">
        <v>5</v>
      </c>
      <c r="X222" s="492"/>
      <c r="Y222" s="645">
        <v>0</v>
      </c>
      <c r="Z222" s="506">
        <f>BM222/BM221</f>
        <v>0.11999645626465359</v>
      </c>
      <c r="AA222" s="718">
        <v>3</v>
      </c>
      <c r="AB222" s="347" t="s">
        <v>455</v>
      </c>
      <c r="AC222" s="62"/>
      <c r="AD222" s="58"/>
      <c r="AE222" s="59"/>
      <c r="AF222" s="59"/>
      <c r="AG222" s="62"/>
      <c r="AH222" s="58"/>
      <c r="AI222" s="58"/>
      <c r="AJ222" s="58"/>
      <c r="AK222" s="62"/>
      <c r="AL222" s="58"/>
      <c r="AM222" s="58"/>
      <c r="AN222" s="58"/>
      <c r="AO222" s="62"/>
      <c r="AP222" s="58"/>
      <c r="AQ222" s="58"/>
      <c r="AR222" s="58"/>
      <c r="AS222" s="62"/>
      <c r="AT222" s="58"/>
      <c r="AU222" s="59"/>
      <c r="AV222" s="59"/>
      <c r="AW222" s="62"/>
      <c r="AX222" s="58"/>
      <c r="AY222" s="58"/>
      <c r="AZ222" s="58"/>
      <c r="BA222" s="62"/>
      <c r="BB222" s="58"/>
      <c r="BC222" s="58"/>
      <c r="BD222" s="58"/>
      <c r="BE222" s="57">
        <v>30000000</v>
      </c>
      <c r="BF222" s="55">
        <v>30000000</v>
      </c>
      <c r="BG222" s="54">
        <v>24762143</v>
      </c>
      <c r="BH222" s="59">
        <v>24762143</v>
      </c>
      <c r="BI222" s="62"/>
      <c r="BJ222" s="58"/>
      <c r="BK222" s="58"/>
      <c r="BL222" s="58"/>
      <c r="BM222" s="53">
        <f>+AC222+AG222+AK222+AO222+AS222+AW222+BA222+BE222+BI222</f>
        <v>30000000</v>
      </c>
      <c r="BN222" s="54">
        <f t="shared" ref="BN222:BP224" si="461">AD222+AH222+AL222+AP222+AT222+AX222+BB222+BF222+BJ222</f>
        <v>30000000</v>
      </c>
      <c r="BO222" s="54">
        <f t="shared" si="461"/>
        <v>24762143</v>
      </c>
      <c r="BP222" s="54">
        <f t="shared" si="461"/>
        <v>24762143</v>
      </c>
      <c r="BQ222" s="83"/>
      <c r="BR222" s="83"/>
      <c r="BS222" s="83"/>
      <c r="BT222" s="83"/>
      <c r="BU222" s="83"/>
      <c r="BV222" s="82">
        <v>100000000</v>
      </c>
      <c r="BW222" s="83">
        <v>100000000</v>
      </c>
      <c r="BX222" s="83">
        <v>100000000</v>
      </c>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4">
        <v>29500000</v>
      </c>
      <c r="CW222" s="83">
        <v>59500000</v>
      </c>
      <c r="CX222" s="83">
        <v>57810000</v>
      </c>
      <c r="CY222" s="83">
        <v>57810000</v>
      </c>
      <c r="CZ222" s="83"/>
      <c r="DA222" s="83"/>
      <c r="DB222" s="83"/>
      <c r="DC222" s="83"/>
      <c r="DD222" s="83"/>
      <c r="DE222" s="81">
        <f t="shared" ref="DE222:DH225" si="462">BQ222+BU222+BZ222+CE222+CI222+CM222+CQ222+CV222+DA222</f>
        <v>29500000</v>
      </c>
      <c r="DF222" s="95">
        <f t="shared" si="462"/>
        <v>159500000</v>
      </c>
      <c r="DG222" s="95">
        <f t="shared" si="462"/>
        <v>157810000</v>
      </c>
      <c r="DH222" s="95">
        <f t="shared" si="462"/>
        <v>157810000</v>
      </c>
      <c r="DI222" s="95"/>
      <c r="DJ222" s="84"/>
      <c r="DK222" s="65"/>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65">
        <v>30300000</v>
      </c>
      <c r="EO222" s="65">
        <v>86385271</v>
      </c>
      <c r="EP222" s="65">
        <v>82709271</v>
      </c>
      <c r="EQ222" s="65">
        <v>82709271</v>
      </c>
      <c r="ER222" s="65"/>
      <c r="ES222" s="84"/>
      <c r="ET222" s="83"/>
      <c r="EU222" s="83"/>
      <c r="EV222" s="83"/>
      <c r="EW222" s="81">
        <f t="shared" ref="EW222:EX225" si="463">DJ222+DN222+DS222+DX222+EB222+EF222+EJ222+EN222+ES222</f>
        <v>30300000</v>
      </c>
      <c r="EX222" s="86">
        <f t="shared" si="463"/>
        <v>86385271</v>
      </c>
      <c r="EY222" s="86">
        <f t="shared" ref="EY222:EZ225" si="464">DL222+DP222+DU222+DZ222+ED222+EH222+EL222+EP222+EU222</f>
        <v>82709271</v>
      </c>
      <c r="EZ222" s="86">
        <f t="shared" si="464"/>
        <v>82709271</v>
      </c>
      <c r="FA222" s="176"/>
      <c r="FB222" s="83"/>
      <c r="FC222" s="84"/>
      <c r="FD222" s="84"/>
      <c r="FE222" s="84"/>
      <c r="FF222" s="140"/>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v>29900000</v>
      </c>
      <c r="GL222" s="83">
        <f>44000000+14000000</f>
        <v>58000000</v>
      </c>
      <c r="GM222" s="83">
        <v>30785000</v>
      </c>
      <c r="GN222" s="83">
        <v>21269000</v>
      </c>
      <c r="GO222" s="83"/>
      <c r="GP222" s="83"/>
      <c r="GQ222" s="83"/>
      <c r="GR222" s="83"/>
      <c r="GS222" s="83"/>
      <c r="GT222" s="83"/>
      <c r="GU222" s="81">
        <f t="shared" ref="GU222:GY225" si="465">FB222+FG222+FL222+FQ222+FV222+GA222+GF222+GK222+GP222</f>
        <v>29900000</v>
      </c>
      <c r="GV222" s="81">
        <f t="shared" si="465"/>
        <v>58000000</v>
      </c>
      <c r="GW222" s="81">
        <f t="shared" si="465"/>
        <v>30785000</v>
      </c>
      <c r="GX222" s="81">
        <f t="shared" si="465"/>
        <v>21269000</v>
      </c>
      <c r="GY222" s="673">
        <f t="shared" si="465"/>
        <v>0</v>
      </c>
      <c r="GZ222" s="67">
        <f>BM222+DE222+EW222+GU222</f>
        <v>119700000</v>
      </c>
    </row>
    <row r="223" spans="1:208" ht="323.25" customHeight="1" x14ac:dyDescent="0.2">
      <c r="A223" s="326"/>
      <c r="B223" s="326"/>
      <c r="C223" s="288">
        <v>13</v>
      </c>
      <c r="D223" s="261" t="s">
        <v>540</v>
      </c>
      <c r="E223" s="374" t="s">
        <v>541</v>
      </c>
      <c r="F223" s="259" t="s">
        <v>542</v>
      </c>
      <c r="G223" s="265">
        <v>155</v>
      </c>
      <c r="H223" s="261" t="s">
        <v>543</v>
      </c>
      <c r="I223" s="275" t="s">
        <v>544</v>
      </c>
      <c r="J223" s="345" t="s">
        <v>444</v>
      </c>
      <c r="K223" s="505">
        <v>2</v>
      </c>
      <c r="L223" s="492" t="s">
        <v>58</v>
      </c>
      <c r="M223" s="264">
        <v>0</v>
      </c>
      <c r="N223" s="288">
        <v>1</v>
      </c>
      <c r="O223" s="475">
        <v>1</v>
      </c>
      <c r="P223" s="484">
        <v>1</v>
      </c>
      <c r="Q223" s="482">
        <v>1</v>
      </c>
      <c r="R223" s="268"/>
      <c r="S223" s="500">
        <v>0.8</v>
      </c>
      <c r="T223" s="482">
        <v>1</v>
      </c>
      <c r="U223" s="482"/>
      <c r="V223" s="480">
        <v>1</v>
      </c>
      <c r="W223" s="482">
        <v>1</v>
      </c>
      <c r="X223" s="492"/>
      <c r="Y223" s="645">
        <v>0</v>
      </c>
      <c r="Z223" s="506">
        <f>BM223/BM221</f>
        <v>0.25999232190674942</v>
      </c>
      <c r="AA223" s="264">
        <v>16</v>
      </c>
      <c r="AB223" s="347" t="s">
        <v>376</v>
      </c>
      <c r="AC223" s="62"/>
      <c r="AD223" s="58"/>
      <c r="AE223" s="59"/>
      <c r="AF223" s="59"/>
      <c r="AG223" s="62"/>
      <c r="AH223" s="58"/>
      <c r="AI223" s="58"/>
      <c r="AJ223" s="58"/>
      <c r="AK223" s="62">
        <v>40000000</v>
      </c>
      <c r="AL223" s="55">
        <v>40000000</v>
      </c>
      <c r="AM223" s="55">
        <v>27133000</v>
      </c>
      <c r="AN223" s="55">
        <v>27133000</v>
      </c>
      <c r="AO223" s="62"/>
      <c r="AP223" s="58"/>
      <c r="AQ223" s="58"/>
      <c r="AR223" s="58"/>
      <c r="AS223" s="62"/>
      <c r="AT223" s="58"/>
      <c r="AU223" s="59"/>
      <c r="AV223" s="59"/>
      <c r="AW223" s="62"/>
      <c r="AX223" s="58"/>
      <c r="AY223" s="58"/>
      <c r="AZ223" s="58"/>
      <c r="BA223" s="62"/>
      <c r="BB223" s="58"/>
      <c r="BC223" s="58"/>
      <c r="BD223" s="58"/>
      <c r="BE223" s="57">
        <v>25000000</v>
      </c>
      <c r="BF223" s="55">
        <v>25000000</v>
      </c>
      <c r="BG223" s="59">
        <v>15957857</v>
      </c>
      <c r="BH223" s="59">
        <v>15957857</v>
      </c>
      <c r="BI223" s="62"/>
      <c r="BJ223" s="58"/>
      <c r="BK223" s="58"/>
      <c r="BL223" s="58"/>
      <c r="BM223" s="53">
        <f>+AC223+AG223+AK223+AO223+AS223+AW223+BA223+BE223+BI223</f>
        <v>65000000</v>
      </c>
      <c r="BN223" s="54">
        <f t="shared" si="461"/>
        <v>65000000</v>
      </c>
      <c r="BO223" s="54">
        <f t="shared" si="461"/>
        <v>43090857</v>
      </c>
      <c r="BP223" s="54">
        <f t="shared" si="461"/>
        <v>43090857</v>
      </c>
      <c r="BQ223" s="83"/>
      <c r="BR223" s="83"/>
      <c r="BS223" s="83"/>
      <c r="BT223" s="83"/>
      <c r="BU223" s="83"/>
      <c r="BV223" s="82"/>
      <c r="BW223" s="83"/>
      <c r="BX223" s="83"/>
      <c r="BY223" s="83"/>
      <c r="BZ223" s="83">
        <v>30000000</v>
      </c>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4">
        <v>34000000</v>
      </c>
      <c r="CW223" s="83">
        <v>34000000</v>
      </c>
      <c r="CX223" s="83">
        <v>33940000</v>
      </c>
      <c r="CY223" s="83">
        <v>33940000</v>
      </c>
      <c r="CZ223" s="83"/>
      <c r="DA223" s="83"/>
      <c r="DB223" s="83"/>
      <c r="DC223" s="83"/>
      <c r="DD223" s="83"/>
      <c r="DE223" s="81">
        <f t="shared" si="462"/>
        <v>64000000</v>
      </c>
      <c r="DF223" s="95">
        <f t="shared" si="462"/>
        <v>34000000</v>
      </c>
      <c r="DG223" s="95">
        <f t="shared" si="462"/>
        <v>33940000</v>
      </c>
      <c r="DH223" s="95">
        <f t="shared" si="462"/>
        <v>33940000</v>
      </c>
      <c r="DI223" s="95"/>
      <c r="DJ223" s="84"/>
      <c r="DK223" s="65"/>
      <c r="DL223" s="84"/>
      <c r="DM223" s="84"/>
      <c r="DN223" s="84"/>
      <c r="DO223" s="84"/>
      <c r="DP223" s="84"/>
      <c r="DQ223" s="84"/>
      <c r="DR223" s="84"/>
      <c r="DS223" s="84">
        <v>30000000</v>
      </c>
      <c r="DT223" s="84"/>
      <c r="DU223" s="84"/>
      <c r="DV223" s="84"/>
      <c r="DW223" s="84"/>
      <c r="DX223" s="84"/>
      <c r="DY223" s="84"/>
      <c r="DZ223" s="84"/>
      <c r="EA223" s="84"/>
      <c r="EB223" s="84"/>
      <c r="EC223" s="84"/>
      <c r="ED223" s="84"/>
      <c r="EE223" s="84"/>
      <c r="EF223" s="84"/>
      <c r="EG223" s="84"/>
      <c r="EH223" s="84"/>
      <c r="EI223" s="84"/>
      <c r="EJ223" s="84"/>
      <c r="EK223" s="84"/>
      <c r="EL223" s="84"/>
      <c r="EM223" s="84"/>
      <c r="EN223" s="65">
        <v>35700000</v>
      </c>
      <c r="EO223" s="65">
        <v>52800000</v>
      </c>
      <c r="EP223" s="65">
        <v>52800000</v>
      </c>
      <c r="EQ223" s="65">
        <v>52800000</v>
      </c>
      <c r="ER223" s="65"/>
      <c r="ES223" s="84"/>
      <c r="ET223" s="83"/>
      <c r="EU223" s="83"/>
      <c r="EV223" s="83"/>
      <c r="EW223" s="81">
        <f t="shared" si="463"/>
        <v>65700000</v>
      </c>
      <c r="EX223" s="86">
        <f t="shared" si="463"/>
        <v>52800000</v>
      </c>
      <c r="EY223" s="86">
        <f t="shared" si="464"/>
        <v>52800000</v>
      </c>
      <c r="EZ223" s="86">
        <f t="shared" si="464"/>
        <v>52800000</v>
      </c>
      <c r="FA223" s="176"/>
      <c r="FB223" s="83"/>
      <c r="FC223" s="84"/>
      <c r="FD223" s="84"/>
      <c r="FE223" s="84"/>
      <c r="FF223" s="140"/>
      <c r="FG223" s="83"/>
      <c r="FH223" s="83"/>
      <c r="FI223" s="83"/>
      <c r="FJ223" s="83"/>
      <c r="FK223" s="83"/>
      <c r="FL223" s="83">
        <v>20000000</v>
      </c>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v>44800000</v>
      </c>
      <c r="GL223" s="83">
        <f>84000000+15500000</f>
        <v>99500000</v>
      </c>
      <c r="GM223" s="83">
        <v>55960000</v>
      </c>
      <c r="GN223" s="83">
        <v>44768000</v>
      </c>
      <c r="GO223" s="83"/>
      <c r="GP223" s="83"/>
      <c r="GQ223" s="83"/>
      <c r="GR223" s="83"/>
      <c r="GS223" s="83"/>
      <c r="GT223" s="83"/>
      <c r="GU223" s="81">
        <f t="shared" si="465"/>
        <v>64800000</v>
      </c>
      <c r="GV223" s="81">
        <f t="shared" si="465"/>
        <v>99500000</v>
      </c>
      <c r="GW223" s="81">
        <f t="shared" si="465"/>
        <v>55960000</v>
      </c>
      <c r="GX223" s="81">
        <f t="shared" si="465"/>
        <v>44768000</v>
      </c>
      <c r="GY223" s="673">
        <f t="shared" si="465"/>
        <v>0</v>
      </c>
      <c r="GZ223" s="67">
        <f>BM223+DE223+EW223+GU223</f>
        <v>259500000</v>
      </c>
    </row>
    <row r="224" spans="1:208" ht="117" customHeight="1" x14ac:dyDescent="0.2">
      <c r="A224" s="326"/>
      <c r="B224" s="326"/>
      <c r="C224" s="264" t="s">
        <v>945</v>
      </c>
      <c r="D224" s="261" t="s">
        <v>545</v>
      </c>
      <c r="E224" s="374" t="s">
        <v>546</v>
      </c>
      <c r="F224" s="379" t="s">
        <v>546</v>
      </c>
      <c r="G224" s="988">
        <v>156</v>
      </c>
      <c r="H224" s="991" t="s">
        <v>547</v>
      </c>
      <c r="I224" s="258" t="s">
        <v>548</v>
      </c>
      <c r="J224" s="265" t="s">
        <v>444</v>
      </c>
      <c r="K224" s="259">
        <v>2</v>
      </c>
      <c r="L224" s="482" t="s">
        <v>58</v>
      </c>
      <c r="M224" s="264">
        <v>12</v>
      </c>
      <c r="N224" s="288">
        <v>12</v>
      </c>
      <c r="O224" s="475">
        <v>12</v>
      </c>
      <c r="P224" s="484">
        <v>11</v>
      </c>
      <c r="Q224" s="482">
        <v>12</v>
      </c>
      <c r="R224" s="354"/>
      <c r="S224" s="480">
        <v>8</v>
      </c>
      <c r="T224" s="482">
        <v>12</v>
      </c>
      <c r="U224" s="482"/>
      <c r="V224" s="480">
        <v>12</v>
      </c>
      <c r="W224" s="482">
        <v>12</v>
      </c>
      <c r="X224" s="482"/>
      <c r="Y224" s="480">
        <v>1</v>
      </c>
      <c r="Z224" s="508">
        <f>BM224/BM221</f>
        <v>0.48401523806198954</v>
      </c>
      <c r="AA224" s="264">
        <v>3</v>
      </c>
      <c r="AB224" s="263" t="s">
        <v>455</v>
      </c>
      <c r="AC224" s="67"/>
      <c r="AD224" s="67"/>
      <c r="AE224" s="68"/>
      <c r="AF224" s="68"/>
      <c r="AG224" s="67"/>
      <c r="AH224" s="67"/>
      <c r="AI224" s="67"/>
      <c r="AJ224" s="67"/>
      <c r="AK224" s="67"/>
      <c r="AL224" s="67"/>
      <c r="AM224" s="67"/>
      <c r="AN224" s="67"/>
      <c r="AO224" s="67"/>
      <c r="AP224" s="67"/>
      <c r="AQ224" s="67"/>
      <c r="AR224" s="67"/>
      <c r="AS224" s="67"/>
      <c r="AT224" s="67"/>
      <c r="AU224" s="68"/>
      <c r="AV224" s="68"/>
      <c r="AW224" s="67"/>
      <c r="AX224" s="67"/>
      <c r="AY224" s="67"/>
      <c r="AZ224" s="67"/>
      <c r="BA224" s="67"/>
      <c r="BB224" s="67"/>
      <c r="BC224" s="67"/>
      <c r="BD224" s="67"/>
      <c r="BE224" s="67">
        <f>17462943+103544440</f>
        <v>121007383</v>
      </c>
      <c r="BF224" s="67">
        <v>121007383</v>
      </c>
      <c r="BG224" s="69">
        <v>115904880</v>
      </c>
      <c r="BH224" s="69">
        <v>115904880</v>
      </c>
      <c r="BI224" s="67"/>
      <c r="BJ224" s="67"/>
      <c r="BK224" s="67"/>
      <c r="BL224" s="67"/>
      <c r="BM224" s="69">
        <f>+AC224+AG224+AK224+AO224+AS224+AW224+BA224+BE224+BI224</f>
        <v>121007383</v>
      </c>
      <c r="BN224" s="69">
        <f t="shared" si="461"/>
        <v>121007383</v>
      </c>
      <c r="BO224" s="69">
        <f t="shared" si="461"/>
        <v>115904880</v>
      </c>
      <c r="BP224" s="69">
        <f t="shared" si="461"/>
        <v>115904880</v>
      </c>
      <c r="BQ224" s="67"/>
      <c r="BR224" s="67"/>
      <c r="BS224" s="67"/>
      <c r="BT224" s="67"/>
      <c r="BU224" s="67"/>
      <c r="BV224" s="170"/>
      <c r="BW224" s="67"/>
      <c r="BX224" s="67"/>
      <c r="BY224" s="67"/>
      <c r="BZ224" s="67"/>
      <c r="CA224" s="67">
        <v>19440000</v>
      </c>
      <c r="CB224" s="67">
        <v>19439999.670000002</v>
      </c>
      <c r="CC224" s="67">
        <v>11413333</v>
      </c>
      <c r="CD224" s="67"/>
      <c r="CE224" s="67"/>
      <c r="CF224" s="67"/>
      <c r="CG224" s="67"/>
      <c r="CH224" s="67"/>
      <c r="CI224" s="67"/>
      <c r="CJ224" s="67"/>
      <c r="CK224" s="67"/>
      <c r="CL224" s="67"/>
      <c r="CM224" s="67"/>
      <c r="CN224" s="67"/>
      <c r="CO224" s="67"/>
      <c r="CP224" s="67"/>
      <c r="CQ224" s="67"/>
      <c r="CR224" s="67"/>
      <c r="CS224" s="67"/>
      <c r="CT224" s="67"/>
      <c r="CU224" s="67"/>
      <c r="CV224" s="67">
        <v>119200000</v>
      </c>
      <c r="CW224" s="67">
        <v>122208333.33</v>
      </c>
      <c r="CX224" s="67">
        <v>122208333.33</v>
      </c>
      <c r="CY224" s="67">
        <v>115725000</v>
      </c>
      <c r="CZ224" s="67"/>
      <c r="DA224" s="67"/>
      <c r="DB224" s="67"/>
      <c r="DC224" s="67"/>
      <c r="DD224" s="67"/>
      <c r="DE224" s="68">
        <f t="shared" si="462"/>
        <v>119200000</v>
      </c>
      <c r="DF224" s="69">
        <f t="shared" si="462"/>
        <v>141648333.32999998</v>
      </c>
      <c r="DG224" s="69">
        <f t="shared" si="462"/>
        <v>141648333</v>
      </c>
      <c r="DH224" s="69">
        <f t="shared" si="462"/>
        <v>127138333</v>
      </c>
      <c r="DI224" s="69"/>
      <c r="DJ224" s="67"/>
      <c r="DK224" s="170"/>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9">
        <v>122300000</v>
      </c>
      <c r="EO224" s="69">
        <v>82000000</v>
      </c>
      <c r="EP224" s="69">
        <v>81920000</v>
      </c>
      <c r="EQ224" s="69">
        <v>81920000</v>
      </c>
      <c r="ER224" s="69"/>
      <c r="ES224" s="67"/>
      <c r="ET224" s="89"/>
      <c r="EU224" s="89"/>
      <c r="EV224" s="89"/>
      <c r="EW224" s="81">
        <f t="shared" si="463"/>
        <v>122300000</v>
      </c>
      <c r="EX224" s="86">
        <f t="shared" si="463"/>
        <v>82000000</v>
      </c>
      <c r="EY224" s="86">
        <f t="shared" si="464"/>
        <v>81920000</v>
      </c>
      <c r="EZ224" s="86">
        <f t="shared" si="464"/>
        <v>81920000</v>
      </c>
      <c r="FA224" s="176"/>
      <c r="FB224" s="88"/>
      <c r="FC224" s="68"/>
      <c r="FD224" s="68"/>
      <c r="FE224" s="68"/>
      <c r="FF224" s="144"/>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9">
        <v>120750000</v>
      </c>
      <c r="GL224" s="89">
        <f>92000000+11916251</f>
        <v>103916251</v>
      </c>
      <c r="GM224" s="89">
        <v>53420000</v>
      </c>
      <c r="GN224" s="89">
        <v>33452000</v>
      </c>
      <c r="GO224" s="89"/>
      <c r="GP224" s="88"/>
      <c r="GQ224" s="88"/>
      <c r="GR224" s="88"/>
      <c r="GS224" s="88"/>
      <c r="GT224" s="88"/>
      <c r="GU224" s="81">
        <f t="shared" si="465"/>
        <v>120750000</v>
      </c>
      <c r="GV224" s="81">
        <f t="shared" si="465"/>
        <v>103916251</v>
      </c>
      <c r="GW224" s="81">
        <f t="shared" si="465"/>
        <v>53420000</v>
      </c>
      <c r="GX224" s="81">
        <f t="shared" si="465"/>
        <v>33452000</v>
      </c>
      <c r="GY224" s="673">
        <f t="shared" si="465"/>
        <v>0</v>
      </c>
      <c r="GZ224" s="170">
        <f>BM224+DE224+GU224+EW224</f>
        <v>483257383</v>
      </c>
    </row>
    <row r="225" spans="1:208" ht="188.25" customHeight="1" x14ac:dyDescent="0.2">
      <c r="A225" s="326"/>
      <c r="B225" s="326"/>
      <c r="C225" s="277">
        <v>34</v>
      </c>
      <c r="D225" s="509" t="s">
        <v>551</v>
      </c>
      <c r="E225" s="376" t="s">
        <v>53</v>
      </c>
      <c r="F225" s="439">
        <v>0.4</v>
      </c>
      <c r="G225" s="265">
        <v>157</v>
      </c>
      <c r="H225" s="261" t="s">
        <v>552</v>
      </c>
      <c r="I225" s="510" t="s">
        <v>553</v>
      </c>
      <c r="J225" s="345" t="s">
        <v>444</v>
      </c>
      <c r="K225" s="505">
        <v>2</v>
      </c>
      <c r="L225" s="492" t="s">
        <v>58</v>
      </c>
      <c r="M225" s="718">
        <v>12</v>
      </c>
      <c r="N225" s="277">
        <v>12</v>
      </c>
      <c r="O225" s="496">
        <v>12</v>
      </c>
      <c r="P225" s="497">
        <v>12</v>
      </c>
      <c r="Q225" s="491">
        <v>12</v>
      </c>
      <c r="R225" s="429"/>
      <c r="S225" s="499">
        <v>12</v>
      </c>
      <c r="T225" s="491">
        <v>12</v>
      </c>
      <c r="U225" s="491"/>
      <c r="V225" s="499">
        <v>12</v>
      </c>
      <c r="W225" s="491">
        <v>12</v>
      </c>
      <c r="X225" s="492"/>
      <c r="Y225" s="645">
        <v>3</v>
      </c>
      <c r="Z225" s="506">
        <f>BM225/BM221</f>
        <v>0.1359959837666074</v>
      </c>
      <c r="AA225" s="718">
        <v>10</v>
      </c>
      <c r="AB225" s="347" t="s">
        <v>389</v>
      </c>
      <c r="AC225" s="62"/>
      <c r="AD225" s="70"/>
      <c r="AE225" s="71"/>
      <c r="AF225" s="71"/>
      <c r="AG225" s="62"/>
      <c r="AH225" s="70"/>
      <c r="AI225" s="70"/>
      <c r="AJ225" s="70"/>
      <c r="AK225" s="62"/>
      <c r="AL225" s="70"/>
      <c r="AM225" s="70"/>
      <c r="AN225" s="70"/>
      <c r="AO225" s="62"/>
      <c r="AP225" s="70"/>
      <c r="AQ225" s="70"/>
      <c r="AR225" s="70"/>
      <c r="AS225" s="62"/>
      <c r="AT225" s="70"/>
      <c r="AU225" s="71"/>
      <c r="AV225" s="71"/>
      <c r="AW225" s="62"/>
      <c r="AX225" s="70"/>
      <c r="AY225" s="70"/>
      <c r="AZ225" s="70"/>
      <c r="BA225" s="62"/>
      <c r="BB225" s="70"/>
      <c r="BC225" s="70"/>
      <c r="BD225" s="70"/>
      <c r="BE225" s="62">
        <v>34000000</v>
      </c>
      <c r="BF225" s="72">
        <v>34000000</v>
      </c>
      <c r="BG225" s="73">
        <v>13520000</v>
      </c>
      <c r="BH225" s="71">
        <v>13520000</v>
      </c>
      <c r="BI225" s="62"/>
      <c r="BJ225" s="70"/>
      <c r="BK225" s="70"/>
      <c r="BL225" s="70"/>
      <c r="BM225" s="61">
        <f>+AC225+AG225+AK225+AO225+AS225+AW225+BA225+BE225+BI225</f>
        <v>34000000</v>
      </c>
      <c r="BN225" s="73">
        <f>AD225+AH225+AL225+AP225+AT225+AX225+BB225+BF225+BJ225</f>
        <v>34000000</v>
      </c>
      <c r="BO225" s="73">
        <f>AE225+AI225+AM225+AQ225+AU225+AY225+BC225+BG225+BK225</f>
        <v>13520000</v>
      </c>
      <c r="BP225" s="73">
        <f>AF225+AJ225+AN225+AR225+AV225+AZ225+BD225+BH225+BL225</f>
        <v>13520000</v>
      </c>
      <c r="BQ225" s="92"/>
      <c r="BR225" s="92"/>
      <c r="BS225" s="92"/>
      <c r="BT225" s="92"/>
      <c r="BU225" s="92"/>
      <c r="BV225" s="511"/>
      <c r="BW225" s="92"/>
      <c r="BX225" s="92"/>
      <c r="BY225" s="92"/>
      <c r="BZ225" s="92"/>
      <c r="CA225" s="92">
        <v>10560000</v>
      </c>
      <c r="CB225" s="92">
        <v>10560000</v>
      </c>
      <c r="CC225" s="92">
        <v>10560000</v>
      </c>
      <c r="CD225" s="92"/>
      <c r="CE225" s="92"/>
      <c r="CF225" s="92"/>
      <c r="CG225" s="92"/>
      <c r="CH225" s="92"/>
      <c r="CI225" s="92"/>
      <c r="CJ225" s="92"/>
      <c r="CK225" s="92"/>
      <c r="CL225" s="92"/>
      <c r="CM225" s="92"/>
      <c r="CN225" s="92"/>
      <c r="CO225" s="92"/>
      <c r="CP225" s="92"/>
      <c r="CQ225" s="92"/>
      <c r="CR225" s="92"/>
      <c r="CS225" s="92"/>
      <c r="CT225" s="92"/>
      <c r="CU225" s="92"/>
      <c r="CV225" s="90">
        <v>33607604</v>
      </c>
      <c r="CW225" s="92">
        <v>58599270.670000002</v>
      </c>
      <c r="CX225" s="92">
        <v>40464000</v>
      </c>
      <c r="CY225" s="92">
        <v>40464000</v>
      </c>
      <c r="CZ225" s="92"/>
      <c r="DA225" s="92"/>
      <c r="DB225" s="92"/>
      <c r="DC225" s="92"/>
      <c r="DD225" s="92"/>
      <c r="DE225" s="96">
        <f t="shared" si="462"/>
        <v>33607604</v>
      </c>
      <c r="DF225" s="101">
        <f t="shared" si="462"/>
        <v>69159270.670000002</v>
      </c>
      <c r="DG225" s="101">
        <f t="shared" si="462"/>
        <v>51024000</v>
      </c>
      <c r="DH225" s="101">
        <f t="shared" si="462"/>
        <v>51024000</v>
      </c>
      <c r="DI225" s="101"/>
      <c r="DJ225" s="90"/>
      <c r="DK225" s="91"/>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1">
        <v>34496832.996917762</v>
      </c>
      <c r="EO225" s="91">
        <v>52742081</v>
      </c>
      <c r="EP225" s="91">
        <v>46068062</v>
      </c>
      <c r="EQ225" s="91">
        <v>46068062</v>
      </c>
      <c r="ER225" s="91"/>
      <c r="ES225" s="90"/>
      <c r="ET225" s="92"/>
      <c r="EU225" s="92"/>
      <c r="EV225" s="92"/>
      <c r="EW225" s="81">
        <f t="shared" si="463"/>
        <v>34496832.996917762</v>
      </c>
      <c r="EX225" s="86">
        <f t="shared" si="463"/>
        <v>52742081</v>
      </c>
      <c r="EY225" s="86">
        <f t="shared" si="464"/>
        <v>46068062</v>
      </c>
      <c r="EZ225" s="86">
        <f t="shared" si="464"/>
        <v>46068062</v>
      </c>
      <c r="FA225" s="178"/>
      <c r="FB225" s="92"/>
      <c r="FC225" s="84"/>
      <c r="FD225" s="84"/>
      <c r="FE225" s="84"/>
      <c r="FF225" s="145"/>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c r="GK225" s="92">
        <v>34030737.995129235</v>
      </c>
      <c r="GL225" s="92">
        <v>56000000</v>
      </c>
      <c r="GM225" s="92">
        <v>22945000</v>
      </c>
      <c r="GN225" s="92">
        <v>14774000</v>
      </c>
      <c r="GO225" s="92"/>
      <c r="GP225" s="92"/>
      <c r="GQ225" s="92"/>
      <c r="GR225" s="92"/>
      <c r="GS225" s="92"/>
      <c r="GT225" s="92"/>
      <c r="GU225" s="81">
        <f t="shared" si="465"/>
        <v>34030737.995129235</v>
      </c>
      <c r="GV225" s="81">
        <f t="shared" si="465"/>
        <v>56000000</v>
      </c>
      <c r="GW225" s="81">
        <f t="shared" si="465"/>
        <v>22945000</v>
      </c>
      <c r="GX225" s="81">
        <f t="shared" si="465"/>
        <v>14774000</v>
      </c>
      <c r="GY225" s="673">
        <f t="shared" si="465"/>
        <v>0</v>
      </c>
      <c r="GZ225" s="431">
        <f>BM225+DE225+EW225+GU225</f>
        <v>136135174.99204698</v>
      </c>
    </row>
    <row r="226" spans="1:208" ht="24.75" customHeight="1" x14ac:dyDescent="0.2">
      <c r="A226" s="326"/>
      <c r="B226" s="326"/>
      <c r="C226" s="246">
        <v>45</v>
      </c>
      <c r="D226" s="247" t="s">
        <v>554</v>
      </c>
      <c r="E226" s="250"/>
      <c r="F226" s="250"/>
      <c r="G226" s="249"/>
      <c r="H226" s="249"/>
      <c r="I226" s="249"/>
      <c r="J226" s="249"/>
      <c r="K226" s="249"/>
      <c r="L226" s="249"/>
      <c r="M226" s="249"/>
      <c r="N226" s="249"/>
      <c r="O226" s="249"/>
      <c r="P226" s="249"/>
      <c r="Q226" s="249"/>
      <c r="R226" s="249"/>
      <c r="S226" s="249"/>
      <c r="T226" s="249"/>
      <c r="U226" s="249"/>
      <c r="V226" s="249"/>
      <c r="W226" s="249"/>
      <c r="X226" s="249"/>
      <c r="Y226" s="296"/>
      <c r="Z226" s="249"/>
      <c r="AA226" s="249"/>
      <c r="AB226" s="249"/>
      <c r="AC226" s="51">
        <f t="shared" ref="AC226:BL226" si="466">SUM(AC227:AC228)</f>
        <v>0</v>
      </c>
      <c r="AD226" s="51">
        <f t="shared" si="466"/>
        <v>0</v>
      </c>
      <c r="AE226" s="51">
        <f t="shared" si="466"/>
        <v>0</v>
      </c>
      <c r="AF226" s="51">
        <f t="shared" si="466"/>
        <v>0</v>
      </c>
      <c r="AG226" s="51">
        <f t="shared" si="466"/>
        <v>0</v>
      </c>
      <c r="AH226" s="51">
        <f t="shared" si="466"/>
        <v>0</v>
      </c>
      <c r="AI226" s="51">
        <f t="shared" si="466"/>
        <v>0</v>
      </c>
      <c r="AJ226" s="51">
        <f t="shared" si="466"/>
        <v>0</v>
      </c>
      <c r="AK226" s="51">
        <f t="shared" si="466"/>
        <v>0</v>
      </c>
      <c r="AL226" s="51">
        <f t="shared" si="466"/>
        <v>0</v>
      </c>
      <c r="AM226" s="51">
        <f t="shared" si="466"/>
        <v>0</v>
      </c>
      <c r="AN226" s="51">
        <f t="shared" si="466"/>
        <v>0</v>
      </c>
      <c r="AO226" s="51">
        <f t="shared" si="466"/>
        <v>0</v>
      </c>
      <c r="AP226" s="51">
        <f t="shared" si="466"/>
        <v>0</v>
      </c>
      <c r="AQ226" s="51">
        <f t="shared" si="466"/>
        <v>0</v>
      </c>
      <c r="AR226" s="51">
        <f t="shared" si="466"/>
        <v>0</v>
      </c>
      <c r="AS226" s="51">
        <f t="shared" si="466"/>
        <v>0</v>
      </c>
      <c r="AT226" s="51">
        <f t="shared" si="466"/>
        <v>0</v>
      </c>
      <c r="AU226" s="51">
        <f t="shared" si="466"/>
        <v>0</v>
      </c>
      <c r="AV226" s="51">
        <f t="shared" si="466"/>
        <v>0</v>
      </c>
      <c r="AW226" s="51">
        <f t="shared" si="466"/>
        <v>0</v>
      </c>
      <c r="AX226" s="51">
        <f t="shared" si="466"/>
        <v>0</v>
      </c>
      <c r="AY226" s="51">
        <f t="shared" si="466"/>
        <v>0</v>
      </c>
      <c r="AZ226" s="51">
        <f t="shared" si="466"/>
        <v>0</v>
      </c>
      <c r="BA226" s="51">
        <f t="shared" si="466"/>
        <v>0</v>
      </c>
      <c r="BB226" s="51">
        <f t="shared" si="466"/>
        <v>0</v>
      </c>
      <c r="BC226" s="51">
        <f t="shared" si="466"/>
        <v>0</v>
      </c>
      <c r="BD226" s="51">
        <f t="shared" si="466"/>
        <v>0</v>
      </c>
      <c r="BE226" s="51">
        <f t="shared" si="466"/>
        <v>1023348969</v>
      </c>
      <c r="BF226" s="51">
        <f t="shared" si="466"/>
        <v>1023444242</v>
      </c>
      <c r="BG226" s="51">
        <f t="shared" si="466"/>
        <v>951209564</v>
      </c>
      <c r="BH226" s="51">
        <f t="shared" si="466"/>
        <v>748698264</v>
      </c>
      <c r="BI226" s="51">
        <f t="shared" si="466"/>
        <v>0</v>
      </c>
      <c r="BJ226" s="51">
        <f t="shared" si="466"/>
        <v>0</v>
      </c>
      <c r="BK226" s="51">
        <f t="shared" si="466"/>
        <v>0</v>
      </c>
      <c r="BL226" s="51">
        <f t="shared" si="466"/>
        <v>0</v>
      </c>
      <c r="BM226" s="51">
        <f t="shared" ref="BM226:DX226" si="467">SUM(BM227:BM228)</f>
        <v>1023348969</v>
      </c>
      <c r="BN226" s="51">
        <f t="shared" si="467"/>
        <v>1023444242</v>
      </c>
      <c r="BO226" s="51">
        <f t="shared" si="467"/>
        <v>951209564</v>
      </c>
      <c r="BP226" s="51">
        <f t="shared" si="467"/>
        <v>748698264</v>
      </c>
      <c r="BQ226" s="51">
        <f t="shared" si="467"/>
        <v>0</v>
      </c>
      <c r="BR226" s="51">
        <f t="shared" si="467"/>
        <v>0</v>
      </c>
      <c r="BS226" s="51">
        <f t="shared" si="467"/>
        <v>0</v>
      </c>
      <c r="BT226" s="51">
        <f t="shared" si="467"/>
        <v>0</v>
      </c>
      <c r="BU226" s="51">
        <f t="shared" si="467"/>
        <v>0</v>
      </c>
      <c r="BV226" s="51">
        <f t="shared" si="467"/>
        <v>0</v>
      </c>
      <c r="BW226" s="51">
        <f t="shared" si="467"/>
        <v>0</v>
      </c>
      <c r="BX226" s="51">
        <f t="shared" si="467"/>
        <v>0</v>
      </c>
      <c r="BY226" s="51">
        <f t="shared" si="467"/>
        <v>0</v>
      </c>
      <c r="BZ226" s="51">
        <f t="shared" si="467"/>
        <v>0</v>
      </c>
      <c r="CA226" s="51">
        <f t="shared" si="467"/>
        <v>0</v>
      </c>
      <c r="CB226" s="51">
        <f t="shared" si="467"/>
        <v>0</v>
      </c>
      <c r="CC226" s="51">
        <f t="shared" si="467"/>
        <v>0</v>
      </c>
      <c r="CD226" s="51">
        <f t="shared" si="467"/>
        <v>0</v>
      </c>
      <c r="CE226" s="51">
        <f t="shared" si="467"/>
        <v>0</v>
      </c>
      <c r="CF226" s="51">
        <f t="shared" si="467"/>
        <v>0</v>
      </c>
      <c r="CG226" s="51">
        <f t="shared" si="467"/>
        <v>0</v>
      </c>
      <c r="CH226" s="51">
        <f t="shared" si="467"/>
        <v>0</v>
      </c>
      <c r="CI226" s="51">
        <f t="shared" si="467"/>
        <v>0</v>
      </c>
      <c r="CJ226" s="51">
        <f t="shared" si="467"/>
        <v>0</v>
      </c>
      <c r="CK226" s="51">
        <f t="shared" si="467"/>
        <v>0</v>
      </c>
      <c r="CL226" s="51">
        <f t="shared" si="467"/>
        <v>0</v>
      </c>
      <c r="CM226" s="51">
        <f t="shared" si="467"/>
        <v>0</v>
      </c>
      <c r="CN226" s="51">
        <f t="shared" si="467"/>
        <v>0</v>
      </c>
      <c r="CO226" s="51">
        <f t="shared" si="467"/>
        <v>0</v>
      </c>
      <c r="CP226" s="51">
        <f t="shared" si="467"/>
        <v>0</v>
      </c>
      <c r="CQ226" s="51">
        <f t="shared" si="467"/>
        <v>0</v>
      </c>
      <c r="CR226" s="51">
        <f t="shared" si="467"/>
        <v>0</v>
      </c>
      <c r="CS226" s="51">
        <f t="shared" si="467"/>
        <v>0</v>
      </c>
      <c r="CT226" s="51">
        <f t="shared" si="467"/>
        <v>0</v>
      </c>
      <c r="CU226" s="51">
        <f t="shared" si="467"/>
        <v>0</v>
      </c>
      <c r="CV226" s="51">
        <f t="shared" si="467"/>
        <v>1054049438</v>
      </c>
      <c r="CW226" s="51">
        <f t="shared" si="467"/>
        <v>1500230607</v>
      </c>
      <c r="CX226" s="51">
        <f t="shared" si="467"/>
        <v>1391132066</v>
      </c>
      <c r="CY226" s="51">
        <f t="shared" si="467"/>
        <v>1123945666</v>
      </c>
      <c r="CZ226" s="51">
        <f t="shared" si="467"/>
        <v>183025600</v>
      </c>
      <c r="DA226" s="51">
        <f t="shared" si="467"/>
        <v>0</v>
      </c>
      <c r="DB226" s="51">
        <f t="shared" si="467"/>
        <v>0</v>
      </c>
      <c r="DC226" s="51">
        <f t="shared" si="467"/>
        <v>0</v>
      </c>
      <c r="DD226" s="51">
        <f t="shared" si="467"/>
        <v>0</v>
      </c>
      <c r="DE226" s="51">
        <f t="shared" si="467"/>
        <v>1054049438</v>
      </c>
      <c r="DF226" s="51">
        <f t="shared" si="467"/>
        <v>1500230607</v>
      </c>
      <c r="DG226" s="51">
        <f t="shared" si="467"/>
        <v>1391132066</v>
      </c>
      <c r="DH226" s="51">
        <f t="shared" si="467"/>
        <v>1123945666</v>
      </c>
      <c r="DI226" s="51">
        <f t="shared" si="467"/>
        <v>183025600</v>
      </c>
      <c r="DJ226" s="51">
        <f t="shared" si="467"/>
        <v>0</v>
      </c>
      <c r="DK226" s="51">
        <f t="shared" si="467"/>
        <v>0</v>
      </c>
      <c r="DL226" s="51">
        <f t="shared" si="467"/>
        <v>0</v>
      </c>
      <c r="DM226" s="51">
        <f t="shared" si="467"/>
        <v>0</v>
      </c>
      <c r="DN226" s="51">
        <f t="shared" si="467"/>
        <v>0</v>
      </c>
      <c r="DO226" s="51">
        <f t="shared" si="467"/>
        <v>0</v>
      </c>
      <c r="DP226" s="51">
        <f t="shared" si="467"/>
        <v>0</v>
      </c>
      <c r="DQ226" s="51">
        <f t="shared" si="467"/>
        <v>0</v>
      </c>
      <c r="DR226" s="51">
        <f t="shared" si="467"/>
        <v>0</v>
      </c>
      <c r="DS226" s="51">
        <f t="shared" si="467"/>
        <v>0</v>
      </c>
      <c r="DT226" s="51">
        <f t="shared" si="467"/>
        <v>0</v>
      </c>
      <c r="DU226" s="51">
        <f t="shared" si="467"/>
        <v>0</v>
      </c>
      <c r="DV226" s="51">
        <f t="shared" si="467"/>
        <v>0</v>
      </c>
      <c r="DW226" s="51">
        <f t="shared" si="467"/>
        <v>0</v>
      </c>
      <c r="DX226" s="51">
        <f t="shared" si="467"/>
        <v>0</v>
      </c>
      <c r="DY226" s="51">
        <f t="shared" ref="DY226:EW226" si="468">SUM(DY227:DY228)</f>
        <v>0</v>
      </c>
      <c r="DZ226" s="51">
        <f t="shared" si="468"/>
        <v>0</v>
      </c>
      <c r="EA226" s="51">
        <f t="shared" si="468"/>
        <v>0</v>
      </c>
      <c r="EB226" s="51">
        <f t="shared" si="468"/>
        <v>0</v>
      </c>
      <c r="EC226" s="51">
        <f t="shared" si="468"/>
        <v>0</v>
      </c>
      <c r="ED226" s="51">
        <f t="shared" si="468"/>
        <v>0</v>
      </c>
      <c r="EE226" s="51">
        <f t="shared" si="468"/>
        <v>0</v>
      </c>
      <c r="EF226" s="51">
        <f t="shared" si="468"/>
        <v>0</v>
      </c>
      <c r="EG226" s="51">
        <f t="shared" si="468"/>
        <v>0</v>
      </c>
      <c r="EH226" s="51">
        <f t="shared" si="468"/>
        <v>0</v>
      </c>
      <c r="EI226" s="51">
        <f t="shared" si="468"/>
        <v>0</v>
      </c>
      <c r="EJ226" s="51">
        <f t="shared" si="468"/>
        <v>0</v>
      </c>
      <c r="EK226" s="51">
        <f t="shared" si="468"/>
        <v>0</v>
      </c>
      <c r="EL226" s="51">
        <f t="shared" si="468"/>
        <v>0</v>
      </c>
      <c r="EM226" s="51">
        <f t="shared" si="468"/>
        <v>0</v>
      </c>
      <c r="EN226" s="51">
        <f t="shared" si="468"/>
        <v>1085670921</v>
      </c>
      <c r="EO226" s="51">
        <f t="shared" si="468"/>
        <v>1284098541</v>
      </c>
      <c r="EP226" s="51">
        <f t="shared" si="468"/>
        <v>1124001430</v>
      </c>
      <c r="EQ226" s="51">
        <f t="shared" si="468"/>
        <v>1124001430</v>
      </c>
      <c r="ER226" s="51">
        <f t="shared" si="468"/>
        <v>42000000</v>
      </c>
      <c r="ES226" s="51">
        <f t="shared" si="468"/>
        <v>0</v>
      </c>
      <c r="ET226" s="51">
        <f t="shared" si="468"/>
        <v>0</v>
      </c>
      <c r="EU226" s="51">
        <f t="shared" si="468"/>
        <v>0</v>
      </c>
      <c r="EV226" s="51">
        <f t="shared" si="468"/>
        <v>0</v>
      </c>
      <c r="EW226" s="51">
        <f t="shared" si="468"/>
        <v>1085670921</v>
      </c>
      <c r="EX226" s="51">
        <f t="shared" ref="EX226:GZ226" si="469">SUM(EX227:EX228)</f>
        <v>1284098541</v>
      </c>
      <c r="EY226" s="51">
        <f t="shared" si="469"/>
        <v>1124001430</v>
      </c>
      <c r="EZ226" s="51">
        <f t="shared" si="469"/>
        <v>1124001430</v>
      </c>
      <c r="FA226" s="51">
        <f t="shared" si="469"/>
        <v>42000000</v>
      </c>
      <c r="FB226" s="51">
        <f t="shared" si="469"/>
        <v>0</v>
      </c>
      <c r="FC226" s="51">
        <f t="shared" si="469"/>
        <v>0</v>
      </c>
      <c r="FD226" s="51">
        <f t="shared" si="469"/>
        <v>0</v>
      </c>
      <c r="FE226" s="51">
        <f t="shared" si="469"/>
        <v>0</v>
      </c>
      <c r="FF226" s="51">
        <f t="shared" si="469"/>
        <v>0</v>
      </c>
      <c r="FG226" s="51">
        <f t="shared" si="469"/>
        <v>0</v>
      </c>
      <c r="FH226" s="51">
        <f t="shared" si="469"/>
        <v>0</v>
      </c>
      <c r="FI226" s="51">
        <f t="shared" si="469"/>
        <v>0</v>
      </c>
      <c r="FJ226" s="51">
        <f t="shared" si="469"/>
        <v>0</v>
      </c>
      <c r="FK226" s="51">
        <f t="shared" si="469"/>
        <v>0</v>
      </c>
      <c r="FL226" s="51">
        <f t="shared" si="469"/>
        <v>0</v>
      </c>
      <c r="FM226" s="51">
        <f t="shared" si="469"/>
        <v>0</v>
      </c>
      <c r="FN226" s="51">
        <f t="shared" si="469"/>
        <v>0</v>
      </c>
      <c r="FO226" s="51">
        <f t="shared" si="469"/>
        <v>0</v>
      </c>
      <c r="FP226" s="51">
        <f t="shared" si="469"/>
        <v>0</v>
      </c>
      <c r="FQ226" s="51">
        <f t="shared" si="469"/>
        <v>0</v>
      </c>
      <c r="FR226" s="51">
        <f t="shared" si="469"/>
        <v>0</v>
      </c>
      <c r="FS226" s="51">
        <f t="shared" si="469"/>
        <v>0</v>
      </c>
      <c r="FT226" s="51">
        <f t="shared" si="469"/>
        <v>0</v>
      </c>
      <c r="FU226" s="51">
        <f t="shared" si="469"/>
        <v>0</v>
      </c>
      <c r="FV226" s="51">
        <f t="shared" si="469"/>
        <v>0</v>
      </c>
      <c r="FW226" s="51">
        <f t="shared" si="469"/>
        <v>0</v>
      </c>
      <c r="FX226" s="51">
        <f t="shared" si="469"/>
        <v>0</v>
      </c>
      <c r="FY226" s="51">
        <f t="shared" si="469"/>
        <v>0</v>
      </c>
      <c r="FZ226" s="51">
        <f t="shared" si="469"/>
        <v>0</v>
      </c>
      <c r="GA226" s="51">
        <f t="shared" si="469"/>
        <v>0</v>
      </c>
      <c r="GB226" s="51">
        <f t="shared" si="469"/>
        <v>0</v>
      </c>
      <c r="GC226" s="51">
        <f t="shared" si="469"/>
        <v>0</v>
      </c>
      <c r="GD226" s="51">
        <f t="shared" si="469"/>
        <v>0</v>
      </c>
      <c r="GE226" s="51">
        <f t="shared" si="469"/>
        <v>0</v>
      </c>
      <c r="GF226" s="51">
        <f t="shared" si="469"/>
        <v>0</v>
      </c>
      <c r="GG226" s="51">
        <f t="shared" si="469"/>
        <v>0</v>
      </c>
      <c r="GH226" s="51">
        <f t="shared" si="469"/>
        <v>0</v>
      </c>
      <c r="GI226" s="51">
        <f t="shared" si="469"/>
        <v>0</v>
      </c>
      <c r="GJ226" s="51">
        <f t="shared" si="469"/>
        <v>0</v>
      </c>
      <c r="GK226" s="51">
        <f t="shared" si="469"/>
        <v>1118241049</v>
      </c>
      <c r="GL226" s="51">
        <f t="shared" si="469"/>
        <v>1538707111</v>
      </c>
      <c r="GM226" s="51">
        <f t="shared" si="469"/>
        <v>1212662000</v>
      </c>
      <c r="GN226" s="51">
        <f t="shared" si="469"/>
        <v>230402000</v>
      </c>
      <c r="GO226" s="51">
        <f t="shared" si="469"/>
        <v>0</v>
      </c>
      <c r="GP226" s="51">
        <f t="shared" si="469"/>
        <v>0</v>
      </c>
      <c r="GQ226" s="51">
        <f t="shared" si="469"/>
        <v>0</v>
      </c>
      <c r="GR226" s="51">
        <f t="shared" si="469"/>
        <v>0</v>
      </c>
      <c r="GS226" s="51">
        <f t="shared" si="469"/>
        <v>0</v>
      </c>
      <c r="GT226" s="51">
        <f t="shared" si="469"/>
        <v>0</v>
      </c>
      <c r="GU226" s="51">
        <f t="shared" si="469"/>
        <v>1118241049</v>
      </c>
      <c r="GV226" s="51">
        <f t="shared" si="469"/>
        <v>1538707111</v>
      </c>
      <c r="GW226" s="51">
        <f t="shared" si="469"/>
        <v>1212662000</v>
      </c>
      <c r="GX226" s="51">
        <f t="shared" si="469"/>
        <v>230402000</v>
      </c>
      <c r="GY226" s="51">
        <f t="shared" si="469"/>
        <v>0</v>
      </c>
      <c r="GZ226" s="51">
        <f t="shared" si="469"/>
        <v>4281310377</v>
      </c>
    </row>
    <row r="227" spans="1:208" ht="157.5" customHeight="1" x14ac:dyDescent="0.2">
      <c r="A227" s="326">
        <v>100</v>
      </c>
      <c r="B227" s="326"/>
      <c r="C227" s="456">
        <v>24</v>
      </c>
      <c r="D227" s="1040" t="s">
        <v>555</v>
      </c>
      <c r="E227" s="1040" t="s">
        <v>556</v>
      </c>
      <c r="F227" s="1040" t="s">
        <v>557</v>
      </c>
      <c r="G227" s="265">
        <v>158</v>
      </c>
      <c r="H227" s="261" t="s">
        <v>558</v>
      </c>
      <c r="I227" s="275" t="s">
        <v>559</v>
      </c>
      <c r="J227" s="262" t="s">
        <v>444</v>
      </c>
      <c r="K227" s="415">
        <v>2</v>
      </c>
      <c r="L227" s="476" t="s">
        <v>58</v>
      </c>
      <c r="M227" s="288" t="s">
        <v>53</v>
      </c>
      <c r="N227" s="264">
        <v>11</v>
      </c>
      <c r="O227" s="475">
        <v>11</v>
      </c>
      <c r="P227" s="484">
        <v>11</v>
      </c>
      <c r="Q227" s="482">
        <v>11</v>
      </c>
      <c r="R227" s="268"/>
      <c r="S227" s="480">
        <v>11</v>
      </c>
      <c r="T227" s="482">
        <v>11</v>
      </c>
      <c r="U227" s="482"/>
      <c r="V227" s="480">
        <v>11</v>
      </c>
      <c r="W227" s="482">
        <v>11</v>
      </c>
      <c r="X227" s="476"/>
      <c r="Y227" s="641">
        <v>0</v>
      </c>
      <c r="Z227" s="390">
        <f>BM227/BM226</f>
        <v>1</v>
      </c>
      <c r="AA227" s="265">
        <v>3</v>
      </c>
      <c r="AB227" s="262" t="s">
        <v>455</v>
      </c>
      <c r="AC227" s="56"/>
      <c r="AD227" s="55"/>
      <c r="AE227" s="54"/>
      <c r="AF227" s="54"/>
      <c r="AG227" s="56"/>
      <c r="AH227" s="55"/>
      <c r="AI227" s="55"/>
      <c r="AJ227" s="55"/>
      <c r="AK227" s="56"/>
      <c r="AL227" s="55"/>
      <c r="AM227" s="55"/>
      <c r="AN227" s="55"/>
      <c r="AO227" s="56"/>
      <c r="AP227" s="55"/>
      <c r="AQ227" s="55"/>
      <c r="AR227" s="55"/>
      <c r="AS227" s="56"/>
      <c r="AT227" s="55"/>
      <c r="AU227" s="54"/>
      <c r="AV227" s="54"/>
      <c r="AW227" s="56"/>
      <c r="AX227" s="55"/>
      <c r="AY227" s="55"/>
      <c r="AZ227" s="55"/>
      <c r="BA227" s="56"/>
      <c r="BB227" s="55"/>
      <c r="BC227" s="55"/>
      <c r="BD227" s="55"/>
      <c r="BE227" s="57">
        <v>1023348969</v>
      </c>
      <c r="BF227" s="55">
        <v>1023444242</v>
      </c>
      <c r="BG227" s="54">
        <v>951209564</v>
      </c>
      <c r="BH227" s="59">
        <v>748698264</v>
      </c>
      <c r="BI227" s="57"/>
      <c r="BJ227" s="58"/>
      <c r="BK227" s="58"/>
      <c r="BL227" s="55"/>
      <c r="BM227" s="53">
        <f>+AC227+AG227+AK227+AO227+AS227+AW227+BA227+BE227+BI227</f>
        <v>1023348969</v>
      </c>
      <c r="BN227" s="54">
        <f t="shared" ref="BN227:BP228" si="470">AD227+AH227+AL227+AP227+AT227+AX227+BB227+BF227+BJ227</f>
        <v>1023444242</v>
      </c>
      <c r="BO227" s="54">
        <f t="shared" si="470"/>
        <v>951209564</v>
      </c>
      <c r="BP227" s="54">
        <f t="shared" si="470"/>
        <v>748698264</v>
      </c>
      <c r="BQ227" s="83"/>
      <c r="BR227" s="83"/>
      <c r="BS227" s="83"/>
      <c r="BT227" s="83"/>
      <c r="BU227" s="83"/>
      <c r="BV227" s="82"/>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4">
        <v>1054049438</v>
      </c>
      <c r="CW227" s="83">
        <v>1500230607</v>
      </c>
      <c r="CX227" s="83">
        <v>1391132066</v>
      </c>
      <c r="CY227" s="83">
        <v>1123945666</v>
      </c>
      <c r="CZ227" s="84">
        <v>183025600</v>
      </c>
      <c r="DA227" s="83"/>
      <c r="DB227" s="83"/>
      <c r="DC227" s="83"/>
      <c r="DD227" s="83"/>
      <c r="DE227" s="81">
        <f t="shared" ref="DE227:DH228" si="471">BQ227+BU227+BZ227+CE227+CI227+CM227+CQ227+CV227+DA227</f>
        <v>1054049438</v>
      </c>
      <c r="DF227" s="95">
        <f t="shared" si="471"/>
        <v>1500230607</v>
      </c>
      <c r="DG227" s="95">
        <f t="shared" si="471"/>
        <v>1391132066</v>
      </c>
      <c r="DH227" s="95">
        <f t="shared" si="471"/>
        <v>1123945666</v>
      </c>
      <c r="DI227" s="95">
        <f>CZ227</f>
        <v>183025600</v>
      </c>
      <c r="DJ227" s="84"/>
      <c r="DK227" s="65"/>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v>1085670921</v>
      </c>
      <c r="EO227" s="84">
        <v>1284098541</v>
      </c>
      <c r="EP227" s="84">
        <v>1124001430</v>
      </c>
      <c r="EQ227" s="84">
        <v>1124001430</v>
      </c>
      <c r="ER227" s="84">
        <v>42000000</v>
      </c>
      <c r="ES227" s="84"/>
      <c r="ET227" s="83"/>
      <c r="EU227" s="83"/>
      <c r="EV227" s="83"/>
      <c r="EW227" s="81">
        <f t="shared" ref="EW227:EX228" si="472">DJ227+DN227+DS227+DX227+EB227+EF227+EJ227+EN227+ES227</f>
        <v>1085670921</v>
      </c>
      <c r="EX227" s="86">
        <f t="shared" si="472"/>
        <v>1284098541</v>
      </c>
      <c r="EY227" s="86">
        <f t="shared" ref="EY227:EZ228" si="473">DL227+DP227+DU227+DZ227+ED227+EH227+EL227+EP227+EU227</f>
        <v>1124001430</v>
      </c>
      <c r="EZ227" s="86">
        <f t="shared" si="473"/>
        <v>1124001430</v>
      </c>
      <c r="FA227" s="86">
        <f>ER227</f>
        <v>42000000</v>
      </c>
      <c r="FB227" s="83"/>
      <c r="FC227" s="84"/>
      <c r="FD227" s="84"/>
      <c r="FE227" s="84"/>
      <c r="FF227" s="140"/>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v>1118241049</v>
      </c>
      <c r="GL227" s="83">
        <f>1324410000+193097111</f>
        <v>1517507111</v>
      </c>
      <c r="GM227" s="83">
        <v>1212662000</v>
      </c>
      <c r="GN227" s="83">
        <v>230402000</v>
      </c>
      <c r="GO227" s="83"/>
      <c r="GP227" s="83"/>
      <c r="GQ227" s="83"/>
      <c r="GR227" s="83"/>
      <c r="GS227" s="83"/>
      <c r="GT227" s="83"/>
      <c r="GU227" s="81">
        <f t="shared" ref="GU227:GY228" si="474">FB227+FG227+FL227+FQ227+FV227+GA227+GF227+GK227+GP227</f>
        <v>1118241049</v>
      </c>
      <c r="GV227" s="81">
        <f t="shared" si="474"/>
        <v>1517507111</v>
      </c>
      <c r="GW227" s="81">
        <f t="shared" si="474"/>
        <v>1212662000</v>
      </c>
      <c r="GX227" s="81">
        <f t="shared" si="474"/>
        <v>230402000</v>
      </c>
      <c r="GY227" s="673">
        <f t="shared" si="474"/>
        <v>0</v>
      </c>
      <c r="GZ227" s="67">
        <f>BM227+DE227+EW227+GU227</f>
        <v>4281310377</v>
      </c>
    </row>
    <row r="228" spans="1:208" ht="63.75" customHeight="1" x14ac:dyDescent="0.2">
      <c r="A228" s="326"/>
      <c r="B228" s="326"/>
      <c r="C228" s="718" t="s">
        <v>949</v>
      </c>
      <c r="D228" s="762"/>
      <c r="E228" s="762"/>
      <c r="F228" s="762"/>
      <c r="G228" s="265">
        <v>159</v>
      </c>
      <c r="H228" s="261" t="s">
        <v>560</v>
      </c>
      <c r="I228" s="275" t="s">
        <v>561</v>
      </c>
      <c r="J228" s="262" t="s">
        <v>444</v>
      </c>
      <c r="K228" s="415">
        <v>2</v>
      </c>
      <c r="L228" s="476" t="s">
        <v>58</v>
      </c>
      <c r="M228" s="288" t="s">
        <v>53</v>
      </c>
      <c r="N228" s="264">
        <v>8</v>
      </c>
      <c r="O228" s="475">
        <v>8</v>
      </c>
      <c r="P228" s="484">
        <v>8</v>
      </c>
      <c r="Q228" s="482">
        <v>8</v>
      </c>
      <c r="R228" s="268"/>
      <c r="S228" s="480">
        <v>11</v>
      </c>
      <c r="T228" s="482">
        <v>8</v>
      </c>
      <c r="U228" s="482"/>
      <c r="V228" s="480">
        <v>8</v>
      </c>
      <c r="W228" s="482">
        <v>8</v>
      </c>
      <c r="X228" s="476"/>
      <c r="Y228" s="641">
        <v>0</v>
      </c>
      <c r="Z228" s="390">
        <v>0</v>
      </c>
      <c r="AA228" s="265">
        <v>3</v>
      </c>
      <c r="AB228" s="262" t="s">
        <v>455</v>
      </c>
      <c r="AC228" s="56"/>
      <c r="AD228" s="55"/>
      <c r="AE228" s="54"/>
      <c r="AF228" s="54"/>
      <c r="AG228" s="56"/>
      <c r="AH228" s="55"/>
      <c r="AI228" s="55"/>
      <c r="AJ228" s="55"/>
      <c r="AK228" s="56"/>
      <c r="AL228" s="55"/>
      <c r="AM228" s="55"/>
      <c r="AN228" s="55"/>
      <c r="AO228" s="56"/>
      <c r="AP228" s="55"/>
      <c r="AQ228" s="55"/>
      <c r="AR228" s="55"/>
      <c r="AS228" s="56"/>
      <c r="AT228" s="55"/>
      <c r="AU228" s="54"/>
      <c r="AV228" s="54"/>
      <c r="AW228" s="56"/>
      <c r="AX228" s="55"/>
      <c r="AY228" s="55"/>
      <c r="AZ228" s="55"/>
      <c r="BA228" s="56"/>
      <c r="BB228" s="55"/>
      <c r="BC228" s="55"/>
      <c r="BD228" s="55"/>
      <c r="BE228" s="56"/>
      <c r="BF228" s="55"/>
      <c r="BG228" s="54"/>
      <c r="BH228" s="54"/>
      <c r="BI228" s="56"/>
      <c r="BJ228" s="55"/>
      <c r="BK228" s="55"/>
      <c r="BL228" s="55"/>
      <c r="BM228" s="53">
        <f>+AC228+AG228+AK228+AO228+AS228+AW228+BA228+BE228+BI228</f>
        <v>0</v>
      </c>
      <c r="BN228" s="54">
        <f t="shared" si="470"/>
        <v>0</v>
      </c>
      <c r="BO228" s="54">
        <f t="shared" si="470"/>
        <v>0</v>
      </c>
      <c r="BP228" s="54">
        <f t="shared" si="470"/>
        <v>0</v>
      </c>
      <c r="BQ228" s="83"/>
      <c r="BR228" s="83"/>
      <c r="BS228" s="83"/>
      <c r="BT228" s="83"/>
      <c r="BU228" s="83"/>
      <c r="BV228" s="82"/>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1">
        <f t="shared" si="471"/>
        <v>0</v>
      </c>
      <c r="DF228" s="95">
        <f t="shared" si="471"/>
        <v>0</v>
      </c>
      <c r="DG228" s="95">
        <f t="shared" si="471"/>
        <v>0</v>
      </c>
      <c r="DH228" s="95">
        <f t="shared" si="471"/>
        <v>0</v>
      </c>
      <c r="DI228" s="95"/>
      <c r="DJ228" s="84"/>
      <c r="DK228" s="65"/>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3"/>
      <c r="EU228" s="83"/>
      <c r="EV228" s="83"/>
      <c r="EW228" s="81">
        <f t="shared" si="472"/>
        <v>0</v>
      </c>
      <c r="EX228" s="86">
        <f t="shared" si="472"/>
        <v>0</v>
      </c>
      <c r="EY228" s="86">
        <f t="shared" si="473"/>
        <v>0</v>
      </c>
      <c r="EZ228" s="86">
        <f t="shared" si="473"/>
        <v>0</v>
      </c>
      <c r="FA228" s="176"/>
      <c r="FB228" s="83"/>
      <c r="FC228" s="84"/>
      <c r="FD228" s="84"/>
      <c r="FE228" s="84"/>
      <c r="FF228" s="140"/>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v>21200000</v>
      </c>
      <c r="GM228" s="83"/>
      <c r="GN228" s="83"/>
      <c r="GO228" s="83"/>
      <c r="GP228" s="83"/>
      <c r="GQ228" s="83"/>
      <c r="GR228" s="83"/>
      <c r="GS228" s="83"/>
      <c r="GT228" s="83"/>
      <c r="GU228" s="81">
        <f t="shared" si="474"/>
        <v>0</v>
      </c>
      <c r="GV228" s="81">
        <f t="shared" si="474"/>
        <v>21200000</v>
      </c>
      <c r="GW228" s="81">
        <f t="shared" si="474"/>
        <v>0</v>
      </c>
      <c r="GX228" s="81">
        <f t="shared" si="474"/>
        <v>0</v>
      </c>
      <c r="GY228" s="673">
        <f t="shared" si="474"/>
        <v>0</v>
      </c>
      <c r="GZ228" s="1041">
        <f>BM228+DE228+EW228+GU228</f>
        <v>0</v>
      </c>
    </row>
    <row r="229" spans="1:208" ht="24.75" customHeight="1" x14ac:dyDescent="0.2">
      <c r="A229" s="326"/>
      <c r="B229" s="326"/>
      <c r="C229" s="246">
        <v>46</v>
      </c>
      <c r="D229" s="247" t="s">
        <v>562</v>
      </c>
      <c r="E229" s="250"/>
      <c r="F229" s="250"/>
      <c r="G229" s="249"/>
      <c r="H229" s="249"/>
      <c r="I229" s="249"/>
      <c r="J229" s="249"/>
      <c r="K229" s="249"/>
      <c r="L229" s="249"/>
      <c r="M229" s="249"/>
      <c r="N229" s="249"/>
      <c r="O229" s="249"/>
      <c r="P229" s="249"/>
      <c r="Q229" s="249"/>
      <c r="R229" s="249"/>
      <c r="S229" s="249"/>
      <c r="T229" s="249"/>
      <c r="U229" s="249"/>
      <c r="V229" s="249"/>
      <c r="W229" s="249"/>
      <c r="X229" s="249"/>
      <c r="Y229" s="296"/>
      <c r="Z229" s="249"/>
      <c r="AA229" s="249"/>
      <c r="AB229" s="249"/>
      <c r="AC229" s="198">
        <f t="shared" ref="AC229:BL229" si="475">SUM(AC230:AC232)</f>
        <v>0</v>
      </c>
      <c r="AD229" s="198">
        <f t="shared" si="475"/>
        <v>0</v>
      </c>
      <c r="AE229" s="198">
        <f t="shared" si="475"/>
        <v>0</v>
      </c>
      <c r="AF229" s="198">
        <f t="shared" si="475"/>
        <v>0</v>
      </c>
      <c r="AG229" s="198">
        <f t="shared" si="475"/>
        <v>0</v>
      </c>
      <c r="AH229" s="198">
        <f t="shared" si="475"/>
        <v>0</v>
      </c>
      <c r="AI229" s="198">
        <f t="shared" si="475"/>
        <v>0</v>
      </c>
      <c r="AJ229" s="198">
        <f t="shared" si="475"/>
        <v>0</v>
      </c>
      <c r="AK229" s="198">
        <f t="shared" si="475"/>
        <v>0</v>
      </c>
      <c r="AL229" s="198">
        <f t="shared" si="475"/>
        <v>0</v>
      </c>
      <c r="AM229" s="198">
        <f t="shared" si="475"/>
        <v>0</v>
      </c>
      <c r="AN229" s="198">
        <f t="shared" si="475"/>
        <v>0</v>
      </c>
      <c r="AO229" s="198">
        <f t="shared" si="475"/>
        <v>0</v>
      </c>
      <c r="AP229" s="198">
        <f t="shared" si="475"/>
        <v>0</v>
      </c>
      <c r="AQ229" s="198">
        <f t="shared" si="475"/>
        <v>0</v>
      </c>
      <c r="AR229" s="198">
        <f t="shared" si="475"/>
        <v>0</v>
      </c>
      <c r="AS229" s="198">
        <f t="shared" si="475"/>
        <v>0</v>
      </c>
      <c r="AT229" s="198">
        <f t="shared" si="475"/>
        <v>0</v>
      </c>
      <c r="AU229" s="198">
        <f t="shared" si="475"/>
        <v>0</v>
      </c>
      <c r="AV229" s="198">
        <f t="shared" si="475"/>
        <v>0</v>
      </c>
      <c r="AW229" s="198">
        <f t="shared" si="475"/>
        <v>0</v>
      </c>
      <c r="AX229" s="198">
        <f t="shared" si="475"/>
        <v>0</v>
      </c>
      <c r="AY229" s="198">
        <f t="shared" si="475"/>
        <v>0</v>
      </c>
      <c r="AZ229" s="198">
        <f t="shared" si="475"/>
        <v>0</v>
      </c>
      <c r="BA229" s="198">
        <f t="shared" si="475"/>
        <v>0</v>
      </c>
      <c r="BB229" s="198">
        <f t="shared" si="475"/>
        <v>0</v>
      </c>
      <c r="BC229" s="198">
        <f t="shared" si="475"/>
        <v>0</v>
      </c>
      <c r="BD229" s="198">
        <f t="shared" si="475"/>
        <v>0</v>
      </c>
      <c r="BE229" s="198">
        <f t="shared" si="475"/>
        <v>1205340214</v>
      </c>
      <c r="BF229" s="198">
        <f t="shared" si="475"/>
        <v>1222162518</v>
      </c>
      <c r="BG229" s="198">
        <f t="shared" si="475"/>
        <v>536718753.65999997</v>
      </c>
      <c r="BH229" s="198">
        <f t="shared" si="475"/>
        <v>536718753.65999997</v>
      </c>
      <c r="BI229" s="198">
        <f t="shared" si="475"/>
        <v>0</v>
      </c>
      <c r="BJ229" s="198">
        <f t="shared" si="475"/>
        <v>0</v>
      </c>
      <c r="BK229" s="198">
        <f t="shared" si="475"/>
        <v>0</v>
      </c>
      <c r="BL229" s="198">
        <f t="shared" si="475"/>
        <v>0</v>
      </c>
      <c r="BM229" s="198">
        <f t="shared" ref="BM229:DX229" si="476">SUM(BM230:BM232)</f>
        <v>1205340214</v>
      </c>
      <c r="BN229" s="198">
        <f t="shared" si="476"/>
        <v>1222162518</v>
      </c>
      <c r="BO229" s="198">
        <f t="shared" si="476"/>
        <v>536718753.65999997</v>
      </c>
      <c r="BP229" s="198">
        <f t="shared" si="476"/>
        <v>536718753.65999997</v>
      </c>
      <c r="BQ229" s="198">
        <f t="shared" si="476"/>
        <v>0</v>
      </c>
      <c r="BR229" s="198">
        <f t="shared" si="476"/>
        <v>0</v>
      </c>
      <c r="BS229" s="198">
        <f t="shared" si="476"/>
        <v>0</v>
      </c>
      <c r="BT229" s="198">
        <f t="shared" si="476"/>
        <v>0</v>
      </c>
      <c r="BU229" s="198">
        <f t="shared" si="476"/>
        <v>0</v>
      </c>
      <c r="BV229" s="198">
        <f t="shared" si="476"/>
        <v>0</v>
      </c>
      <c r="BW229" s="198">
        <f t="shared" si="476"/>
        <v>0</v>
      </c>
      <c r="BX229" s="198">
        <f t="shared" si="476"/>
        <v>0</v>
      </c>
      <c r="BY229" s="198">
        <f t="shared" si="476"/>
        <v>0</v>
      </c>
      <c r="BZ229" s="198">
        <f t="shared" si="476"/>
        <v>0</v>
      </c>
      <c r="CA229" s="198">
        <f t="shared" si="476"/>
        <v>0</v>
      </c>
      <c r="CB229" s="198">
        <f t="shared" si="476"/>
        <v>0</v>
      </c>
      <c r="CC229" s="198">
        <f t="shared" si="476"/>
        <v>0</v>
      </c>
      <c r="CD229" s="198">
        <f t="shared" si="476"/>
        <v>0</v>
      </c>
      <c r="CE229" s="198">
        <f t="shared" si="476"/>
        <v>0</v>
      </c>
      <c r="CF229" s="198">
        <f t="shared" si="476"/>
        <v>0</v>
      </c>
      <c r="CG229" s="198">
        <f t="shared" si="476"/>
        <v>0</v>
      </c>
      <c r="CH229" s="198">
        <f t="shared" si="476"/>
        <v>0</v>
      </c>
      <c r="CI229" s="198">
        <f t="shared" si="476"/>
        <v>0</v>
      </c>
      <c r="CJ229" s="198">
        <f t="shared" si="476"/>
        <v>0</v>
      </c>
      <c r="CK229" s="198">
        <f t="shared" si="476"/>
        <v>0</v>
      </c>
      <c r="CL229" s="198">
        <f t="shared" si="476"/>
        <v>0</v>
      </c>
      <c r="CM229" s="198">
        <f t="shared" si="476"/>
        <v>0</v>
      </c>
      <c r="CN229" s="198">
        <f t="shared" si="476"/>
        <v>0</v>
      </c>
      <c r="CO229" s="198">
        <f t="shared" si="476"/>
        <v>0</v>
      </c>
      <c r="CP229" s="198">
        <f t="shared" si="476"/>
        <v>0</v>
      </c>
      <c r="CQ229" s="198">
        <f t="shared" si="476"/>
        <v>0</v>
      </c>
      <c r="CR229" s="198">
        <f t="shared" si="476"/>
        <v>0</v>
      </c>
      <c r="CS229" s="198">
        <f t="shared" si="476"/>
        <v>0</v>
      </c>
      <c r="CT229" s="198">
        <f t="shared" si="476"/>
        <v>0</v>
      </c>
      <c r="CU229" s="198">
        <f t="shared" si="476"/>
        <v>0</v>
      </c>
      <c r="CV229" s="198">
        <f t="shared" si="476"/>
        <v>1241500420.4200001</v>
      </c>
      <c r="CW229" s="198">
        <f t="shared" si="476"/>
        <v>1626125052</v>
      </c>
      <c r="CX229" s="198">
        <f t="shared" si="476"/>
        <v>1438704225</v>
      </c>
      <c r="CY229" s="198">
        <f t="shared" si="476"/>
        <v>1416939225</v>
      </c>
      <c r="CZ229" s="198">
        <f t="shared" si="476"/>
        <v>0</v>
      </c>
      <c r="DA229" s="198">
        <f t="shared" si="476"/>
        <v>0</v>
      </c>
      <c r="DB229" s="198">
        <f t="shared" si="476"/>
        <v>0</v>
      </c>
      <c r="DC229" s="198">
        <f t="shared" si="476"/>
        <v>0</v>
      </c>
      <c r="DD229" s="198">
        <f t="shared" si="476"/>
        <v>0</v>
      </c>
      <c r="DE229" s="198">
        <f t="shared" si="476"/>
        <v>1241500420.4200001</v>
      </c>
      <c r="DF229" s="198">
        <f t="shared" si="476"/>
        <v>1626125052</v>
      </c>
      <c r="DG229" s="198">
        <f t="shared" si="476"/>
        <v>1438704225</v>
      </c>
      <c r="DH229" s="198">
        <f t="shared" si="476"/>
        <v>1416939225</v>
      </c>
      <c r="DI229" s="198">
        <f t="shared" si="476"/>
        <v>0</v>
      </c>
      <c r="DJ229" s="198">
        <f t="shared" si="476"/>
        <v>0</v>
      </c>
      <c r="DK229" s="198">
        <f t="shared" si="476"/>
        <v>0</v>
      </c>
      <c r="DL229" s="198">
        <f t="shared" si="476"/>
        <v>0</v>
      </c>
      <c r="DM229" s="198">
        <f t="shared" si="476"/>
        <v>0</v>
      </c>
      <c r="DN229" s="198">
        <f t="shared" si="476"/>
        <v>0</v>
      </c>
      <c r="DO229" s="198">
        <f t="shared" si="476"/>
        <v>220189456</v>
      </c>
      <c r="DP229" s="198">
        <f t="shared" si="476"/>
        <v>172614733</v>
      </c>
      <c r="DQ229" s="198">
        <f t="shared" si="476"/>
        <v>172614733</v>
      </c>
      <c r="DR229" s="198">
        <f t="shared" si="476"/>
        <v>0</v>
      </c>
      <c r="DS229" s="198">
        <f t="shared" si="476"/>
        <v>0</v>
      </c>
      <c r="DT229" s="198">
        <f t="shared" si="476"/>
        <v>0</v>
      </c>
      <c r="DU229" s="198">
        <f t="shared" si="476"/>
        <v>0</v>
      </c>
      <c r="DV229" s="198">
        <f t="shared" si="476"/>
        <v>0</v>
      </c>
      <c r="DW229" s="198">
        <f t="shared" si="476"/>
        <v>0</v>
      </c>
      <c r="DX229" s="198">
        <f t="shared" si="476"/>
        <v>0</v>
      </c>
      <c r="DY229" s="198">
        <f t="shared" ref="DY229:EW229" si="477">SUM(DY230:DY232)</f>
        <v>0</v>
      </c>
      <c r="DZ229" s="198">
        <f t="shared" si="477"/>
        <v>0</v>
      </c>
      <c r="EA229" s="198">
        <f t="shared" si="477"/>
        <v>0</v>
      </c>
      <c r="EB229" s="198">
        <f t="shared" si="477"/>
        <v>0</v>
      </c>
      <c r="EC229" s="198">
        <f t="shared" si="477"/>
        <v>0</v>
      </c>
      <c r="ED229" s="198">
        <f t="shared" si="477"/>
        <v>0</v>
      </c>
      <c r="EE229" s="198">
        <f t="shared" si="477"/>
        <v>0</v>
      </c>
      <c r="EF229" s="198">
        <f t="shared" si="477"/>
        <v>0</v>
      </c>
      <c r="EG229" s="198">
        <f t="shared" si="477"/>
        <v>0</v>
      </c>
      <c r="EH229" s="198">
        <f t="shared" si="477"/>
        <v>0</v>
      </c>
      <c r="EI229" s="198">
        <f t="shared" si="477"/>
        <v>0</v>
      </c>
      <c r="EJ229" s="198">
        <f t="shared" si="477"/>
        <v>0</v>
      </c>
      <c r="EK229" s="198">
        <f t="shared" si="477"/>
        <v>0</v>
      </c>
      <c r="EL229" s="198">
        <f t="shared" si="477"/>
        <v>0</v>
      </c>
      <c r="EM229" s="198">
        <f t="shared" si="477"/>
        <v>0</v>
      </c>
      <c r="EN229" s="198">
        <f t="shared" si="477"/>
        <v>1278745433.03</v>
      </c>
      <c r="EO229" s="198">
        <f t="shared" si="477"/>
        <v>1250290746</v>
      </c>
      <c r="EP229" s="198">
        <f t="shared" si="477"/>
        <v>1210673351</v>
      </c>
      <c r="EQ229" s="198">
        <f t="shared" si="477"/>
        <v>1210673351</v>
      </c>
      <c r="ER229" s="198">
        <f t="shared" si="477"/>
        <v>0</v>
      </c>
      <c r="ES229" s="198">
        <f t="shared" si="477"/>
        <v>0</v>
      </c>
      <c r="ET229" s="198">
        <f t="shared" si="477"/>
        <v>0</v>
      </c>
      <c r="EU229" s="198">
        <f t="shared" si="477"/>
        <v>0</v>
      </c>
      <c r="EV229" s="198">
        <f t="shared" si="477"/>
        <v>0</v>
      </c>
      <c r="EW229" s="198">
        <f t="shared" si="477"/>
        <v>1278745433.03</v>
      </c>
      <c r="EX229" s="198">
        <f t="shared" ref="EX229:GZ229" si="478">SUM(EX230:EX232)</f>
        <v>1470480202</v>
      </c>
      <c r="EY229" s="198">
        <f t="shared" si="478"/>
        <v>1383288084</v>
      </c>
      <c r="EZ229" s="198">
        <f t="shared" si="478"/>
        <v>1383288084</v>
      </c>
      <c r="FA229" s="198">
        <f t="shared" si="478"/>
        <v>0</v>
      </c>
      <c r="FB229" s="198">
        <f t="shared" si="478"/>
        <v>0</v>
      </c>
      <c r="FC229" s="198">
        <f t="shared" si="478"/>
        <v>0</v>
      </c>
      <c r="FD229" s="198">
        <f t="shared" si="478"/>
        <v>0</v>
      </c>
      <c r="FE229" s="198">
        <f t="shared" si="478"/>
        <v>0</v>
      </c>
      <c r="FF229" s="198">
        <f t="shared" si="478"/>
        <v>0</v>
      </c>
      <c r="FG229" s="198">
        <f t="shared" si="478"/>
        <v>0</v>
      </c>
      <c r="FH229" s="198">
        <f t="shared" si="478"/>
        <v>87233390</v>
      </c>
      <c r="FI229" s="198">
        <f t="shared" si="478"/>
        <v>0</v>
      </c>
      <c r="FJ229" s="198">
        <f t="shared" si="478"/>
        <v>0</v>
      </c>
      <c r="FK229" s="198">
        <f t="shared" si="478"/>
        <v>0</v>
      </c>
      <c r="FL229" s="198">
        <f t="shared" si="478"/>
        <v>0</v>
      </c>
      <c r="FM229" s="198">
        <f t="shared" si="478"/>
        <v>211942000</v>
      </c>
      <c r="FN229" s="198">
        <f t="shared" si="478"/>
        <v>31923325</v>
      </c>
      <c r="FO229" s="198">
        <f t="shared" si="478"/>
        <v>4619325</v>
      </c>
      <c r="FP229" s="198">
        <f t="shared" si="478"/>
        <v>0</v>
      </c>
      <c r="FQ229" s="198">
        <f t="shared" si="478"/>
        <v>0</v>
      </c>
      <c r="FR229" s="198">
        <f t="shared" si="478"/>
        <v>0</v>
      </c>
      <c r="FS229" s="198">
        <f t="shared" si="478"/>
        <v>0</v>
      </c>
      <c r="FT229" s="198">
        <f t="shared" si="478"/>
        <v>0</v>
      </c>
      <c r="FU229" s="198">
        <f t="shared" si="478"/>
        <v>0</v>
      </c>
      <c r="FV229" s="198">
        <f t="shared" si="478"/>
        <v>0</v>
      </c>
      <c r="FW229" s="198">
        <f t="shared" si="478"/>
        <v>0</v>
      </c>
      <c r="FX229" s="198">
        <f t="shared" si="478"/>
        <v>0</v>
      </c>
      <c r="FY229" s="198">
        <f t="shared" si="478"/>
        <v>0</v>
      </c>
      <c r="FZ229" s="198">
        <f t="shared" si="478"/>
        <v>0</v>
      </c>
      <c r="GA229" s="198">
        <f t="shared" si="478"/>
        <v>0</v>
      </c>
      <c r="GB229" s="198">
        <f t="shared" si="478"/>
        <v>0</v>
      </c>
      <c r="GC229" s="198">
        <f t="shared" si="478"/>
        <v>0</v>
      </c>
      <c r="GD229" s="198">
        <f t="shared" si="478"/>
        <v>0</v>
      </c>
      <c r="GE229" s="198">
        <f t="shared" si="478"/>
        <v>0</v>
      </c>
      <c r="GF229" s="198">
        <f t="shared" si="478"/>
        <v>0</v>
      </c>
      <c r="GG229" s="198">
        <f t="shared" si="478"/>
        <v>0</v>
      </c>
      <c r="GH229" s="198">
        <f t="shared" si="478"/>
        <v>0</v>
      </c>
      <c r="GI229" s="198">
        <f t="shared" si="478"/>
        <v>0</v>
      </c>
      <c r="GJ229" s="198">
        <f t="shared" si="478"/>
        <v>0</v>
      </c>
      <c r="GK229" s="198">
        <f t="shared" si="478"/>
        <v>1317107796.0278702</v>
      </c>
      <c r="GL229" s="198">
        <f t="shared" si="478"/>
        <v>1323524385</v>
      </c>
      <c r="GM229" s="198">
        <f t="shared" si="478"/>
        <v>800844041</v>
      </c>
      <c r="GN229" s="198">
        <f t="shared" si="478"/>
        <v>491778613</v>
      </c>
      <c r="GO229" s="198">
        <f t="shared" si="478"/>
        <v>0</v>
      </c>
      <c r="GP229" s="198">
        <f t="shared" si="478"/>
        <v>0</v>
      </c>
      <c r="GQ229" s="198">
        <f t="shared" si="478"/>
        <v>0</v>
      </c>
      <c r="GR229" s="198">
        <f t="shared" si="478"/>
        <v>0</v>
      </c>
      <c r="GS229" s="198">
        <f t="shared" si="478"/>
        <v>0</v>
      </c>
      <c r="GT229" s="198">
        <f t="shared" si="478"/>
        <v>0</v>
      </c>
      <c r="GU229" s="198">
        <f t="shared" si="478"/>
        <v>1317107796.0278702</v>
      </c>
      <c r="GV229" s="198">
        <f t="shared" si="478"/>
        <v>1622699775</v>
      </c>
      <c r="GW229" s="198">
        <f t="shared" si="478"/>
        <v>832767366</v>
      </c>
      <c r="GX229" s="198">
        <f t="shared" si="478"/>
        <v>496397938</v>
      </c>
      <c r="GY229" s="198">
        <f t="shared" si="478"/>
        <v>0</v>
      </c>
      <c r="GZ229" s="201">
        <f t="shared" si="478"/>
        <v>5042693863.47787</v>
      </c>
    </row>
    <row r="230" spans="1:208" ht="93.75" customHeight="1" x14ac:dyDescent="0.2">
      <c r="A230" s="326"/>
      <c r="B230" s="326"/>
      <c r="C230" s="288">
        <v>26</v>
      </c>
      <c r="D230" s="501" t="s">
        <v>563</v>
      </c>
      <c r="E230" s="724" t="s">
        <v>564</v>
      </c>
      <c r="F230" s="724" t="s">
        <v>565</v>
      </c>
      <c r="G230" s="265">
        <v>160</v>
      </c>
      <c r="H230" s="287" t="s">
        <v>566</v>
      </c>
      <c r="I230" s="275" t="s">
        <v>567</v>
      </c>
      <c r="J230" s="265" t="s">
        <v>444</v>
      </c>
      <c r="K230" s="259">
        <v>2</v>
      </c>
      <c r="L230" s="482" t="s">
        <v>58</v>
      </c>
      <c r="M230" s="264">
        <v>250</v>
      </c>
      <c r="N230" s="264">
        <v>300</v>
      </c>
      <c r="O230" s="475">
        <v>300</v>
      </c>
      <c r="P230" s="484">
        <v>364</v>
      </c>
      <c r="Q230" s="482">
        <v>300</v>
      </c>
      <c r="R230" s="268"/>
      <c r="S230" s="480">
        <v>225</v>
      </c>
      <c r="T230" s="482">
        <v>300</v>
      </c>
      <c r="U230" s="482"/>
      <c r="V230" s="480">
        <v>380</v>
      </c>
      <c r="W230" s="482">
        <v>300</v>
      </c>
      <c r="X230" s="482"/>
      <c r="Y230" s="480">
        <v>100</v>
      </c>
      <c r="Z230" s="508">
        <f>BM230/$BM$229</f>
        <v>0.77759987853520662</v>
      </c>
      <c r="AA230" s="264">
        <v>3</v>
      </c>
      <c r="AB230" s="264" t="s">
        <v>455</v>
      </c>
      <c r="AC230" s="58"/>
      <c r="AD230" s="58"/>
      <c r="AE230" s="59"/>
      <c r="AF230" s="59"/>
      <c r="AG230" s="58"/>
      <c r="AH230" s="58"/>
      <c r="AI230" s="58"/>
      <c r="AJ230" s="58"/>
      <c r="AK230" s="58"/>
      <c r="AL230" s="58"/>
      <c r="AM230" s="58"/>
      <c r="AN230" s="58"/>
      <c r="AO230" s="58"/>
      <c r="AP230" s="58"/>
      <c r="AQ230" s="58"/>
      <c r="AR230" s="58"/>
      <c r="AS230" s="58"/>
      <c r="AT230" s="58"/>
      <c r="AU230" s="59"/>
      <c r="AV230" s="59"/>
      <c r="AW230" s="58"/>
      <c r="AX230" s="58"/>
      <c r="AY230" s="58"/>
      <c r="AZ230" s="58"/>
      <c r="BA230" s="58"/>
      <c r="BB230" s="58"/>
      <c r="BC230" s="58"/>
      <c r="BD230" s="58"/>
      <c r="BE230" s="57">
        <v>937272404</v>
      </c>
      <c r="BF230" s="55">
        <v>937272404</v>
      </c>
      <c r="BG230" s="54">
        <v>300479420.65999997</v>
      </c>
      <c r="BH230" s="54">
        <v>300479420.65999997</v>
      </c>
      <c r="BI230" s="57"/>
      <c r="BJ230" s="58"/>
      <c r="BK230" s="58"/>
      <c r="BL230" s="58"/>
      <c r="BM230" s="53">
        <f>+AC230+AG230+AK230+AO230+AS230+AW230+BA230+BE230+BI230</f>
        <v>937272404</v>
      </c>
      <c r="BN230" s="54">
        <f t="shared" ref="BN230:BP232" si="479">AD230+AH230+AL230+AP230+AT230+AX230+BB230+BF230+BJ230</f>
        <v>937272404</v>
      </c>
      <c r="BO230" s="54">
        <f t="shared" si="479"/>
        <v>300479420.65999997</v>
      </c>
      <c r="BP230" s="54">
        <f t="shared" si="479"/>
        <v>300479420.65999997</v>
      </c>
      <c r="BQ230" s="83"/>
      <c r="BR230" s="83"/>
      <c r="BS230" s="83"/>
      <c r="BT230" s="83"/>
      <c r="BU230" s="83"/>
      <c r="BV230" s="82"/>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4">
        <v>965390576.12</v>
      </c>
      <c r="CW230" s="83">
        <v>1259315208</v>
      </c>
      <c r="CX230" s="83">
        <v>1099479225</v>
      </c>
      <c r="CY230" s="83">
        <v>1077714225</v>
      </c>
      <c r="CZ230" s="83"/>
      <c r="DA230" s="83"/>
      <c r="DB230" s="83"/>
      <c r="DC230" s="83"/>
      <c r="DD230" s="83"/>
      <c r="DE230" s="81">
        <f t="shared" ref="DE230:DH232" si="480">BQ230+BU230+BZ230+CE230+CI230+CM230+CQ230+CV230+DA230</f>
        <v>965390576.12</v>
      </c>
      <c r="DF230" s="95">
        <f t="shared" si="480"/>
        <v>1259315208</v>
      </c>
      <c r="DG230" s="95">
        <f t="shared" si="480"/>
        <v>1099479225</v>
      </c>
      <c r="DH230" s="95">
        <f t="shared" si="480"/>
        <v>1077714225</v>
      </c>
      <c r="DI230" s="95"/>
      <c r="DJ230" s="84"/>
      <c r="DK230" s="65"/>
      <c r="DL230" s="84"/>
      <c r="DM230" s="84"/>
      <c r="DN230" s="84"/>
      <c r="DO230" s="84">
        <v>103147456</v>
      </c>
      <c r="DP230" s="84">
        <v>103123066</v>
      </c>
      <c r="DQ230" s="84">
        <v>103123066</v>
      </c>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v>994350000</v>
      </c>
      <c r="EO230" s="84">
        <f>[6]METAS!$O$83+[6]METAS!$O$85</f>
        <v>907705903</v>
      </c>
      <c r="EP230" s="84">
        <f>[6]METAS!$P$83+[6]METAS!$P$85</f>
        <v>881570351</v>
      </c>
      <c r="EQ230" s="84">
        <f>[6]METAS!$Q$83+[6]METAS!$Q$85</f>
        <v>881570351</v>
      </c>
      <c r="ER230" s="84"/>
      <c r="ES230" s="84"/>
      <c r="ET230" s="83"/>
      <c r="EU230" s="83"/>
      <c r="EV230" s="83"/>
      <c r="EW230" s="81">
        <f t="shared" ref="EW230:EX232" si="481">DJ230+DN230+DS230+DX230+EB230+EF230+EJ230+EN230+ES230</f>
        <v>994350000</v>
      </c>
      <c r="EX230" s="86">
        <f t="shared" si="481"/>
        <v>1010853359</v>
      </c>
      <c r="EY230" s="86">
        <f t="shared" ref="EY230:EZ232" si="482">DL230+DP230+DU230+DZ230+ED230+EH230+EL230+EP230+EU230</f>
        <v>984693417</v>
      </c>
      <c r="EZ230" s="86">
        <f t="shared" si="482"/>
        <v>984693417</v>
      </c>
      <c r="FA230" s="176"/>
      <c r="FB230" s="83"/>
      <c r="FC230" s="84"/>
      <c r="FD230" s="84"/>
      <c r="FE230" s="84"/>
      <c r="FF230" s="140"/>
      <c r="FG230" s="83"/>
      <c r="FH230" s="83">
        <v>87233390</v>
      </c>
      <c r="FI230" s="83"/>
      <c r="FJ230" s="83"/>
      <c r="FK230" s="83"/>
      <c r="FL230" s="83"/>
      <c r="FM230" s="83">
        <v>211942000</v>
      </c>
      <c r="FN230" s="83">
        <v>31923325</v>
      </c>
      <c r="FO230" s="83">
        <v>4619325</v>
      </c>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v>1024000000</v>
      </c>
      <c r="GL230" s="613">
        <v>911058000</v>
      </c>
      <c r="GM230" s="613">
        <v>560319041</v>
      </c>
      <c r="GN230" s="613">
        <v>315358613</v>
      </c>
      <c r="GO230" s="613"/>
      <c r="GP230" s="83"/>
      <c r="GQ230" s="83"/>
      <c r="GR230" s="83"/>
      <c r="GS230" s="83"/>
      <c r="GT230" s="83"/>
      <c r="GU230" s="81">
        <f t="shared" ref="GU230:GY232" si="483">FB230+FG230+FL230+FQ230+FV230+GA230+GF230+GK230+GP230</f>
        <v>1024000000</v>
      </c>
      <c r="GV230" s="81">
        <f t="shared" si="483"/>
        <v>1210233390</v>
      </c>
      <c r="GW230" s="81">
        <f t="shared" si="483"/>
        <v>592242366</v>
      </c>
      <c r="GX230" s="81">
        <f t="shared" si="483"/>
        <v>319977938</v>
      </c>
      <c r="GY230" s="673">
        <f t="shared" si="483"/>
        <v>0</v>
      </c>
      <c r="GZ230" s="67">
        <f>BM230+DE230+EW230+GU230</f>
        <v>3921012980.1199999</v>
      </c>
    </row>
    <row r="231" spans="1:208" ht="141.75" customHeight="1" x14ac:dyDescent="0.2">
      <c r="A231" s="326"/>
      <c r="B231" s="326"/>
      <c r="C231" s="717" t="s">
        <v>950</v>
      </c>
      <c r="D231" s="1042" t="s">
        <v>568</v>
      </c>
      <c r="E231" s="988" t="s">
        <v>569</v>
      </c>
      <c r="F231" s="988" t="s">
        <v>570</v>
      </c>
      <c r="G231" s="265">
        <v>161</v>
      </c>
      <c r="H231" s="261" t="s">
        <v>571</v>
      </c>
      <c r="I231" s="275" t="s">
        <v>572</v>
      </c>
      <c r="J231" s="265" t="s">
        <v>444</v>
      </c>
      <c r="K231" s="259">
        <v>2</v>
      </c>
      <c r="L231" s="482" t="s">
        <v>58</v>
      </c>
      <c r="M231" s="264">
        <v>90</v>
      </c>
      <c r="N231" s="264">
        <v>100</v>
      </c>
      <c r="O231" s="475">
        <v>100</v>
      </c>
      <c r="P231" s="484">
        <v>116</v>
      </c>
      <c r="Q231" s="482">
        <v>100</v>
      </c>
      <c r="R231" s="268"/>
      <c r="S231" s="480">
        <v>118</v>
      </c>
      <c r="T231" s="482">
        <v>100</v>
      </c>
      <c r="U231" s="482"/>
      <c r="V231" s="480">
        <v>75</v>
      </c>
      <c r="W231" s="482">
        <v>100</v>
      </c>
      <c r="X231" s="482"/>
      <c r="Y231" s="480">
        <v>66</v>
      </c>
      <c r="Z231" s="508">
        <f>BM231/$BM$229</f>
        <v>4.9778476900630482E-2</v>
      </c>
      <c r="AA231" s="264">
        <v>3</v>
      </c>
      <c r="AB231" s="264" t="s">
        <v>455</v>
      </c>
      <c r="AC231" s="58"/>
      <c r="AD231" s="58"/>
      <c r="AE231" s="59"/>
      <c r="AF231" s="59"/>
      <c r="AG231" s="58"/>
      <c r="AH231" s="58"/>
      <c r="AI231" s="58"/>
      <c r="AJ231" s="58"/>
      <c r="AK231" s="58"/>
      <c r="AL231" s="58"/>
      <c r="AM231" s="58"/>
      <c r="AN231" s="58"/>
      <c r="AO231" s="58"/>
      <c r="AP231" s="58"/>
      <c r="AQ231" s="58"/>
      <c r="AR231" s="58"/>
      <c r="AS231" s="58"/>
      <c r="AT231" s="58"/>
      <c r="AU231" s="59"/>
      <c r="AV231" s="59"/>
      <c r="AW231" s="58"/>
      <c r="AX231" s="58"/>
      <c r="AY231" s="58"/>
      <c r="AZ231" s="58"/>
      <c r="BA231" s="58"/>
      <c r="BB231" s="58"/>
      <c r="BC231" s="58"/>
      <c r="BD231" s="58"/>
      <c r="BE231" s="57">
        <v>60000000</v>
      </c>
      <c r="BF231" s="58">
        <v>60000000</v>
      </c>
      <c r="BG231" s="54">
        <v>49846333</v>
      </c>
      <c r="BH231" s="54">
        <v>49846333</v>
      </c>
      <c r="BI231" s="57"/>
      <c r="BJ231" s="58"/>
      <c r="BK231" s="58"/>
      <c r="BL231" s="58"/>
      <c r="BM231" s="53">
        <f>+AC231+AG231+AK231+AO231+AS231+AW231+BA231+BE231+BI231</f>
        <v>60000000</v>
      </c>
      <c r="BN231" s="54">
        <f t="shared" si="479"/>
        <v>60000000</v>
      </c>
      <c r="BO231" s="54">
        <f t="shared" si="479"/>
        <v>49846333</v>
      </c>
      <c r="BP231" s="54">
        <f t="shared" si="479"/>
        <v>49846333</v>
      </c>
      <c r="BQ231" s="83"/>
      <c r="BR231" s="83"/>
      <c r="BS231" s="83"/>
      <c r="BT231" s="83"/>
      <c r="BU231" s="83"/>
      <c r="BV231" s="82"/>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4">
        <v>61800000.000000007</v>
      </c>
      <c r="CW231" s="83">
        <v>87500000</v>
      </c>
      <c r="CX231" s="83">
        <v>83340000</v>
      </c>
      <c r="CY231" s="83">
        <v>83340000</v>
      </c>
      <c r="CZ231" s="83"/>
      <c r="DA231" s="83"/>
      <c r="DB231" s="83"/>
      <c r="DC231" s="83"/>
      <c r="DD231" s="83"/>
      <c r="DE231" s="81">
        <f t="shared" si="480"/>
        <v>61800000.000000007</v>
      </c>
      <c r="DF231" s="95">
        <f t="shared" si="480"/>
        <v>87500000</v>
      </c>
      <c r="DG231" s="95">
        <f t="shared" si="480"/>
        <v>83340000</v>
      </c>
      <c r="DH231" s="95">
        <f t="shared" si="480"/>
        <v>83340000</v>
      </c>
      <c r="DI231" s="95"/>
      <c r="DJ231" s="84"/>
      <c r="DK231" s="65"/>
      <c r="DL231" s="84"/>
      <c r="DM231" s="84"/>
      <c r="DN231" s="84"/>
      <c r="DO231" s="84">
        <v>46340000</v>
      </c>
      <c r="DP231" s="84">
        <v>28059667</v>
      </c>
      <c r="DQ231" s="84">
        <v>28059667</v>
      </c>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v>63650000</v>
      </c>
      <c r="EO231" s="84">
        <v>90000000</v>
      </c>
      <c r="EP231" s="84">
        <v>90000000</v>
      </c>
      <c r="EQ231" s="84">
        <v>90000000</v>
      </c>
      <c r="ER231" s="84"/>
      <c r="ES231" s="84"/>
      <c r="ET231" s="83"/>
      <c r="EU231" s="83"/>
      <c r="EV231" s="83"/>
      <c r="EW231" s="81">
        <f t="shared" si="481"/>
        <v>63650000</v>
      </c>
      <c r="EX231" s="86">
        <f t="shared" si="481"/>
        <v>136340000</v>
      </c>
      <c r="EY231" s="86">
        <f t="shared" si="482"/>
        <v>118059667</v>
      </c>
      <c r="EZ231" s="86">
        <f t="shared" si="482"/>
        <v>118059667</v>
      </c>
      <c r="FA231" s="176"/>
      <c r="FB231" s="83"/>
      <c r="FC231" s="84"/>
      <c r="FD231" s="84"/>
      <c r="FE231" s="84"/>
      <c r="FF231" s="140"/>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v>65500000</v>
      </c>
      <c r="GL231" s="613">
        <f>76000000+28900970</f>
        <v>104900970</v>
      </c>
      <c r="GM231" s="613">
        <v>65975000</v>
      </c>
      <c r="GN231" s="613">
        <v>52780000</v>
      </c>
      <c r="GO231" s="613"/>
      <c r="GP231" s="83"/>
      <c r="GQ231" s="83"/>
      <c r="GR231" s="83"/>
      <c r="GS231" s="83"/>
      <c r="GT231" s="83"/>
      <c r="GU231" s="81">
        <f t="shared" si="483"/>
        <v>65500000</v>
      </c>
      <c r="GV231" s="81">
        <f t="shared" si="483"/>
        <v>104900970</v>
      </c>
      <c r="GW231" s="81">
        <f t="shared" si="483"/>
        <v>65975000</v>
      </c>
      <c r="GX231" s="81">
        <f t="shared" si="483"/>
        <v>52780000</v>
      </c>
      <c r="GY231" s="673">
        <f t="shared" si="483"/>
        <v>0</v>
      </c>
      <c r="GZ231" s="67">
        <f>BM231+DE231+EW231+GU231</f>
        <v>250950000</v>
      </c>
    </row>
    <row r="232" spans="1:208" s="711" customFormat="1" ht="171.75" customHeight="1" x14ac:dyDescent="0.2">
      <c r="A232" s="703"/>
      <c r="B232" s="713"/>
      <c r="C232" s="712"/>
      <c r="D232" s="896"/>
      <c r="E232" s="896"/>
      <c r="F232" s="896"/>
      <c r="G232" s="897">
        <v>162</v>
      </c>
      <c r="H232" s="676" t="s">
        <v>573</v>
      </c>
      <c r="I232" s="898" t="s">
        <v>574</v>
      </c>
      <c r="J232" s="842" t="s">
        <v>444</v>
      </c>
      <c r="K232" s="694">
        <v>2</v>
      </c>
      <c r="L232" s="690" t="s">
        <v>58</v>
      </c>
      <c r="M232" s="682">
        <v>83</v>
      </c>
      <c r="N232" s="682">
        <v>83</v>
      </c>
      <c r="O232" s="690">
        <v>83</v>
      </c>
      <c r="P232" s="695">
        <v>77</v>
      </c>
      <c r="Q232" s="690">
        <v>83</v>
      </c>
      <c r="R232" s="814"/>
      <c r="S232" s="695">
        <v>77</v>
      </c>
      <c r="T232" s="690">
        <v>83</v>
      </c>
      <c r="U232" s="690"/>
      <c r="V232" s="695">
        <v>67</v>
      </c>
      <c r="W232" s="690">
        <v>83</v>
      </c>
      <c r="X232" s="690"/>
      <c r="Y232" s="695">
        <v>67</v>
      </c>
      <c r="Z232" s="899">
        <f>BM232/$BM$229</f>
        <v>0.17262164456416287</v>
      </c>
      <c r="AA232" s="682">
        <v>3</v>
      </c>
      <c r="AB232" s="682" t="s">
        <v>455</v>
      </c>
      <c r="AC232" s="831"/>
      <c r="AD232" s="831"/>
      <c r="AE232" s="818"/>
      <c r="AF232" s="818"/>
      <c r="AG232" s="831"/>
      <c r="AH232" s="831"/>
      <c r="AI232" s="831"/>
      <c r="AJ232" s="831"/>
      <c r="AK232" s="831"/>
      <c r="AL232" s="831"/>
      <c r="AM232" s="831"/>
      <c r="AN232" s="831"/>
      <c r="AO232" s="831"/>
      <c r="AP232" s="831"/>
      <c r="AQ232" s="831"/>
      <c r="AR232" s="831"/>
      <c r="AS232" s="831"/>
      <c r="AT232" s="1008"/>
      <c r="AU232" s="1043"/>
      <c r="AV232" s="1043"/>
      <c r="AW232" s="831"/>
      <c r="AX232" s="831"/>
      <c r="AY232" s="831"/>
      <c r="AZ232" s="831"/>
      <c r="BA232" s="831"/>
      <c r="BB232" s="831"/>
      <c r="BC232" s="831"/>
      <c r="BD232" s="831"/>
      <c r="BE232" s="830">
        <v>208067810</v>
      </c>
      <c r="BF232" s="818">
        <v>224890114</v>
      </c>
      <c r="BG232" s="831">
        <v>186393000</v>
      </c>
      <c r="BH232" s="831">
        <v>186393000</v>
      </c>
      <c r="BI232" s="830"/>
      <c r="BJ232" s="831"/>
      <c r="BK232" s="831"/>
      <c r="BL232" s="831"/>
      <c r="BM232" s="817">
        <f>+AC232+AG232+AK232+AO232+AS232+AW232+BA232+BE232+BI232</f>
        <v>208067810</v>
      </c>
      <c r="BN232" s="818">
        <f t="shared" si="479"/>
        <v>224890114</v>
      </c>
      <c r="BO232" s="818">
        <f t="shared" si="479"/>
        <v>186393000</v>
      </c>
      <c r="BP232" s="818">
        <f t="shared" si="479"/>
        <v>186393000</v>
      </c>
      <c r="BQ232" s="667"/>
      <c r="BR232" s="667"/>
      <c r="BS232" s="667"/>
      <c r="BT232" s="667"/>
      <c r="BU232" s="667"/>
      <c r="BV232" s="667"/>
      <c r="BW232" s="667"/>
      <c r="BX232" s="667"/>
      <c r="BY232" s="667"/>
      <c r="BZ232" s="667"/>
      <c r="CA232" s="667"/>
      <c r="CB232" s="667"/>
      <c r="CC232" s="667"/>
      <c r="CD232" s="667"/>
      <c r="CE232" s="667"/>
      <c r="CF232" s="667"/>
      <c r="CG232" s="667"/>
      <c r="CH232" s="667"/>
      <c r="CI232" s="667"/>
      <c r="CJ232" s="667"/>
      <c r="CK232" s="667"/>
      <c r="CL232" s="667"/>
      <c r="CM232" s="667"/>
      <c r="CN232" s="667"/>
      <c r="CO232" s="667"/>
      <c r="CP232" s="667"/>
      <c r="CQ232" s="667"/>
      <c r="CR232" s="667"/>
      <c r="CS232" s="667"/>
      <c r="CT232" s="667"/>
      <c r="CU232" s="667"/>
      <c r="CV232" s="706">
        <v>214309844.30000004</v>
      </c>
      <c r="CW232" s="667">
        <v>279309844</v>
      </c>
      <c r="CX232" s="667">
        <v>255885000</v>
      </c>
      <c r="CY232" s="667">
        <v>255885000</v>
      </c>
      <c r="CZ232" s="667"/>
      <c r="DA232" s="667"/>
      <c r="DB232" s="667"/>
      <c r="DC232" s="667"/>
      <c r="DD232" s="667"/>
      <c r="DE232" s="708">
        <f t="shared" si="480"/>
        <v>214309844.30000004</v>
      </c>
      <c r="DF232" s="708">
        <f t="shared" si="480"/>
        <v>279309844</v>
      </c>
      <c r="DG232" s="708">
        <f t="shared" si="480"/>
        <v>255885000</v>
      </c>
      <c r="DH232" s="708">
        <f t="shared" si="480"/>
        <v>255885000</v>
      </c>
      <c r="DI232" s="708"/>
      <c r="DJ232" s="706"/>
      <c r="DK232" s="706"/>
      <c r="DL232" s="706"/>
      <c r="DM232" s="706"/>
      <c r="DN232" s="706"/>
      <c r="DO232" s="706">
        <v>70702000</v>
      </c>
      <c r="DP232" s="706">
        <v>41432000</v>
      </c>
      <c r="DQ232" s="706">
        <v>41432000</v>
      </c>
      <c r="DR232" s="706"/>
      <c r="DS232" s="706"/>
      <c r="DT232" s="706"/>
      <c r="DU232" s="706"/>
      <c r="DV232" s="706"/>
      <c r="DW232" s="706"/>
      <c r="DX232" s="706"/>
      <c r="DY232" s="706"/>
      <c r="DZ232" s="706"/>
      <c r="EA232" s="706"/>
      <c r="EB232" s="706"/>
      <c r="EC232" s="706"/>
      <c r="ED232" s="706"/>
      <c r="EE232" s="706"/>
      <c r="EF232" s="706"/>
      <c r="EG232" s="706"/>
      <c r="EH232" s="706"/>
      <c r="EI232" s="706"/>
      <c r="EJ232" s="706"/>
      <c r="EK232" s="706"/>
      <c r="EL232" s="706"/>
      <c r="EM232" s="706"/>
      <c r="EN232" s="706">
        <v>220745433.03</v>
      </c>
      <c r="EO232" s="706">
        <v>252584843</v>
      </c>
      <c r="EP232" s="706">
        <v>239103000</v>
      </c>
      <c r="EQ232" s="706">
        <v>239103000</v>
      </c>
      <c r="ER232" s="706"/>
      <c r="ES232" s="706"/>
      <c r="ET232" s="667"/>
      <c r="EU232" s="667"/>
      <c r="EV232" s="667"/>
      <c r="EW232" s="708">
        <f t="shared" si="481"/>
        <v>220745433.03</v>
      </c>
      <c r="EX232" s="819">
        <f t="shared" si="481"/>
        <v>323286843</v>
      </c>
      <c r="EY232" s="819">
        <f t="shared" si="482"/>
        <v>280535000</v>
      </c>
      <c r="EZ232" s="819">
        <f t="shared" si="482"/>
        <v>280535000</v>
      </c>
      <c r="FA232" s="820"/>
      <c r="FB232" s="667"/>
      <c r="FC232" s="706"/>
      <c r="FD232" s="706"/>
      <c r="FE232" s="706"/>
      <c r="FF232" s="707"/>
      <c r="FG232" s="667"/>
      <c r="FH232" s="667"/>
      <c r="FI232" s="667"/>
      <c r="FJ232" s="667"/>
      <c r="FK232" s="667"/>
      <c r="FL232" s="667"/>
      <c r="FM232" s="667"/>
      <c r="FN232" s="667"/>
      <c r="FO232" s="667"/>
      <c r="FP232" s="667"/>
      <c r="FQ232" s="667"/>
      <c r="FR232" s="667"/>
      <c r="FS232" s="667"/>
      <c r="FT232" s="667"/>
      <c r="FU232" s="667"/>
      <c r="FV232" s="667"/>
      <c r="FW232" s="667"/>
      <c r="FX232" s="667"/>
      <c r="FY232" s="667"/>
      <c r="FZ232" s="667"/>
      <c r="GA232" s="667"/>
      <c r="GB232" s="667"/>
      <c r="GC232" s="667"/>
      <c r="GD232" s="667"/>
      <c r="GE232" s="667"/>
      <c r="GF232" s="667"/>
      <c r="GG232" s="667"/>
      <c r="GH232" s="667"/>
      <c r="GI232" s="667"/>
      <c r="GJ232" s="667"/>
      <c r="GK232" s="667">
        <v>227607796.02787006</v>
      </c>
      <c r="GL232" s="900">
        <f>243800000+5915987+20000000+37849428</f>
        <v>307565415</v>
      </c>
      <c r="GM232" s="900">
        <v>174550000</v>
      </c>
      <c r="GN232" s="900">
        <v>123640000</v>
      </c>
      <c r="GO232" s="900"/>
      <c r="GP232" s="667"/>
      <c r="GQ232" s="667"/>
      <c r="GR232" s="667"/>
      <c r="GS232" s="667"/>
      <c r="GT232" s="667"/>
      <c r="GU232" s="708">
        <f t="shared" si="483"/>
        <v>227607796.02787006</v>
      </c>
      <c r="GV232" s="708">
        <f t="shared" si="483"/>
        <v>307565415</v>
      </c>
      <c r="GW232" s="708">
        <f t="shared" si="483"/>
        <v>174550000</v>
      </c>
      <c r="GX232" s="708">
        <f t="shared" si="483"/>
        <v>123640000</v>
      </c>
      <c r="GY232" s="709">
        <f t="shared" si="483"/>
        <v>0</v>
      </c>
      <c r="GZ232" s="710">
        <f>BM232+DE232+EW232+GU232</f>
        <v>870730883.3578701</v>
      </c>
    </row>
    <row r="233" spans="1:208" ht="24.75" customHeight="1" x14ac:dyDescent="0.2">
      <c r="A233" s="326"/>
      <c r="B233" s="234">
        <v>13</v>
      </c>
      <c r="C233" s="324" t="s">
        <v>575</v>
      </c>
      <c r="D233" s="236"/>
      <c r="E233" s="236"/>
      <c r="F233" s="236"/>
      <c r="G233" s="512"/>
      <c r="H233" s="512"/>
      <c r="I233" s="512"/>
      <c r="J233" s="512"/>
      <c r="K233" s="512"/>
      <c r="L233" s="512"/>
      <c r="M233" s="512"/>
      <c r="N233" s="512"/>
      <c r="O233" s="512"/>
      <c r="P233" s="512"/>
      <c r="Q233" s="512"/>
      <c r="R233" s="512"/>
      <c r="S233" s="512"/>
      <c r="T233" s="512"/>
      <c r="U233" s="512"/>
      <c r="V233" s="512"/>
      <c r="W233" s="512"/>
      <c r="X233" s="512"/>
      <c r="Y233" s="628"/>
      <c r="Z233" s="512"/>
      <c r="AA233" s="512"/>
      <c r="AB233" s="512"/>
      <c r="AC233" s="193">
        <f t="shared" ref="AC233:CN233" si="484">AC234+AC236+AC238</f>
        <v>0</v>
      </c>
      <c r="AD233" s="193">
        <f t="shared" si="484"/>
        <v>0</v>
      </c>
      <c r="AE233" s="193">
        <f t="shared" si="484"/>
        <v>0</v>
      </c>
      <c r="AF233" s="193">
        <f t="shared" si="484"/>
        <v>0</v>
      </c>
      <c r="AG233" s="193">
        <f t="shared" si="484"/>
        <v>18910075816</v>
      </c>
      <c r="AH233" s="193">
        <f t="shared" si="484"/>
        <v>19181808428</v>
      </c>
      <c r="AI233" s="193">
        <f t="shared" si="484"/>
        <v>14508774066</v>
      </c>
      <c r="AJ233" s="193">
        <f t="shared" si="484"/>
        <v>14508774066</v>
      </c>
      <c r="AK233" s="193">
        <f t="shared" si="484"/>
        <v>0</v>
      </c>
      <c r="AL233" s="193">
        <f t="shared" si="484"/>
        <v>0</v>
      </c>
      <c r="AM233" s="193">
        <f t="shared" si="484"/>
        <v>0</v>
      </c>
      <c r="AN233" s="193">
        <f t="shared" si="484"/>
        <v>0</v>
      </c>
      <c r="AO233" s="193">
        <f t="shared" si="484"/>
        <v>0</v>
      </c>
      <c r="AP233" s="193">
        <f t="shared" si="484"/>
        <v>124458172</v>
      </c>
      <c r="AQ233" s="193">
        <f t="shared" si="484"/>
        <v>0</v>
      </c>
      <c r="AR233" s="193">
        <f t="shared" si="484"/>
        <v>0</v>
      </c>
      <c r="AS233" s="193">
        <f t="shared" si="484"/>
        <v>0</v>
      </c>
      <c r="AT233" s="193">
        <f t="shared" si="484"/>
        <v>0</v>
      </c>
      <c r="AU233" s="193">
        <f t="shared" si="484"/>
        <v>0</v>
      </c>
      <c r="AV233" s="193">
        <f t="shared" si="484"/>
        <v>0</v>
      </c>
      <c r="AW233" s="193">
        <f t="shared" si="484"/>
        <v>0</v>
      </c>
      <c r="AX233" s="193">
        <f t="shared" si="484"/>
        <v>0</v>
      </c>
      <c r="AY233" s="193">
        <f t="shared" si="484"/>
        <v>0</v>
      </c>
      <c r="AZ233" s="193">
        <f t="shared" si="484"/>
        <v>0</v>
      </c>
      <c r="BA233" s="193">
        <f t="shared" si="484"/>
        <v>0</v>
      </c>
      <c r="BB233" s="193">
        <f t="shared" si="484"/>
        <v>0</v>
      </c>
      <c r="BC233" s="193">
        <f t="shared" si="484"/>
        <v>0</v>
      </c>
      <c r="BD233" s="193">
        <f t="shared" si="484"/>
        <v>0</v>
      </c>
      <c r="BE233" s="193">
        <f t="shared" si="484"/>
        <v>0</v>
      </c>
      <c r="BF233" s="193">
        <f t="shared" si="484"/>
        <v>0</v>
      </c>
      <c r="BG233" s="193">
        <f t="shared" si="484"/>
        <v>0</v>
      </c>
      <c r="BH233" s="193">
        <f t="shared" si="484"/>
        <v>0</v>
      </c>
      <c r="BI233" s="193">
        <f t="shared" si="484"/>
        <v>0</v>
      </c>
      <c r="BJ233" s="193">
        <f t="shared" si="484"/>
        <v>0</v>
      </c>
      <c r="BK233" s="193">
        <f t="shared" si="484"/>
        <v>0</v>
      </c>
      <c r="BL233" s="193">
        <f t="shared" si="484"/>
        <v>0</v>
      </c>
      <c r="BM233" s="193">
        <f t="shared" si="484"/>
        <v>18910075816</v>
      </c>
      <c r="BN233" s="193">
        <f t="shared" si="484"/>
        <v>19306266600</v>
      </c>
      <c r="BO233" s="193">
        <f t="shared" si="484"/>
        <v>14508774066</v>
      </c>
      <c r="BP233" s="193">
        <f t="shared" si="484"/>
        <v>14508774066</v>
      </c>
      <c r="BQ233" s="193">
        <f t="shared" si="484"/>
        <v>0</v>
      </c>
      <c r="BR233" s="193">
        <f t="shared" si="484"/>
        <v>0</v>
      </c>
      <c r="BS233" s="193">
        <f t="shared" si="484"/>
        <v>0</v>
      </c>
      <c r="BT233" s="193">
        <f t="shared" si="484"/>
        <v>0</v>
      </c>
      <c r="BU233" s="193">
        <f t="shared" si="484"/>
        <v>14820887397.66</v>
      </c>
      <c r="BV233" s="193">
        <f t="shared" si="484"/>
        <v>96518485</v>
      </c>
      <c r="BW233" s="193">
        <f t="shared" si="484"/>
        <v>0</v>
      </c>
      <c r="BX233" s="193">
        <f t="shared" si="484"/>
        <v>0</v>
      </c>
      <c r="BY233" s="193">
        <f t="shared" si="484"/>
        <v>0</v>
      </c>
      <c r="BZ233" s="193">
        <f t="shared" si="484"/>
        <v>0</v>
      </c>
      <c r="CA233" s="193">
        <f t="shared" si="484"/>
        <v>15798038104</v>
      </c>
      <c r="CB233" s="193">
        <f t="shared" si="484"/>
        <v>15516775294.75</v>
      </c>
      <c r="CC233" s="193">
        <f t="shared" si="484"/>
        <v>15516775294.75</v>
      </c>
      <c r="CD233" s="193">
        <f t="shared" si="484"/>
        <v>0</v>
      </c>
      <c r="CE233" s="193">
        <f t="shared" si="484"/>
        <v>0</v>
      </c>
      <c r="CF233" s="193">
        <f t="shared" si="484"/>
        <v>0</v>
      </c>
      <c r="CG233" s="193">
        <f t="shared" si="484"/>
        <v>0</v>
      </c>
      <c r="CH233" s="193">
        <f t="shared" si="484"/>
        <v>0</v>
      </c>
      <c r="CI233" s="193">
        <f t="shared" si="484"/>
        <v>0</v>
      </c>
      <c r="CJ233" s="193">
        <f t="shared" si="484"/>
        <v>0</v>
      </c>
      <c r="CK233" s="193">
        <f t="shared" si="484"/>
        <v>0</v>
      </c>
      <c r="CL233" s="193">
        <f t="shared" si="484"/>
        <v>0</v>
      </c>
      <c r="CM233" s="193">
        <f t="shared" si="484"/>
        <v>0</v>
      </c>
      <c r="CN233" s="193">
        <f t="shared" si="484"/>
        <v>0</v>
      </c>
      <c r="CO233" s="193">
        <f t="shared" ref="CO233:EV233" si="485">CO234+CO236+CO238</f>
        <v>0</v>
      </c>
      <c r="CP233" s="193">
        <f t="shared" si="485"/>
        <v>0</v>
      </c>
      <c r="CQ233" s="193">
        <f t="shared" si="485"/>
        <v>0</v>
      </c>
      <c r="CR233" s="193">
        <f t="shared" si="485"/>
        <v>0</v>
      </c>
      <c r="CS233" s="193">
        <f t="shared" si="485"/>
        <v>0</v>
      </c>
      <c r="CT233" s="193">
        <f t="shared" si="485"/>
        <v>0</v>
      </c>
      <c r="CU233" s="193">
        <f t="shared" si="485"/>
        <v>0</v>
      </c>
      <c r="CV233" s="193">
        <f t="shared" si="485"/>
        <v>0</v>
      </c>
      <c r="CW233" s="193">
        <f t="shared" si="485"/>
        <v>0</v>
      </c>
      <c r="CX233" s="193">
        <f t="shared" si="485"/>
        <v>0</v>
      </c>
      <c r="CY233" s="193">
        <f t="shared" si="485"/>
        <v>0</v>
      </c>
      <c r="CZ233" s="193">
        <f t="shared" si="485"/>
        <v>0</v>
      </c>
      <c r="DA233" s="193">
        <f t="shared" si="485"/>
        <v>0</v>
      </c>
      <c r="DB233" s="193">
        <f t="shared" si="485"/>
        <v>0</v>
      </c>
      <c r="DC233" s="193">
        <f t="shared" si="485"/>
        <v>0</v>
      </c>
      <c r="DD233" s="193">
        <f t="shared" si="485"/>
        <v>0</v>
      </c>
      <c r="DE233" s="193">
        <f t="shared" si="485"/>
        <v>14820887397.66</v>
      </c>
      <c r="DF233" s="193">
        <f t="shared" si="485"/>
        <v>15894556589</v>
      </c>
      <c r="DG233" s="193">
        <f t="shared" si="485"/>
        <v>15516775294.75</v>
      </c>
      <c r="DH233" s="193">
        <f t="shared" si="485"/>
        <v>15516775294.75</v>
      </c>
      <c r="DI233" s="193">
        <f t="shared" si="485"/>
        <v>0</v>
      </c>
      <c r="DJ233" s="193">
        <f t="shared" si="485"/>
        <v>0</v>
      </c>
      <c r="DK233" s="193">
        <f t="shared" si="485"/>
        <v>0</v>
      </c>
      <c r="DL233" s="193">
        <f t="shared" si="485"/>
        <v>0</v>
      </c>
      <c r="DM233" s="193">
        <f t="shared" si="485"/>
        <v>0</v>
      </c>
      <c r="DN233" s="193">
        <f t="shared" si="485"/>
        <v>15265514018.5298</v>
      </c>
      <c r="DO233" s="193">
        <f t="shared" si="485"/>
        <v>74566467</v>
      </c>
      <c r="DP233" s="193">
        <f t="shared" si="485"/>
        <v>0</v>
      </c>
      <c r="DQ233" s="193">
        <f t="shared" si="485"/>
        <v>0</v>
      </c>
      <c r="DR233" s="193">
        <f t="shared" si="485"/>
        <v>0</v>
      </c>
      <c r="DS233" s="193">
        <f t="shared" si="485"/>
        <v>0</v>
      </c>
      <c r="DT233" s="193">
        <f t="shared" si="485"/>
        <v>0</v>
      </c>
      <c r="DU233" s="193">
        <f t="shared" si="485"/>
        <v>0</v>
      </c>
      <c r="DV233" s="193">
        <f t="shared" si="485"/>
        <v>0</v>
      </c>
      <c r="DW233" s="193">
        <f t="shared" si="485"/>
        <v>0</v>
      </c>
      <c r="DX233" s="193">
        <f t="shared" si="485"/>
        <v>0</v>
      </c>
      <c r="DY233" s="193">
        <f t="shared" si="485"/>
        <v>20782250227</v>
      </c>
      <c r="DZ233" s="193">
        <f t="shared" si="485"/>
        <v>17802162415</v>
      </c>
      <c r="EA233" s="193">
        <f t="shared" si="485"/>
        <v>17802162415</v>
      </c>
      <c r="EB233" s="193">
        <f t="shared" si="485"/>
        <v>0</v>
      </c>
      <c r="EC233" s="193">
        <f t="shared" si="485"/>
        <v>0</v>
      </c>
      <c r="ED233" s="193">
        <f t="shared" si="485"/>
        <v>0</v>
      </c>
      <c r="EE233" s="193">
        <f t="shared" si="485"/>
        <v>0</v>
      </c>
      <c r="EF233" s="193">
        <f t="shared" si="485"/>
        <v>0</v>
      </c>
      <c r="EG233" s="193">
        <f t="shared" si="485"/>
        <v>0</v>
      </c>
      <c r="EH233" s="193">
        <f t="shared" si="485"/>
        <v>0</v>
      </c>
      <c r="EI233" s="193">
        <f t="shared" si="485"/>
        <v>0</v>
      </c>
      <c r="EJ233" s="193">
        <f t="shared" si="485"/>
        <v>0</v>
      </c>
      <c r="EK233" s="193">
        <f t="shared" si="485"/>
        <v>0</v>
      </c>
      <c r="EL233" s="193">
        <f t="shared" si="485"/>
        <v>0</v>
      </c>
      <c r="EM233" s="193">
        <f t="shared" si="485"/>
        <v>0</v>
      </c>
      <c r="EN233" s="193">
        <f t="shared" si="485"/>
        <v>0</v>
      </c>
      <c r="EO233" s="193">
        <f t="shared" si="485"/>
        <v>0</v>
      </c>
      <c r="EP233" s="193">
        <f t="shared" si="485"/>
        <v>0</v>
      </c>
      <c r="EQ233" s="193">
        <f t="shared" si="485"/>
        <v>0</v>
      </c>
      <c r="ER233" s="193">
        <f t="shared" si="485"/>
        <v>0</v>
      </c>
      <c r="ES233" s="193">
        <f t="shared" si="485"/>
        <v>0</v>
      </c>
      <c r="ET233" s="193">
        <f t="shared" si="485"/>
        <v>0</v>
      </c>
      <c r="EU233" s="193">
        <f t="shared" si="485"/>
        <v>0</v>
      </c>
      <c r="EV233" s="193">
        <f t="shared" si="485"/>
        <v>0</v>
      </c>
      <c r="EW233" s="193">
        <f t="shared" ref="EW233" si="486">EW234+EW236+EW238</f>
        <v>15265514018.5298</v>
      </c>
      <c r="EX233" s="193">
        <f t="shared" ref="EX233:GZ233" si="487">EX234+EX236+EX238</f>
        <v>20856816694</v>
      </c>
      <c r="EY233" s="193">
        <f t="shared" si="487"/>
        <v>17802162415</v>
      </c>
      <c r="EZ233" s="193">
        <f t="shared" si="487"/>
        <v>17802162415</v>
      </c>
      <c r="FA233" s="193">
        <f t="shared" si="487"/>
        <v>0</v>
      </c>
      <c r="FB233" s="193">
        <f t="shared" si="487"/>
        <v>0</v>
      </c>
      <c r="FC233" s="193">
        <f t="shared" si="487"/>
        <v>0</v>
      </c>
      <c r="FD233" s="193">
        <f t="shared" si="487"/>
        <v>0</v>
      </c>
      <c r="FE233" s="193">
        <f t="shared" si="487"/>
        <v>0</v>
      </c>
      <c r="FF233" s="193">
        <f t="shared" si="487"/>
        <v>0</v>
      </c>
      <c r="FG233" s="193">
        <f t="shared" si="487"/>
        <v>15723479438.675694</v>
      </c>
      <c r="FH233" s="193">
        <f t="shared" si="487"/>
        <v>130204383</v>
      </c>
      <c r="FI233" s="193">
        <f t="shared" si="487"/>
        <v>0</v>
      </c>
      <c r="FJ233" s="193">
        <f t="shared" si="487"/>
        <v>0</v>
      </c>
      <c r="FK233" s="193">
        <f t="shared" si="487"/>
        <v>0</v>
      </c>
      <c r="FL233" s="193">
        <f t="shared" si="487"/>
        <v>0</v>
      </c>
      <c r="FM233" s="193">
        <f t="shared" si="487"/>
        <v>51800000</v>
      </c>
      <c r="FN233" s="193">
        <f t="shared" si="487"/>
        <v>49526000</v>
      </c>
      <c r="FO233" s="193">
        <f t="shared" si="487"/>
        <v>43146000</v>
      </c>
      <c r="FP233" s="193">
        <f t="shared" si="487"/>
        <v>0</v>
      </c>
      <c r="FQ233" s="193">
        <f t="shared" si="487"/>
        <v>0</v>
      </c>
      <c r="FR233" s="193">
        <f t="shared" si="487"/>
        <v>21569879703</v>
      </c>
      <c r="FS233" s="193">
        <f t="shared" si="487"/>
        <v>7451557653</v>
      </c>
      <c r="FT233" s="193">
        <f t="shared" si="487"/>
        <v>7451557653</v>
      </c>
      <c r="FU233" s="193">
        <f t="shared" si="487"/>
        <v>0</v>
      </c>
      <c r="FV233" s="193">
        <f t="shared" si="487"/>
        <v>0</v>
      </c>
      <c r="FW233" s="193">
        <f t="shared" si="487"/>
        <v>0</v>
      </c>
      <c r="FX233" s="193">
        <f t="shared" si="487"/>
        <v>0</v>
      </c>
      <c r="FY233" s="193">
        <f t="shared" si="487"/>
        <v>0</v>
      </c>
      <c r="FZ233" s="193">
        <f t="shared" si="487"/>
        <v>0</v>
      </c>
      <c r="GA233" s="193">
        <f t="shared" si="487"/>
        <v>0</v>
      </c>
      <c r="GB233" s="193">
        <f t="shared" si="487"/>
        <v>0</v>
      </c>
      <c r="GC233" s="193">
        <f t="shared" si="487"/>
        <v>0</v>
      </c>
      <c r="GD233" s="193">
        <f t="shared" si="487"/>
        <v>0</v>
      </c>
      <c r="GE233" s="193">
        <f t="shared" si="487"/>
        <v>0</v>
      </c>
      <c r="GF233" s="193">
        <f t="shared" si="487"/>
        <v>0</v>
      </c>
      <c r="GG233" s="193">
        <f t="shared" si="487"/>
        <v>0</v>
      </c>
      <c r="GH233" s="193">
        <f t="shared" si="487"/>
        <v>0</v>
      </c>
      <c r="GI233" s="193">
        <f t="shared" si="487"/>
        <v>0</v>
      </c>
      <c r="GJ233" s="193">
        <f t="shared" si="487"/>
        <v>0</v>
      </c>
      <c r="GK233" s="193">
        <f t="shared" si="487"/>
        <v>0</v>
      </c>
      <c r="GL233" s="193">
        <f t="shared" si="487"/>
        <v>0</v>
      </c>
      <c r="GM233" s="193">
        <f t="shared" si="487"/>
        <v>0</v>
      </c>
      <c r="GN233" s="193">
        <f t="shared" si="487"/>
        <v>0</v>
      </c>
      <c r="GO233" s="193">
        <f t="shared" si="487"/>
        <v>0</v>
      </c>
      <c r="GP233" s="193">
        <f t="shared" si="487"/>
        <v>0</v>
      </c>
      <c r="GQ233" s="193">
        <f t="shared" si="487"/>
        <v>0</v>
      </c>
      <c r="GR233" s="193">
        <f t="shared" si="487"/>
        <v>0</v>
      </c>
      <c r="GS233" s="193">
        <f t="shared" si="487"/>
        <v>0</v>
      </c>
      <c r="GT233" s="193">
        <f t="shared" si="487"/>
        <v>0</v>
      </c>
      <c r="GU233" s="193">
        <f t="shared" si="487"/>
        <v>15723479438.675694</v>
      </c>
      <c r="GV233" s="193">
        <f t="shared" si="487"/>
        <v>21751884086</v>
      </c>
      <c r="GW233" s="193">
        <f t="shared" si="487"/>
        <v>7501083653</v>
      </c>
      <c r="GX233" s="193">
        <f t="shared" si="487"/>
        <v>7494703653</v>
      </c>
      <c r="GY233" s="193">
        <f t="shared" si="487"/>
        <v>0</v>
      </c>
      <c r="GZ233" s="606">
        <f t="shared" si="487"/>
        <v>64719956670.865494</v>
      </c>
    </row>
    <row r="234" spans="1:208" ht="24.75" customHeight="1" x14ac:dyDescent="0.2">
      <c r="A234" s="326"/>
      <c r="B234" s="993"/>
      <c r="C234" s="246">
        <v>47</v>
      </c>
      <c r="D234" s="247" t="s">
        <v>576</v>
      </c>
      <c r="E234" s="250"/>
      <c r="F234" s="250"/>
      <c r="G234" s="246"/>
      <c r="H234" s="246"/>
      <c r="I234" s="246"/>
      <c r="J234" s="246"/>
      <c r="K234" s="246"/>
      <c r="L234" s="246"/>
      <c r="M234" s="246"/>
      <c r="N234" s="246"/>
      <c r="O234" s="246"/>
      <c r="P234" s="246"/>
      <c r="Q234" s="246"/>
      <c r="R234" s="246"/>
      <c r="S234" s="246"/>
      <c r="T234" s="246"/>
      <c r="U234" s="246"/>
      <c r="V234" s="246"/>
      <c r="W234" s="246"/>
      <c r="X234" s="246"/>
      <c r="Y234" s="625"/>
      <c r="Z234" s="246"/>
      <c r="AA234" s="246"/>
      <c r="AB234" s="246"/>
      <c r="AC234" s="51">
        <f t="shared" ref="AC234:BL234" si="488">SUM(AC235)</f>
        <v>0</v>
      </c>
      <c r="AD234" s="51">
        <f t="shared" si="488"/>
        <v>0</v>
      </c>
      <c r="AE234" s="51">
        <f t="shared" si="488"/>
        <v>0</v>
      </c>
      <c r="AF234" s="51">
        <f t="shared" si="488"/>
        <v>0</v>
      </c>
      <c r="AG234" s="51">
        <f t="shared" si="488"/>
        <v>28200000</v>
      </c>
      <c r="AH234" s="51">
        <f t="shared" si="488"/>
        <v>28200000</v>
      </c>
      <c r="AI234" s="51">
        <f t="shared" si="488"/>
        <v>8167000</v>
      </c>
      <c r="AJ234" s="51">
        <f t="shared" si="488"/>
        <v>8167000</v>
      </c>
      <c r="AK234" s="51">
        <f t="shared" si="488"/>
        <v>0</v>
      </c>
      <c r="AL234" s="51">
        <f t="shared" si="488"/>
        <v>0</v>
      </c>
      <c r="AM234" s="51">
        <f t="shared" si="488"/>
        <v>0</v>
      </c>
      <c r="AN234" s="51">
        <f t="shared" si="488"/>
        <v>0</v>
      </c>
      <c r="AO234" s="51">
        <f t="shared" si="488"/>
        <v>0</v>
      </c>
      <c r="AP234" s="51">
        <f t="shared" si="488"/>
        <v>0</v>
      </c>
      <c r="AQ234" s="51">
        <f t="shared" si="488"/>
        <v>0</v>
      </c>
      <c r="AR234" s="51">
        <f t="shared" si="488"/>
        <v>0</v>
      </c>
      <c r="AS234" s="51">
        <f t="shared" si="488"/>
        <v>0</v>
      </c>
      <c r="AT234" s="51">
        <f t="shared" si="488"/>
        <v>0</v>
      </c>
      <c r="AU234" s="51">
        <f t="shared" si="488"/>
        <v>0</v>
      </c>
      <c r="AV234" s="51">
        <f t="shared" si="488"/>
        <v>0</v>
      </c>
      <c r="AW234" s="51">
        <f t="shared" si="488"/>
        <v>0</v>
      </c>
      <c r="AX234" s="51">
        <f t="shared" si="488"/>
        <v>0</v>
      </c>
      <c r="AY234" s="51">
        <f t="shared" si="488"/>
        <v>0</v>
      </c>
      <c r="AZ234" s="51">
        <f t="shared" si="488"/>
        <v>0</v>
      </c>
      <c r="BA234" s="51">
        <f t="shared" si="488"/>
        <v>0</v>
      </c>
      <c r="BB234" s="51">
        <f t="shared" si="488"/>
        <v>0</v>
      </c>
      <c r="BC234" s="51">
        <f t="shared" si="488"/>
        <v>0</v>
      </c>
      <c r="BD234" s="51">
        <f t="shared" si="488"/>
        <v>0</v>
      </c>
      <c r="BE234" s="51">
        <f t="shared" si="488"/>
        <v>0</v>
      </c>
      <c r="BF234" s="51">
        <f t="shared" si="488"/>
        <v>0</v>
      </c>
      <c r="BG234" s="51">
        <f t="shared" si="488"/>
        <v>0</v>
      </c>
      <c r="BH234" s="51">
        <f t="shared" si="488"/>
        <v>0</v>
      </c>
      <c r="BI234" s="51">
        <f t="shared" si="488"/>
        <v>0</v>
      </c>
      <c r="BJ234" s="51">
        <f t="shared" si="488"/>
        <v>0</v>
      </c>
      <c r="BK234" s="51">
        <f t="shared" si="488"/>
        <v>0</v>
      </c>
      <c r="BL234" s="51">
        <f t="shared" si="488"/>
        <v>0</v>
      </c>
      <c r="BM234" s="51">
        <f t="shared" ref="BM234:DX234" si="489">SUM(BM235)</f>
        <v>28200000</v>
      </c>
      <c r="BN234" s="51">
        <f t="shared" si="489"/>
        <v>28200000</v>
      </c>
      <c r="BO234" s="51">
        <f t="shared" si="489"/>
        <v>8167000</v>
      </c>
      <c r="BP234" s="51">
        <f t="shared" si="489"/>
        <v>8167000</v>
      </c>
      <c r="BQ234" s="51">
        <f t="shared" si="489"/>
        <v>0</v>
      </c>
      <c r="BR234" s="51">
        <f t="shared" si="489"/>
        <v>0</v>
      </c>
      <c r="BS234" s="51">
        <f t="shared" si="489"/>
        <v>0</v>
      </c>
      <c r="BT234" s="51">
        <f t="shared" si="489"/>
        <v>0</v>
      </c>
      <c r="BU234" s="51">
        <f t="shared" si="489"/>
        <v>29046000</v>
      </c>
      <c r="BV234" s="51">
        <f t="shared" si="489"/>
        <v>0</v>
      </c>
      <c r="BW234" s="51">
        <f t="shared" si="489"/>
        <v>0</v>
      </c>
      <c r="BX234" s="51">
        <f t="shared" si="489"/>
        <v>0</v>
      </c>
      <c r="BY234" s="51">
        <f t="shared" si="489"/>
        <v>0</v>
      </c>
      <c r="BZ234" s="51">
        <f t="shared" si="489"/>
        <v>0</v>
      </c>
      <c r="CA234" s="51">
        <f t="shared" si="489"/>
        <v>29046000</v>
      </c>
      <c r="CB234" s="51">
        <f t="shared" si="489"/>
        <v>0</v>
      </c>
      <c r="CC234" s="51">
        <f t="shared" si="489"/>
        <v>0</v>
      </c>
      <c r="CD234" s="51">
        <f t="shared" si="489"/>
        <v>0</v>
      </c>
      <c r="CE234" s="51">
        <f t="shared" si="489"/>
        <v>0</v>
      </c>
      <c r="CF234" s="51">
        <f t="shared" si="489"/>
        <v>0</v>
      </c>
      <c r="CG234" s="51">
        <f t="shared" si="489"/>
        <v>0</v>
      </c>
      <c r="CH234" s="51">
        <f t="shared" si="489"/>
        <v>0</v>
      </c>
      <c r="CI234" s="51">
        <f t="shared" si="489"/>
        <v>0</v>
      </c>
      <c r="CJ234" s="51">
        <f t="shared" si="489"/>
        <v>0</v>
      </c>
      <c r="CK234" s="51">
        <f t="shared" si="489"/>
        <v>0</v>
      </c>
      <c r="CL234" s="51">
        <f t="shared" si="489"/>
        <v>0</v>
      </c>
      <c r="CM234" s="51">
        <f t="shared" si="489"/>
        <v>0</v>
      </c>
      <c r="CN234" s="51">
        <f t="shared" si="489"/>
        <v>0</v>
      </c>
      <c r="CO234" s="51">
        <f t="shared" si="489"/>
        <v>0</v>
      </c>
      <c r="CP234" s="51">
        <f t="shared" si="489"/>
        <v>0</v>
      </c>
      <c r="CQ234" s="51">
        <f t="shared" si="489"/>
        <v>0</v>
      </c>
      <c r="CR234" s="51">
        <f t="shared" si="489"/>
        <v>0</v>
      </c>
      <c r="CS234" s="51">
        <f t="shared" si="489"/>
        <v>0</v>
      </c>
      <c r="CT234" s="51">
        <f t="shared" si="489"/>
        <v>0</v>
      </c>
      <c r="CU234" s="51">
        <f t="shared" si="489"/>
        <v>0</v>
      </c>
      <c r="CV234" s="51">
        <f t="shared" si="489"/>
        <v>0</v>
      </c>
      <c r="CW234" s="51">
        <f t="shared" si="489"/>
        <v>0</v>
      </c>
      <c r="CX234" s="51">
        <f t="shared" si="489"/>
        <v>0</v>
      </c>
      <c r="CY234" s="51">
        <f t="shared" si="489"/>
        <v>0</v>
      </c>
      <c r="CZ234" s="51">
        <f t="shared" si="489"/>
        <v>0</v>
      </c>
      <c r="DA234" s="51">
        <f t="shared" si="489"/>
        <v>0</v>
      </c>
      <c r="DB234" s="51">
        <f t="shared" si="489"/>
        <v>0</v>
      </c>
      <c r="DC234" s="51">
        <f t="shared" si="489"/>
        <v>0</v>
      </c>
      <c r="DD234" s="51">
        <f t="shared" si="489"/>
        <v>0</v>
      </c>
      <c r="DE234" s="51">
        <f t="shared" si="489"/>
        <v>29046000</v>
      </c>
      <c r="DF234" s="51">
        <f t="shared" si="489"/>
        <v>29046000</v>
      </c>
      <c r="DG234" s="51">
        <f t="shared" si="489"/>
        <v>0</v>
      </c>
      <c r="DH234" s="51">
        <f t="shared" si="489"/>
        <v>0</v>
      </c>
      <c r="DI234" s="51">
        <f t="shared" si="489"/>
        <v>0</v>
      </c>
      <c r="DJ234" s="51">
        <f t="shared" si="489"/>
        <v>0</v>
      </c>
      <c r="DK234" s="51">
        <f t="shared" si="489"/>
        <v>0</v>
      </c>
      <c r="DL234" s="51">
        <f t="shared" si="489"/>
        <v>0</v>
      </c>
      <c r="DM234" s="51">
        <f t="shared" si="489"/>
        <v>0</v>
      </c>
      <c r="DN234" s="51">
        <f t="shared" si="489"/>
        <v>29917380</v>
      </c>
      <c r="DO234" s="51">
        <f t="shared" si="489"/>
        <v>0</v>
      </c>
      <c r="DP234" s="51">
        <f t="shared" si="489"/>
        <v>0</v>
      </c>
      <c r="DQ234" s="51">
        <f t="shared" si="489"/>
        <v>0</v>
      </c>
      <c r="DR234" s="51">
        <f t="shared" si="489"/>
        <v>0</v>
      </c>
      <c r="DS234" s="51">
        <f t="shared" si="489"/>
        <v>0</v>
      </c>
      <c r="DT234" s="51">
        <f t="shared" si="489"/>
        <v>0</v>
      </c>
      <c r="DU234" s="51">
        <f t="shared" si="489"/>
        <v>0</v>
      </c>
      <c r="DV234" s="51">
        <f t="shared" si="489"/>
        <v>0</v>
      </c>
      <c r="DW234" s="51">
        <f t="shared" si="489"/>
        <v>0</v>
      </c>
      <c r="DX234" s="51">
        <f t="shared" si="489"/>
        <v>0</v>
      </c>
      <c r="DY234" s="51">
        <f t="shared" ref="DY234:EW234" si="490">SUM(DY235)</f>
        <v>29046000</v>
      </c>
      <c r="DZ234" s="51">
        <f t="shared" si="490"/>
        <v>24352000</v>
      </c>
      <c r="EA234" s="51">
        <f t="shared" si="490"/>
        <v>24352000</v>
      </c>
      <c r="EB234" s="51">
        <f t="shared" si="490"/>
        <v>0</v>
      </c>
      <c r="EC234" s="51">
        <f t="shared" si="490"/>
        <v>0</v>
      </c>
      <c r="ED234" s="51">
        <f t="shared" si="490"/>
        <v>0</v>
      </c>
      <c r="EE234" s="51">
        <f t="shared" si="490"/>
        <v>0</v>
      </c>
      <c r="EF234" s="51">
        <f t="shared" si="490"/>
        <v>0</v>
      </c>
      <c r="EG234" s="51">
        <f t="shared" si="490"/>
        <v>0</v>
      </c>
      <c r="EH234" s="51">
        <f t="shared" si="490"/>
        <v>0</v>
      </c>
      <c r="EI234" s="51">
        <f t="shared" si="490"/>
        <v>0</v>
      </c>
      <c r="EJ234" s="51">
        <f t="shared" si="490"/>
        <v>0</v>
      </c>
      <c r="EK234" s="51">
        <f t="shared" si="490"/>
        <v>0</v>
      </c>
      <c r="EL234" s="51">
        <f t="shared" si="490"/>
        <v>0</v>
      </c>
      <c r="EM234" s="51">
        <f t="shared" si="490"/>
        <v>0</v>
      </c>
      <c r="EN234" s="51">
        <f t="shared" si="490"/>
        <v>0</v>
      </c>
      <c r="EO234" s="51">
        <f t="shared" si="490"/>
        <v>0</v>
      </c>
      <c r="EP234" s="51">
        <f t="shared" si="490"/>
        <v>0</v>
      </c>
      <c r="EQ234" s="51">
        <f t="shared" si="490"/>
        <v>0</v>
      </c>
      <c r="ER234" s="51">
        <f t="shared" si="490"/>
        <v>0</v>
      </c>
      <c r="ES234" s="51">
        <f t="shared" si="490"/>
        <v>0</v>
      </c>
      <c r="ET234" s="51">
        <f t="shared" si="490"/>
        <v>0</v>
      </c>
      <c r="EU234" s="51">
        <f t="shared" si="490"/>
        <v>0</v>
      </c>
      <c r="EV234" s="51">
        <f t="shared" si="490"/>
        <v>0</v>
      </c>
      <c r="EW234" s="51">
        <f t="shared" si="490"/>
        <v>29917380</v>
      </c>
      <c r="EX234" s="51">
        <f t="shared" ref="EX234:GZ234" si="491">SUM(EX235)</f>
        <v>29046000</v>
      </c>
      <c r="EY234" s="51">
        <f t="shared" si="491"/>
        <v>24352000</v>
      </c>
      <c r="EZ234" s="51">
        <f t="shared" si="491"/>
        <v>24352000</v>
      </c>
      <c r="FA234" s="51">
        <f t="shared" si="491"/>
        <v>0</v>
      </c>
      <c r="FB234" s="51">
        <f t="shared" si="491"/>
        <v>0</v>
      </c>
      <c r="FC234" s="51">
        <f t="shared" si="491"/>
        <v>0</v>
      </c>
      <c r="FD234" s="51">
        <f t="shared" si="491"/>
        <v>0</v>
      </c>
      <c r="FE234" s="51">
        <f t="shared" si="491"/>
        <v>0</v>
      </c>
      <c r="FF234" s="51">
        <f t="shared" si="491"/>
        <v>0</v>
      </c>
      <c r="FG234" s="51">
        <f t="shared" si="491"/>
        <v>30814901.400000002</v>
      </c>
      <c r="FH234" s="51">
        <f t="shared" si="491"/>
        <v>0</v>
      </c>
      <c r="FI234" s="51">
        <f t="shared" si="491"/>
        <v>0</v>
      </c>
      <c r="FJ234" s="51">
        <f t="shared" si="491"/>
        <v>0</v>
      </c>
      <c r="FK234" s="51">
        <f t="shared" si="491"/>
        <v>0</v>
      </c>
      <c r="FL234" s="51">
        <f t="shared" si="491"/>
        <v>0</v>
      </c>
      <c r="FM234" s="51">
        <f t="shared" si="491"/>
        <v>30800000</v>
      </c>
      <c r="FN234" s="51">
        <f t="shared" si="491"/>
        <v>28541000</v>
      </c>
      <c r="FO234" s="51">
        <f t="shared" si="491"/>
        <v>22161000</v>
      </c>
      <c r="FP234" s="51">
        <f t="shared" si="491"/>
        <v>0</v>
      </c>
      <c r="FQ234" s="51">
        <f t="shared" si="491"/>
        <v>0</v>
      </c>
      <c r="FR234" s="51">
        <f t="shared" si="491"/>
        <v>0</v>
      </c>
      <c r="FS234" s="51">
        <f t="shared" si="491"/>
        <v>0</v>
      </c>
      <c r="FT234" s="51">
        <f t="shared" si="491"/>
        <v>0</v>
      </c>
      <c r="FU234" s="51">
        <f t="shared" si="491"/>
        <v>0</v>
      </c>
      <c r="FV234" s="51">
        <f t="shared" si="491"/>
        <v>0</v>
      </c>
      <c r="FW234" s="51">
        <f t="shared" si="491"/>
        <v>0</v>
      </c>
      <c r="FX234" s="51">
        <f t="shared" si="491"/>
        <v>0</v>
      </c>
      <c r="FY234" s="51">
        <f t="shared" si="491"/>
        <v>0</v>
      </c>
      <c r="FZ234" s="51">
        <f t="shared" si="491"/>
        <v>0</v>
      </c>
      <c r="GA234" s="51">
        <f t="shared" si="491"/>
        <v>0</v>
      </c>
      <c r="GB234" s="51">
        <f t="shared" si="491"/>
        <v>0</v>
      </c>
      <c r="GC234" s="51">
        <f t="shared" si="491"/>
        <v>0</v>
      </c>
      <c r="GD234" s="51">
        <f t="shared" si="491"/>
        <v>0</v>
      </c>
      <c r="GE234" s="51">
        <f t="shared" si="491"/>
        <v>0</v>
      </c>
      <c r="GF234" s="51">
        <f t="shared" si="491"/>
        <v>0</v>
      </c>
      <c r="GG234" s="51">
        <f t="shared" si="491"/>
        <v>0</v>
      </c>
      <c r="GH234" s="51">
        <f t="shared" si="491"/>
        <v>0</v>
      </c>
      <c r="GI234" s="51">
        <f t="shared" si="491"/>
        <v>0</v>
      </c>
      <c r="GJ234" s="51">
        <f t="shared" si="491"/>
        <v>0</v>
      </c>
      <c r="GK234" s="51">
        <f t="shared" si="491"/>
        <v>0</v>
      </c>
      <c r="GL234" s="51">
        <f t="shared" si="491"/>
        <v>0</v>
      </c>
      <c r="GM234" s="51">
        <f t="shared" si="491"/>
        <v>0</v>
      </c>
      <c r="GN234" s="51">
        <f t="shared" si="491"/>
        <v>0</v>
      </c>
      <c r="GO234" s="51">
        <f t="shared" si="491"/>
        <v>0</v>
      </c>
      <c r="GP234" s="51">
        <f t="shared" si="491"/>
        <v>0</v>
      </c>
      <c r="GQ234" s="51">
        <f t="shared" si="491"/>
        <v>0</v>
      </c>
      <c r="GR234" s="51">
        <f t="shared" si="491"/>
        <v>0</v>
      </c>
      <c r="GS234" s="51">
        <f t="shared" si="491"/>
        <v>0</v>
      </c>
      <c r="GT234" s="51">
        <f t="shared" si="491"/>
        <v>0</v>
      </c>
      <c r="GU234" s="51">
        <f t="shared" si="491"/>
        <v>30814901.400000002</v>
      </c>
      <c r="GV234" s="51">
        <f t="shared" si="491"/>
        <v>30800000</v>
      </c>
      <c r="GW234" s="51">
        <f t="shared" si="491"/>
        <v>28541000</v>
      </c>
      <c r="GX234" s="51">
        <f t="shared" si="491"/>
        <v>22161000</v>
      </c>
      <c r="GY234" s="51">
        <f t="shared" si="491"/>
        <v>0</v>
      </c>
      <c r="GZ234" s="51">
        <f t="shared" si="491"/>
        <v>117978281.40000001</v>
      </c>
    </row>
    <row r="235" spans="1:208" s="711" customFormat="1" ht="93.75" customHeight="1" x14ac:dyDescent="0.2">
      <c r="A235" s="703"/>
      <c r="B235" s="703"/>
      <c r="C235" s="995">
        <v>27</v>
      </c>
      <c r="D235" s="1005" t="s">
        <v>577</v>
      </c>
      <c r="E235" s="621" t="s">
        <v>578</v>
      </c>
      <c r="F235" s="1006">
        <v>0.92</v>
      </c>
      <c r="G235" s="682">
        <v>163</v>
      </c>
      <c r="H235" s="676" t="s">
        <v>579</v>
      </c>
      <c r="I235" s="898" t="s">
        <v>580</v>
      </c>
      <c r="J235" s="902" t="s">
        <v>444</v>
      </c>
      <c r="K235" s="694">
        <v>2</v>
      </c>
      <c r="L235" s="696" t="s">
        <v>58</v>
      </c>
      <c r="M235" s="682">
        <v>12</v>
      </c>
      <c r="N235" s="682">
        <v>12</v>
      </c>
      <c r="O235" s="690">
        <v>12</v>
      </c>
      <c r="P235" s="695">
        <v>12</v>
      </c>
      <c r="Q235" s="690">
        <v>12</v>
      </c>
      <c r="R235" s="814"/>
      <c r="S235" s="695">
        <v>12</v>
      </c>
      <c r="T235" s="690">
        <v>12</v>
      </c>
      <c r="U235" s="690"/>
      <c r="V235" s="695">
        <v>12</v>
      </c>
      <c r="W235" s="690">
        <v>12</v>
      </c>
      <c r="X235" s="690"/>
      <c r="Y235" s="695">
        <v>7</v>
      </c>
      <c r="Z235" s="957">
        <f>BM235/BM234</f>
        <v>1</v>
      </c>
      <c r="AA235" s="682">
        <v>3</v>
      </c>
      <c r="AB235" s="896" t="s">
        <v>455</v>
      </c>
      <c r="AC235" s="958"/>
      <c r="AD235" s="831"/>
      <c r="AE235" s="818"/>
      <c r="AF235" s="818"/>
      <c r="AG235" s="830">
        <v>28200000</v>
      </c>
      <c r="AH235" s="831">
        <v>28200000</v>
      </c>
      <c r="AI235" s="831">
        <v>8167000</v>
      </c>
      <c r="AJ235" s="831">
        <v>8167000</v>
      </c>
      <c r="AK235" s="958"/>
      <c r="AL235" s="831"/>
      <c r="AM235" s="831"/>
      <c r="AN235" s="831"/>
      <c r="AO235" s="958"/>
      <c r="AP235" s="831"/>
      <c r="AQ235" s="831"/>
      <c r="AR235" s="831"/>
      <c r="AS235" s="958"/>
      <c r="AT235" s="831"/>
      <c r="AU235" s="818"/>
      <c r="AV235" s="818"/>
      <c r="AW235" s="958"/>
      <c r="AX235" s="831"/>
      <c r="AY235" s="831"/>
      <c r="AZ235" s="831"/>
      <c r="BA235" s="958"/>
      <c r="BB235" s="831"/>
      <c r="BC235" s="831"/>
      <c r="BD235" s="831"/>
      <c r="BE235" s="958"/>
      <c r="BF235" s="831"/>
      <c r="BG235" s="818"/>
      <c r="BH235" s="818"/>
      <c r="BI235" s="958"/>
      <c r="BJ235" s="831"/>
      <c r="BK235" s="831"/>
      <c r="BL235" s="831"/>
      <c r="BM235" s="817">
        <f>+AC235+AG235+AK235+AO235+AS235+AW235+BA235+BE235+BI235</f>
        <v>28200000</v>
      </c>
      <c r="BN235" s="818">
        <f>AD235+AH235+AL235+AP235+AT235+AX235+BB235+BF235+BJ235</f>
        <v>28200000</v>
      </c>
      <c r="BO235" s="818">
        <f>AE235+AI235+AM235+AQ235+AU235+AY235+BC235+BG235+BK235</f>
        <v>8167000</v>
      </c>
      <c r="BP235" s="818">
        <f>AF235+AJ235+AN235+AR235+AV235+AZ235+BD235+BH235+BL235</f>
        <v>8167000</v>
      </c>
      <c r="BQ235" s="667"/>
      <c r="BR235" s="667"/>
      <c r="BS235" s="667"/>
      <c r="BT235" s="667"/>
      <c r="BU235" s="706">
        <v>29046000</v>
      </c>
      <c r="BV235" s="667"/>
      <c r="BW235" s="667"/>
      <c r="BX235" s="667"/>
      <c r="BY235" s="667"/>
      <c r="BZ235" s="667"/>
      <c r="CA235" s="959">
        <v>29046000</v>
      </c>
      <c r="CB235" s="667"/>
      <c r="CC235" s="667"/>
      <c r="CD235" s="667"/>
      <c r="CE235" s="667"/>
      <c r="CF235" s="959"/>
      <c r="CG235" s="667"/>
      <c r="CH235" s="667"/>
      <c r="CI235" s="667"/>
      <c r="CJ235" s="667"/>
      <c r="CK235" s="667"/>
      <c r="CL235" s="667"/>
      <c r="CM235" s="667"/>
      <c r="CN235" s="667"/>
      <c r="CO235" s="667"/>
      <c r="CP235" s="667"/>
      <c r="CQ235" s="667"/>
      <c r="CR235" s="667"/>
      <c r="CS235" s="667"/>
      <c r="CT235" s="667"/>
      <c r="CU235" s="667"/>
      <c r="CV235" s="667"/>
      <c r="CW235" s="959"/>
      <c r="CX235" s="667"/>
      <c r="CY235" s="667"/>
      <c r="CZ235" s="667"/>
      <c r="DA235" s="667"/>
      <c r="DB235" s="667"/>
      <c r="DC235" s="667"/>
      <c r="DD235" s="667"/>
      <c r="DE235" s="708">
        <f>BQ235+BU235+BZ235+CE235+CI235+CM235+CQ235+CV235+DA235</f>
        <v>29046000</v>
      </c>
      <c r="DF235" s="708">
        <f>BR235+BV235+CA235+CF235+CJ235+CN235+CR235+CW235+DB235</f>
        <v>29046000</v>
      </c>
      <c r="DG235" s="708">
        <f>BS235+BW235+CB235+CG235+CK235+CO235+CS235+CX235+DC235</f>
        <v>0</v>
      </c>
      <c r="DH235" s="708">
        <f>BT235+BX235+CC235+CH235+CL235+CP235+CT235+CY235+DD235</f>
        <v>0</v>
      </c>
      <c r="DI235" s="708"/>
      <c r="DJ235" s="706"/>
      <c r="DK235" s="706"/>
      <c r="DL235" s="706"/>
      <c r="DM235" s="706"/>
      <c r="DN235" s="706">
        <v>29917380</v>
      </c>
      <c r="DO235" s="706"/>
      <c r="DP235" s="706"/>
      <c r="DQ235" s="706"/>
      <c r="DR235" s="706"/>
      <c r="DS235" s="706"/>
      <c r="DT235" s="706"/>
      <c r="DU235" s="706"/>
      <c r="DV235" s="706"/>
      <c r="DW235" s="706"/>
      <c r="DX235" s="706"/>
      <c r="DY235" s="706">
        <v>29046000</v>
      </c>
      <c r="DZ235" s="706">
        <v>24352000</v>
      </c>
      <c r="EA235" s="706">
        <v>24352000</v>
      </c>
      <c r="EB235" s="706"/>
      <c r="EC235" s="706"/>
      <c r="ED235" s="706"/>
      <c r="EE235" s="706"/>
      <c r="EF235" s="706"/>
      <c r="EG235" s="706"/>
      <c r="EH235" s="706"/>
      <c r="EI235" s="706"/>
      <c r="EJ235" s="706"/>
      <c r="EK235" s="706"/>
      <c r="EL235" s="706"/>
      <c r="EM235" s="706"/>
      <c r="EN235" s="706"/>
      <c r="EO235" s="706"/>
      <c r="EP235" s="706"/>
      <c r="EQ235" s="706"/>
      <c r="ER235" s="706"/>
      <c r="ES235" s="706"/>
      <c r="ET235" s="667"/>
      <c r="EU235" s="667"/>
      <c r="EV235" s="667"/>
      <c r="EW235" s="708">
        <f>DJ235+DN235+DS235+DX235+EB235+EF235+EJ235+EN235+ES235</f>
        <v>29917380</v>
      </c>
      <c r="EX235" s="819">
        <f>DK235+DO235+DT235+DY235+EC235+EG235+EK235+EO235+ET235</f>
        <v>29046000</v>
      </c>
      <c r="EY235" s="819">
        <f>DL235+DP235+DU235+DZ235+ED235+EH235+EL235+EP235+EU235</f>
        <v>24352000</v>
      </c>
      <c r="EZ235" s="819">
        <f>DM235+DQ235+DV235+EA235+EE235+EI235+EM235+EQ235+EV235</f>
        <v>24352000</v>
      </c>
      <c r="FA235" s="820"/>
      <c r="FB235" s="667"/>
      <c r="FC235" s="706"/>
      <c r="FD235" s="706"/>
      <c r="FE235" s="706"/>
      <c r="FF235" s="707"/>
      <c r="FG235" s="667">
        <v>30814901.400000002</v>
      </c>
      <c r="FH235" s="667"/>
      <c r="FI235" s="667"/>
      <c r="FJ235" s="667"/>
      <c r="FK235" s="667"/>
      <c r="FL235" s="667"/>
      <c r="FM235" s="667">
        <v>30800000</v>
      </c>
      <c r="FN235" s="667">
        <v>28541000</v>
      </c>
      <c r="FO235" s="667">
        <v>22161000</v>
      </c>
      <c r="FP235" s="667"/>
      <c r="FQ235" s="667"/>
      <c r="FR235" s="667"/>
      <c r="FS235" s="667"/>
      <c r="FT235" s="667"/>
      <c r="FU235" s="667"/>
      <c r="FV235" s="667"/>
      <c r="FW235" s="667"/>
      <c r="FX235" s="667"/>
      <c r="FY235" s="667"/>
      <c r="FZ235" s="667"/>
      <c r="GA235" s="667"/>
      <c r="GB235" s="667"/>
      <c r="GC235" s="667"/>
      <c r="GD235" s="667"/>
      <c r="GE235" s="667"/>
      <c r="GF235" s="667"/>
      <c r="GG235" s="667"/>
      <c r="GH235" s="667"/>
      <c r="GI235" s="667"/>
      <c r="GJ235" s="667"/>
      <c r="GK235" s="667"/>
      <c r="GL235" s="667"/>
      <c r="GM235" s="667"/>
      <c r="GN235" s="667"/>
      <c r="GO235" s="667"/>
      <c r="GP235" s="667"/>
      <c r="GQ235" s="667"/>
      <c r="GR235" s="667"/>
      <c r="GS235" s="667"/>
      <c r="GT235" s="667"/>
      <c r="GU235" s="708">
        <f>FB235+FG235+FL235+FQ235+FV235+GA235+GF235+GK235+GP235</f>
        <v>30814901.400000002</v>
      </c>
      <c r="GV235" s="708">
        <f>FC235+FH235+FM235+FR235+FW235+GB235+GG235+GL235+GQ235</f>
        <v>30800000</v>
      </c>
      <c r="GW235" s="708">
        <f>FD235+FI235+FN235+FS235+FX235+GC235+GH235+GM235+GR235</f>
        <v>28541000</v>
      </c>
      <c r="GX235" s="708">
        <f>FE235+FJ235+FO235+FT235+FY235+GD235+GI235+GN235+GS235</f>
        <v>22161000</v>
      </c>
      <c r="GY235" s="709">
        <f>FF235+FK235+FP235+FU235+FZ235+GE235+GJ235+GO235+GT235</f>
        <v>0</v>
      </c>
      <c r="GZ235" s="710">
        <f>BM235+DE235+EW235+GU235</f>
        <v>117978281.40000001</v>
      </c>
    </row>
    <row r="236" spans="1:208" ht="24.75" customHeight="1" x14ac:dyDescent="0.2">
      <c r="A236" s="326"/>
      <c r="B236" s="326"/>
      <c r="C236" s="246">
        <v>48</v>
      </c>
      <c r="D236" s="247" t="s">
        <v>581</v>
      </c>
      <c r="E236" s="250"/>
      <c r="F236" s="250"/>
      <c r="G236" s="246"/>
      <c r="H236" s="246"/>
      <c r="I236" s="246"/>
      <c r="J236" s="246"/>
      <c r="K236" s="246"/>
      <c r="L236" s="246"/>
      <c r="M236" s="246"/>
      <c r="N236" s="246"/>
      <c r="O236" s="246"/>
      <c r="P236" s="246"/>
      <c r="Q236" s="246"/>
      <c r="R236" s="246"/>
      <c r="S236" s="246"/>
      <c r="T236" s="246"/>
      <c r="U236" s="246"/>
      <c r="V236" s="246"/>
      <c r="W236" s="246"/>
      <c r="X236" s="246"/>
      <c r="Y236" s="625"/>
      <c r="Z236" s="246"/>
      <c r="AA236" s="246"/>
      <c r="AB236" s="246"/>
      <c r="AC236" s="51">
        <f t="shared" ref="AC236:BL236" si="492">SUM(AC237)</f>
        <v>0</v>
      </c>
      <c r="AD236" s="51">
        <f t="shared" si="492"/>
        <v>0</v>
      </c>
      <c r="AE236" s="51">
        <f t="shared" si="492"/>
        <v>0</v>
      </c>
      <c r="AF236" s="51">
        <f t="shared" si="492"/>
        <v>0</v>
      </c>
      <c r="AG236" s="51">
        <f t="shared" si="492"/>
        <v>18861571816</v>
      </c>
      <c r="AH236" s="51">
        <f t="shared" si="492"/>
        <v>19133304428</v>
      </c>
      <c r="AI236" s="51">
        <f t="shared" si="492"/>
        <v>14490707066</v>
      </c>
      <c r="AJ236" s="51">
        <f t="shared" si="492"/>
        <v>14490707066</v>
      </c>
      <c r="AK236" s="51">
        <f t="shared" si="492"/>
        <v>0</v>
      </c>
      <c r="AL236" s="51">
        <f t="shared" si="492"/>
        <v>0</v>
      </c>
      <c r="AM236" s="51">
        <f t="shared" si="492"/>
        <v>0</v>
      </c>
      <c r="AN236" s="51">
        <f t="shared" si="492"/>
        <v>0</v>
      </c>
      <c r="AO236" s="51">
        <f t="shared" si="492"/>
        <v>0</v>
      </c>
      <c r="AP236" s="51">
        <f t="shared" si="492"/>
        <v>124458172</v>
      </c>
      <c r="AQ236" s="51">
        <f t="shared" si="492"/>
        <v>0</v>
      </c>
      <c r="AR236" s="51">
        <f t="shared" si="492"/>
        <v>0</v>
      </c>
      <c r="AS236" s="51">
        <f t="shared" si="492"/>
        <v>0</v>
      </c>
      <c r="AT236" s="51">
        <f t="shared" si="492"/>
        <v>0</v>
      </c>
      <c r="AU236" s="51">
        <f t="shared" si="492"/>
        <v>0</v>
      </c>
      <c r="AV236" s="51">
        <f t="shared" si="492"/>
        <v>0</v>
      </c>
      <c r="AW236" s="51">
        <f t="shared" si="492"/>
        <v>0</v>
      </c>
      <c r="AX236" s="51">
        <f t="shared" si="492"/>
        <v>0</v>
      </c>
      <c r="AY236" s="51">
        <f t="shared" si="492"/>
        <v>0</v>
      </c>
      <c r="AZ236" s="51">
        <f t="shared" si="492"/>
        <v>0</v>
      </c>
      <c r="BA236" s="51">
        <f t="shared" si="492"/>
        <v>0</v>
      </c>
      <c r="BB236" s="51">
        <f t="shared" si="492"/>
        <v>0</v>
      </c>
      <c r="BC236" s="51">
        <f t="shared" si="492"/>
        <v>0</v>
      </c>
      <c r="BD236" s="51">
        <f t="shared" si="492"/>
        <v>0</v>
      </c>
      <c r="BE236" s="51">
        <f t="shared" si="492"/>
        <v>0</v>
      </c>
      <c r="BF236" s="51">
        <f t="shared" si="492"/>
        <v>0</v>
      </c>
      <c r="BG236" s="51">
        <f t="shared" si="492"/>
        <v>0</v>
      </c>
      <c r="BH236" s="51">
        <f t="shared" si="492"/>
        <v>0</v>
      </c>
      <c r="BI236" s="51">
        <f t="shared" si="492"/>
        <v>0</v>
      </c>
      <c r="BJ236" s="51">
        <f t="shared" si="492"/>
        <v>0</v>
      </c>
      <c r="BK236" s="51">
        <f t="shared" si="492"/>
        <v>0</v>
      </c>
      <c r="BL236" s="51">
        <f t="shared" si="492"/>
        <v>0</v>
      </c>
      <c r="BM236" s="51">
        <f t="shared" ref="BM236:DX236" si="493">SUM(BM237)</f>
        <v>18861571816</v>
      </c>
      <c r="BN236" s="51">
        <f t="shared" si="493"/>
        <v>19257762600</v>
      </c>
      <c r="BO236" s="51">
        <f t="shared" si="493"/>
        <v>14490707066</v>
      </c>
      <c r="BP236" s="51">
        <f t="shared" si="493"/>
        <v>14490707066</v>
      </c>
      <c r="BQ236" s="51">
        <f t="shared" si="493"/>
        <v>0</v>
      </c>
      <c r="BR236" s="51">
        <f t="shared" si="493"/>
        <v>0</v>
      </c>
      <c r="BS236" s="51">
        <f t="shared" si="493"/>
        <v>0</v>
      </c>
      <c r="BT236" s="51">
        <f t="shared" si="493"/>
        <v>0</v>
      </c>
      <c r="BU236" s="51">
        <f t="shared" si="493"/>
        <v>14770928277.66</v>
      </c>
      <c r="BV236" s="51">
        <f t="shared" si="493"/>
        <v>96518485</v>
      </c>
      <c r="BW236" s="51">
        <f t="shared" si="493"/>
        <v>0</v>
      </c>
      <c r="BX236" s="51">
        <f t="shared" si="493"/>
        <v>0</v>
      </c>
      <c r="BY236" s="51">
        <f t="shared" si="493"/>
        <v>0</v>
      </c>
      <c r="BZ236" s="51">
        <f t="shared" si="493"/>
        <v>0</v>
      </c>
      <c r="CA236" s="51">
        <f t="shared" si="493"/>
        <v>15748078984</v>
      </c>
      <c r="CB236" s="51">
        <f t="shared" si="493"/>
        <v>15516775294.75</v>
      </c>
      <c r="CC236" s="51">
        <f t="shared" si="493"/>
        <v>15516775294.75</v>
      </c>
      <c r="CD236" s="51">
        <f t="shared" si="493"/>
        <v>0</v>
      </c>
      <c r="CE236" s="51">
        <f t="shared" si="493"/>
        <v>0</v>
      </c>
      <c r="CF236" s="51">
        <f t="shared" si="493"/>
        <v>0</v>
      </c>
      <c r="CG236" s="51">
        <f t="shared" si="493"/>
        <v>0</v>
      </c>
      <c r="CH236" s="51">
        <f t="shared" si="493"/>
        <v>0</v>
      </c>
      <c r="CI236" s="51">
        <f t="shared" si="493"/>
        <v>0</v>
      </c>
      <c r="CJ236" s="51">
        <f t="shared" si="493"/>
        <v>0</v>
      </c>
      <c r="CK236" s="51">
        <f t="shared" si="493"/>
        <v>0</v>
      </c>
      <c r="CL236" s="51">
        <f t="shared" si="493"/>
        <v>0</v>
      </c>
      <c r="CM236" s="51">
        <f t="shared" si="493"/>
        <v>0</v>
      </c>
      <c r="CN236" s="51">
        <f t="shared" si="493"/>
        <v>0</v>
      </c>
      <c r="CO236" s="51">
        <f t="shared" si="493"/>
        <v>0</v>
      </c>
      <c r="CP236" s="51">
        <f t="shared" si="493"/>
        <v>0</v>
      </c>
      <c r="CQ236" s="51">
        <f t="shared" si="493"/>
        <v>0</v>
      </c>
      <c r="CR236" s="51">
        <f t="shared" si="493"/>
        <v>0</v>
      </c>
      <c r="CS236" s="51">
        <f t="shared" si="493"/>
        <v>0</v>
      </c>
      <c r="CT236" s="51">
        <f t="shared" si="493"/>
        <v>0</v>
      </c>
      <c r="CU236" s="51">
        <f t="shared" si="493"/>
        <v>0</v>
      </c>
      <c r="CV236" s="51">
        <f t="shared" si="493"/>
        <v>0</v>
      </c>
      <c r="CW236" s="51">
        <f t="shared" si="493"/>
        <v>0</v>
      </c>
      <c r="CX236" s="51">
        <f t="shared" si="493"/>
        <v>0</v>
      </c>
      <c r="CY236" s="51">
        <f t="shared" si="493"/>
        <v>0</v>
      </c>
      <c r="CZ236" s="51">
        <f t="shared" si="493"/>
        <v>0</v>
      </c>
      <c r="DA236" s="51">
        <f t="shared" si="493"/>
        <v>0</v>
      </c>
      <c r="DB236" s="51">
        <f t="shared" si="493"/>
        <v>0</v>
      </c>
      <c r="DC236" s="51">
        <f t="shared" si="493"/>
        <v>0</v>
      </c>
      <c r="DD236" s="51">
        <f t="shared" si="493"/>
        <v>0</v>
      </c>
      <c r="DE236" s="51">
        <f t="shared" si="493"/>
        <v>14770928277.66</v>
      </c>
      <c r="DF236" s="51">
        <f t="shared" si="493"/>
        <v>15844597469</v>
      </c>
      <c r="DG236" s="51">
        <f t="shared" si="493"/>
        <v>15516775294.75</v>
      </c>
      <c r="DH236" s="51">
        <f t="shared" si="493"/>
        <v>15516775294.75</v>
      </c>
      <c r="DI236" s="51">
        <f t="shared" si="493"/>
        <v>0</v>
      </c>
      <c r="DJ236" s="51">
        <f t="shared" si="493"/>
        <v>0</v>
      </c>
      <c r="DK236" s="51">
        <f t="shared" si="493"/>
        <v>0</v>
      </c>
      <c r="DL236" s="51">
        <f t="shared" si="493"/>
        <v>0</v>
      </c>
      <c r="DM236" s="51">
        <f t="shared" si="493"/>
        <v>0</v>
      </c>
      <c r="DN236" s="51">
        <f t="shared" si="493"/>
        <v>15214056124.9298</v>
      </c>
      <c r="DO236" s="51">
        <f t="shared" si="493"/>
        <v>74566467</v>
      </c>
      <c r="DP236" s="51">
        <f t="shared" si="493"/>
        <v>0</v>
      </c>
      <c r="DQ236" s="51">
        <f t="shared" si="493"/>
        <v>0</v>
      </c>
      <c r="DR236" s="51">
        <f t="shared" si="493"/>
        <v>0</v>
      </c>
      <c r="DS236" s="51">
        <f t="shared" si="493"/>
        <v>0</v>
      </c>
      <c r="DT236" s="51">
        <f t="shared" si="493"/>
        <v>0</v>
      </c>
      <c r="DU236" s="51">
        <f t="shared" si="493"/>
        <v>0</v>
      </c>
      <c r="DV236" s="51">
        <f t="shared" si="493"/>
        <v>0</v>
      </c>
      <c r="DW236" s="51">
        <f t="shared" si="493"/>
        <v>0</v>
      </c>
      <c r="DX236" s="51">
        <f t="shared" si="493"/>
        <v>0</v>
      </c>
      <c r="DY236" s="51">
        <f t="shared" ref="DY236:EW236" si="494">SUM(DY237)</f>
        <v>20732291107</v>
      </c>
      <c r="DZ236" s="51">
        <f t="shared" si="494"/>
        <v>17765222415</v>
      </c>
      <c r="EA236" s="51">
        <f t="shared" si="494"/>
        <v>17765222415</v>
      </c>
      <c r="EB236" s="51">
        <f t="shared" si="494"/>
        <v>0</v>
      </c>
      <c r="EC236" s="51">
        <f t="shared" si="494"/>
        <v>0</v>
      </c>
      <c r="ED236" s="51">
        <f t="shared" si="494"/>
        <v>0</v>
      </c>
      <c r="EE236" s="51">
        <f t="shared" si="494"/>
        <v>0</v>
      </c>
      <c r="EF236" s="51">
        <f t="shared" si="494"/>
        <v>0</v>
      </c>
      <c r="EG236" s="51">
        <f t="shared" si="494"/>
        <v>0</v>
      </c>
      <c r="EH236" s="51">
        <f t="shared" si="494"/>
        <v>0</v>
      </c>
      <c r="EI236" s="51">
        <f t="shared" si="494"/>
        <v>0</v>
      </c>
      <c r="EJ236" s="51">
        <f t="shared" si="494"/>
        <v>0</v>
      </c>
      <c r="EK236" s="51">
        <f t="shared" si="494"/>
        <v>0</v>
      </c>
      <c r="EL236" s="51">
        <f t="shared" si="494"/>
        <v>0</v>
      </c>
      <c r="EM236" s="51">
        <f t="shared" si="494"/>
        <v>0</v>
      </c>
      <c r="EN236" s="51">
        <f t="shared" si="494"/>
        <v>0</v>
      </c>
      <c r="EO236" s="51">
        <f t="shared" si="494"/>
        <v>0</v>
      </c>
      <c r="EP236" s="51">
        <f t="shared" si="494"/>
        <v>0</v>
      </c>
      <c r="EQ236" s="51">
        <f t="shared" si="494"/>
        <v>0</v>
      </c>
      <c r="ER236" s="51">
        <f t="shared" si="494"/>
        <v>0</v>
      </c>
      <c r="ES236" s="51">
        <f t="shared" si="494"/>
        <v>0</v>
      </c>
      <c r="ET236" s="51">
        <f t="shared" si="494"/>
        <v>0</v>
      </c>
      <c r="EU236" s="51">
        <f t="shared" si="494"/>
        <v>0</v>
      </c>
      <c r="EV236" s="51">
        <f t="shared" si="494"/>
        <v>0</v>
      </c>
      <c r="EW236" s="51">
        <f t="shared" si="494"/>
        <v>15214056124.9298</v>
      </c>
      <c r="EX236" s="51">
        <f t="shared" ref="EX236:GZ236" si="495">SUM(EX237)</f>
        <v>20806857574</v>
      </c>
      <c r="EY236" s="51">
        <f t="shared" si="495"/>
        <v>17765222415</v>
      </c>
      <c r="EZ236" s="51">
        <f t="shared" si="495"/>
        <v>17765222415</v>
      </c>
      <c r="FA236" s="51">
        <f t="shared" si="495"/>
        <v>0</v>
      </c>
      <c r="FB236" s="51">
        <f t="shared" si="495"/>
        <v>0</v>
      </c>
      <c r="FC236" s="51">
        <f t="shared" si="495"/>
        <v>0</v>
      </c>
      <c r="FD236" s="51">
        <f t="shared" si="495"/>
        <v>0</v>
      </c>
      <c r="FE236" s="51">
        <f t="shared" si="495"/>
        <v>0</v>
      </c>
      <c r="FF236" s="51">
        <f t="shared" si="495"/>
        <v>0</v>
      </c>
      <c r="FG236" s="51">
        <f t="shared" si="495"/>
        <v>15670477808.267694</v>
      </c>
      <c r="FH236" s="51">
        <f t="shared" si="495"/>
        <v>78204383</v>
      </c>
      <c r="FI236" s="51">
        <f t="shared" si="495"/>
        <v>0</v>
      </c>
      <c r="FJ236" s="51">
        <f t="shared" si="495"/>
        <v>0</v>
      </c>
      <c r="FK236" s="51">
        <f t="shared" si="495"/>
        <v>0</v>
      </c>
      <c r="FL236" s="51">
        <f t="shared" si="495"/>
        <v>0</v>
      </c>
      <c r="FM236" s="51">
        <f t="shared" si="495"/>
        <v>0</v>
      </c>
      <c r="FN236" s="51">
        <f t="shared" si="495"/>
        <v>0</v>
      </c>
      <c r="FO236" s="51">
        <f t="shared" si="495"/>
        <v>0</v>
      </c>
      <c r="FP236" s="51">
        <f t="shared" si="495"/>
        <v>0</v>
      </c>
      <c r="FQ236" s="51">
        <f t="shared" si="495"/>
        <v>0</v>
      </c>
      <c r="FR236" s="51">
        <f t="shared" si="495"/>
        <v>21569879703</v>
      </c>
      <c r="FS236" s="51">
        <f t="shared" si="495"/>
        <v>7451557653</v>
      </c>
      <c r="FT236" s="51">
        <f t="shared" si="495"/>
        <v>7451557653</v>
      </c>
      <c r="FU236" s="51">
        <f t="shared" si="495"/>
        <v>0</v>
      </c>
      <c r="FV236" s="51">
        <f t="shared" si="495"/>
        <v>0</v>
      </c>
      <c r="FW236" s="51">
        <f t="shared" si="495"/>
        <v>0</v>
      </c>
      <c r="FX236" s="51">
        <f t="shared" si="495"/>
        <v>0</v>
      </c>
      <c r="FY236" s="51">
        <f t="shared" si="495"/>
        <v>0</v>
      </c>
      <c r="FZ236" s="51">
        <f t="shared" si="495"/>
        <v>0</v>
      </c>
      <c r="GA236" s="51">
        <f t="shared" si="495"/>
        <v>0</v>
      </c>
      <c r="GB236" s="51">
        <f t="shared" si="495"/>
        <v>0</v>
      </c>
      <c r="GC236" s="51">
        <f t="shared" si="495"/>
        <v>0</v>
      </c>
      <c r="GD236" s="51">
        <f t="shared" si="495"/>
        <v>0</v>
      </c>
      <c r="GE236" s="51">
        <f t="shared" si="495"/>
        <v>0</v>
      </c>
      <c r="GF236" s="51">
        <f t="shared" si="495"/>
        <v>0</v>
      </c>
      <c r="GG236" s="51">
        <f t="shared" si="495"/>
        <v>0</v>
      </c>
      <c r="GH236" s="51">
        <f t="shared" si="495"/>
        <v>0</v>
      </c>
      <c r="GI236" s="51">
        <f t="shared" si="495"/>
        <v>0</v>
      </c>
      <c r="GJ236" s="51">
        <f t="shared" si="495"/>
        <v>0</v>
      </c>
      <c r="GK236" s="51">
        <f t="shared" si="495"/>
        <v>0</v>
      </c>
      <c r="GL236" s="51">
        <f t="shared" si="495"/>
        <v>0</v>
      </c>
      <c r="GM236" s="51">
        <f t="shared" si="495"/>
        <v>0</v>
      </c>
      <c r="GN236" s="51">
        <f t="shared" si="495"/>
        <v>0</v>
      </c>
      <c r="GO236" s="51">
        <f t="shared" si="495"/>
        <v>0</v>
      </c>
      <c r="GP236" s="51">
        <f t="shared" si="495"/>
        <v>0</v>
      </c>
      <c r="GQ236" s="51">
        <f t="shared" si="495"/>
        <v>0</v>
      </c>
      <c r="GR236" s="51">
        <f t="shared" si="495"/>
        <v>0</v>
      </c>
      <c r="GS236" s="51">
        <f t="shared" si="495"/>
        <v>0</v>
      </c>
      <c r="GT236" s="51">
        <f t="shared" si="495"/>
        <v>0</v>
      </c>
      <c r="GU236" s="51">
        <f t="shared" si="495"/>
        <v>15670477808.267694</v>
      </c>
      <c r="GV236" s="51">
        <f t="shared" si="495"/>
        <v>21648084086</v>
      </c>
      <c r="GW236" s="51">
        <f t="shared" si="495"/>
        <v>7451557653</v>
      </c>
      <c r="GX236" s="51">
        <f t="shared" si="495"/>
        <v>7451557653</v>
      </c>
      <c r="GY236" s="51">
        <f t="shared" si="495"/>
        <v>0</v>
      </c>
      <c r="GZ236" s="51">
        <f t="shared" si="495"/>
        <v>64517034026.857491</v>
      </c>
    </row>
    <row r="237" spans="1:208" s="711" customFormat="1" ht="93.75" customHeight="1" x14ac:dyDescent="0.2">
      <c r="A237" s="703"/>
      <c r="B237" s="703"/>
      <c r="C237" s="822">
        <v>27</v>
      </c>
      <c r="D237" s="1005" t="s">
        <v>577</v>
      </c>
      <c r="E237" s="621" t="s">
        <v>578</v>
      </c>
      <c r="F237" s="1006">
        <v>0.92</v>
      </c>
      <c r="G237" s="682">
        <v>164</v>
      </c>
      <c r="H237" s="676" t="s">
        <v>582</v>
      </c>
      <c r="I237" s="898" t="s">
        <v>583</v>
      </c>
      <c r="J237" s="902" t="s">
        <v>444</v>
      </c>
      <c r="K237" s="694">
        <v>2</v>
      </c>
      <c r="L237" s="696" t="s">
        <v>58</v>
      </c>
      <c r="M237" s="682">
        <v>12</v>
      </c>
      <c r="N237" s="682">
        <v>12</v>
      </c>
      <c r="O237" s="690">
        <v>12</v>
      </c>
      <c r="P237" s="695">
        <v>12</v>
      </c>
      <c r="Q237" s="690">
        <v>12</v>
      </c>
      <c r="R237" s="814"/>
      <c r="S237" s="695">
        <v>12</v>
      </c>
      <c r="T237" s="690">
        <v>12</v>
      </c>
      <c r="U237" s="690"/>
      <c r="V237" s="695">
        <v>12</v>
      </c>
      <c r="W237" s="690">
        <v>12</v>
      </c>
      <c r="X237" s="690"/>
      <c r="Y237" s="695">
        <v>5</v>
      </c>
      <c r="Z237" s="957">
        <f>BM237/BM236</f>
        <v>1</v>
      </c>
      <c r="AA237" s="682">
        <v>3</v>
      </c>
      <c r="AB237" s="896" t="s">
        <v>455</v>
      </c>
      <c r="AC237" s="958">
        <v>0</v>
      </c>
      <c r="AD237" s="831"/>
      <c r="AE237" s="818"/>
      <c r="AF237" s="818"/>
      <c r="AG237" s="830">
        <v>18861571816</v>
      </c>
      <c r="AH237" s="831">
        <v>19133304428</v>
      </c>
      <c r="AI237" s="831">
        <v>14490707066</v>
      </c>
      <c r="AJ237" s="831">
        <v>14490707066</v>
      </c>
      <c r="AK237" s="958">
        <v>0</v>
      </c>
      <c r="AL237" s="831"/>
      <c r="AM237" s="831"/>
      <c r="AN237" s="831"/>
      <c r="AO237" s="830">
        <v>0</v>
      </c>
      <c r="AP237" s="831">
        <v>124458172</v>
      </c>
      <c r="AQ237" s="831"/>
      <c r="AR237" s="831"/>
      <c r="AS237" s="958">
        <v>0</v>
      </c>
      <c r="AT237" s="831"/>
      <c r="AU237" s="818"/>
      <c r="AV237" s="818"/>
      <c r="AW237" s="958">
        <v>0</v>
      </c>
      <c r="AX237" s="831"/>
      <c r="AY237" s="831"/>
      <c r="AZ237" s="831"/>
      <c r="BA237" s="958">
        <v>0</v>
      </c>
      <c r="BB237" s="831"/>
      <c r="BC237" s="831"/>
      <c r="BD237" s="831"/>
      <c r="BE237" s="958">
        <v>0</v>
      </c>
      <c r="BF237" s="831"/>
      <c r="BG237" s="818"/>
      <c r="BH237" s="818"/>
      <c r="BI237" s="958">
        <v>0</v>
      </c>
      <c r="BJ237" s="831"/>
      <c r="BK237" s="831"/>
      <c r="BL237" s="831"/>
      <c r="BM237" s="817">
        <f>+AC237+AG237+AK237+AO237+AS237+AW237+BA237+BE237+BI237</f>
        <v>18861571816</v>
      </c>
      <c r="BN237" s="818">
        <f>AD237+AH237+AL237+AP237+AT237+AX237+BB237+BF237+BJ237</f>
        <v>19257762600</v>
      </c>
      <c r="BO237" s="818">
        <f>AE237+AI237+AM237+AQ237+AU237+AY237+BC237+BG237+BK237</f>
        <v>14490707066</v>
      </c>
      <c r="BP237" s="818">
        <f>AF237+AJ237+AN237+AR237+AV237+AZ237+BD237+BH237+BL237</f>
        <v>14490707066</v>
      </c>
      <c r="BQ237" s="667"/>
      <c r="BR237" s="667"/>
      <c r="BS237" s="667"/>
      <c r="BT237" s="667"/>
      <c r="BU237" s="706">
        <v>14770928277.66</v>
      </c>
      <c r="BV237" s="667">
        <v>96518485</v>
      </c>
      <c r="BW237" s="667"/>
      <c r="BX237" s="667"/>
      <c r="BY237" s="667"/>
      <c r="BZ237" s="667"/>
      <c r="CA237" s="667">
        <f>15844597469-96518485</f>
        <v>15748078984</v>
      </c>
      <c r="CB237" s="667">
        <v>15516775294.75</v>
      </c>
      <c r="CC237" s="667">
        <v>15516775294.75</v>
      </c>
      <c r="CD237" s="667"/>
      <c r="CE237" s="667"/>
      <c r="CF237" s="667"/>
      <c r="CG237" s="667"/>
      <c r="CH237" s="667"/>
      <c r="CI237" s="667"/>
      <c r="CJ237" s="667"/>
      <c r="CK237" s="667"/>
      <c r="CL237" s="667"/>
      <c r="CM237" s="667"/>
      <c r="CN237" s="667"/>
      <c r="CO237" s="667"/>
      <c r="CP237" s="667"/>
      <c r="CQ237" s="667"/>
      <c r="CR237" s="667"/>
      <c r="CS237" s="667"/>
      <c r="CT237" s="667"/>
      <c r="CU237" s="667"/>
      <c r="CV237" s="667"/>
      <c r="CW237" s="667"/>
      <c r="CX237" s="667"/>
      <c r="CY237" s="667"/>
      <c r="CZ237" s="667"/>
      <c r="DA237" s="667"/>
      <c r="DB237" s="667"/>
      <c r="DC237" s="667"/>
      <c r="DD237" s="667"/>
      <c r="DE237" s="708">
        <f>BQ237+BU237+BZ237+CE237+CI237+CM237+CQ237+CV237+DA237</f>
        <v>14770928277.66</v>
      </c>
      <c r="DF237" s="708">
        <f>BR237+BV237+CA237+CF237+CJ237+CN237+CR237+CW237+DB237</f>
        <v>15844597469</v>
      </c>
      <c r="DG237" s="708">
        <f>BS237+BW237+CB237+CG237+CK237+CO237+CS237+CX237+DC237</f>
        <v>15516775294.75</v>
      </c>
      <c r="DH237" s="708">
        <f>BT237+BX237+CC237+CH237+CL237+CP237+CT237+CY237+DD237</f>
        <v>15516775294.75</v>
      </c>
      <c r="DI237" s="708"/>
      <c r="DJ237" s="706"/>
      <c r="DK237" s="706"/>
      <c r="DL237" s="706"/>
      <c r="DM237" s="706"/>
      <c r="DN237" s="706">
        <v>15214056124.9298</v>
      </c>
      <c r="DO237" s="706">
        <v>74566467</v>
      </c>
      <c r="DP237" s="706"/>
      <c r="DQ237" s="706"/>
      <c r="DR237" s="706"/>
      <c r="DS237" s="706"/>
      <c r="DT237" s="706"/>
      <c r="DU237" s="706"/>
      <c r="DV237" s="706"/>
      <c r="DW237" s="706"/>
      <c r="DX237" s="706"/>
      <c r="DY237" s="706">
        <v>20732291107</v>
      </c>
      <c r="DZ237" s="706">
        <v>17765222415</v>
      </c>
      <c r="EA237" s="706">
        <v>17765222415</v>
      </c>
      <c r="EB237" s="706"/>
      <c r="EC237" s="706"/>
      <c r="ED237" s="706"/>
      <c r="EE237" s="706"/>
      <c r="EF237" s="706"/>
      <c r="EG237" s="706"/>
      <c r="EH237" s="706"/>
      <c r="EI237" s="706"/>
      <c r="EJ237" s="706"/>
      <c r="EK237" s="706"/>
      <c r="EL237" s="706"/>
      <c r="EM237" s="706"/>
      <c r="EN237" s="706"/>
      <c r="EO237" s="706"/>
      <c r="EP237" s="706"/>
      <c r="EQ237" s="706"/>
      <c r="ER237" s="706"/>
      <c r="ES237" s="706"/>
      <c r="ET237" s="667"/>
      <c r="EU237" s="667"/>
      <c r="EV237" s="667"/>
      <c r="EW237" s="708">
        <f>DJ237+DN237+DS237+DX237+EB237+EF237+EJ237+EN237+ES237</f>
        <v>15214056124.9298</v>
      </c>
      <c r="EX237" s="819">
        <f>DK237+DO237+DT237+DY237+EC237+EG237+EK237+EO237+ET237</f>
        <v>20806857574</v>
      </c>
      <c r="EY237" s="819">
        <f>DL237+DP237+DU237+DZ237+ED237+EH237+EL237+EP237+EU237</f>
        <v>17765222415</v>
      </c>
      <c r="EZ237" s="819">
        <f>DM237+DQ237+DV237+EA237+EE237+EI237+EM237+EQ237+EV237</f>
        <v>17765222415</v>
      </c>
      <c r="FA237" s="820"/>
      <c r="FB237" s="667"/>
      <c r="FC237" s="706"/>
      <c r="FD237" s="706"/>
      <c r="FE237" s="706"/>
      <c r="FF237" s="707"/>
      <c r="FG237" s="667">
        <v>15670477808.267694</v>
      </c>
      <c r="FH237" s="689">
        <v>78204383</v>
      </c>
      <c r="FI237" s="689"/>
      <c r="FJ237" s="689"/>
      <c r="FK237" s="689"/>
      <c r="FL237" s="667"/>
      <c r="FM237" s="667"/>
      <c r="FN237" s="667"/>
      <c r="FO237" s="667"/>
      <c r="FP237" s="667"/>
      <c r="FQ237" s="667"/>
      <c r="FR237" s="689">
        <f>21389867264+180012439</f>
        <v>21569879703</v>
      </c>
      <c r="FS237" s="689">
        <v>7451557653</v>
      </c>
      <c r="FT237" s="689">
        <v>7451557653</v>
      </c>
      <c r="FU237" s="689"/>
      <c r="FV237" s="667"/>
      <c r="FW237" s="667"/>
      <c r="FX237" s="667"/>
      <c r="FY237" s="667"/>
      <c r="FZ237" s="667"/>
      <c r="GA237" s="667"/>
      <c r="GB237" s="667"/>
      <c r="GC237" s="667"/>
      <c r="GD237" s="667"/>
      <c r="GE237" s="667"/>
      <c r="GF237" s="667"/>
      <c r="GG237" s="667"/>
      <c r="GH237" s="667"/>
      <c r="GI237" s="667"/>
      <c r="GJ237" s="667"/>
      <c r="GK237" s="667"/>
      <c r="GL237" s="667"/>
      <c r="GM237" s="667"/>
      <c r="GN237" s="667"/>
      <c r="GO237" s="667"/>
      <c r="GP237" s="667"/>
      <c r="GQ237" s="667"/>
      <c r="GR237" s="667"/>
      <c r="GS237" s="667"/>
      <c r="GT237" s="667"/>
      <c r="GU237" s="708">
        <f>FB237+FG237+FL237+FQ237+FV237+GA237+GF237+GK237+GP237</f>
        <v>15670477808.267694</v>
      </c>
      <c r="GV237" s="708">
        <f>FC237+FH237+FM237+FR237+FW237+GB237+GG237+GL237+GQ237</f>
        <v>21648084086</v>
      </c>
      <c r="GW237" s="708">
        <f>FD237+FI237+FN237+FS237+FX237+GC237+GH237+GM237+GR237</f>
        <v>7451557653</v>
      </c>
      <c r="GX237" s="708">
        <f>FE237+FJ237+FO237+FT237+FY237+GD237+GI237+GN237+GS237</f>
        <v>7451557653</v>
      </c>
      <c r="GY237" s="709">
        <f>FF237+FK237+FP237+FU237+FZ237+GE237+GJ237+GO237+GT237</f>
        <v>0</v>
      </c>
      <c r="GZ237" s="710">
        <f>BM237+DE237+EW237+GU237</f>
        <v>64517034026.857491</v>
      </c>
    </row>
    <row r="238" spans="1:208" ht="24.75" customHeight="1" x14ac:dyDescent="0.2">
      <c r="A238" s="326"/>
      <c r="B238" s="326"/>
      <c r="C238" s="246">
        <v>49</v>
      </c>
      <c r="D238" s="247" t="s">
        <v>584</v>
      </c>
      <c r="E238" s="250"/>
      <c r="F238" s="250"/>
      <c r="G238" s="246"/>
      <c r="H238" s="246"/>
      <c r="I238" s="246"/>
      <c r="J238" s="246"/>
      <c r="K238" s="246"/>
      <c r="L238" s="246"/>
      <c r="M238" s="246"/>
      <c r="N238" s="246"/>
      <c r="O238" s="246"/>
      <c r="P238" s="246"/>
      <c r="Q238" s="246"/>
      <c r="R238" s="246"/>
      <c r="S238" s="246"/>
      <c r="T238" s="246"/>
      <c r="U238" s="246"/>
      <c r="V238" s="246"/>
      <c r="W238" s="246"/>
      <c r="X238" s="246"/>
      <c r="Y238" s="625"/>
      <c r="Z238" s="246"/>
      <c r="AA238" s="246"/>
      <c r="AB238" s="246"/>
      <c r="AC238" s="51">
        <f t="shared" ref="AC238:BL238" si="496">SUM(AC239)</f>
        <v>0</v>
      </c>
      <c r="AD238" s="51">
        <f t="shared" si="496"/>
        <v>0</v>
      </c>
      <c r="AE238" s="51">
        <f t="shared" si="496"/>
        <v>0</v>
      </c>
      <c r="AF238" s="51">
        <f t="shared" si="496"/>
        <v>0</v>
      </c>
      <c r="AG238" s="51">
        <f t="shared" si="496"/>
        <v>20304000</v>
      </c>
      <c r="AH238" s="51">
        <f t="shared" si="496"/>
        <v>20304000</v>
      </c>
      <c r="AI238" s="51">
        <f t="shared" si="496"/>
        <v>9900000</v>
      </c>
      <c r="AJ238" s="51">
        <f t="shared" si="496"/>
        <v>9900000</v>
      </c>
      <c r="AK238" s="51">
        <f t="shared" si="496"/>
        <v>0</v>
      </c>
      <c r="AL238" s="51">
        <f t="shared" si="496"/>
        <v>0</v>
      </c>
      <c r="AM238" s="51">
        <f t="shared" si="496"/>
        <v>0</v>
      </c>
      <c r="AN238" s="51">
        <f t="shared" si="496"/>
        <v>0</v>
      </c>
      <c r="AO238" s="51">
        <f t="shared" si="496"/>
        <v>0</v>
      </c>
      <c r="AP238" s="51">
        <f t="shared" si="496"/>
        <v>0</v>
      </c>
      <c r="AQ238" s="51">
        <f t="shared" si="496"/>
        <v>0</v>
      </c>
      <c r="AR238" s="51">
        <f t="shared" si="496"/>
        <v>0</v>
      </c>
      <c r="AS238" s="51">
        <f t="shared" si="496"/>
        <v>0</v>
      </c>
      <c r="AT238" s="51">
        <f t="shared" si="496"/>
        <v>0</v>
      </c>
      <c r="AU238" s="51">
        <f t="shared" si="496"/>
        <v>0</v>
      </c>
      <c r="AV238" s="51">
        <f t="shared" si="496"/>
        <v>0</v>
      </c>
      <c r="AW238" s="51">
        <f t="shared" si="496"/>
        <v>0</v>
      </c>
      <c r="AX238" s="51">
        <f t="shared" si="496"/>
        <v>0</v>
      </c>
      <c r="AY238" s="51">
        <f t="shared" si="496"/>
        <v>0</v>
      </c>
      <c r="AZ238" s="51">
        <f t="shared" si="496"/>
        <v>0</v>
      </c>
      <c r="BA238" s="51">
        <f t="shared" si="496"/>
        <v>0</v>
      </c>
      <c r="BB238" s="51">
        <f t="shared" si="496"/>
        <v>0</v>
      </c>
      <c r="BC238" s="51">
        <f t="shared" si="496"/>
        <v>0</v>
      </c>
      <c r="BD238" s="51">
        <f t="shared" si="496"/>
        <v>0</v>
      </c>
      <c r="BE238" s="51">
        <f t="shared" si="496"/>
        <v>0</v>
      </c>
      <c r="BF238" s="51">
        <f t="shared" si="496"/>
        <v>0</v>
      </c>
      <c r="BG238" s="51">
        <f t="shared" si="496"/>
        <v>0</v>
      </c>
      <c r="BH238" s="51">
        <f t="shared" si="496"/>
        <v>0</v>
      </c>
      <c r="BI238" s="51">
        <f t="shared" si="496"/>
        <v>0</v>
      </c>
      <c r="BJ238" s="51">
        <f t="shared" si="496"/>
        <v>0</v>
      </c>
      <c r="BK238" s="51">
        <f t="shared" si="496"/>
        <v>0</v>
      </c>
      <c r="BL238" s="51">
        <f t="shared" si="496"/>
        <v>0</v>
      </c>
      <c r="BM238" s="51">
        <f t="shared" ref="BM238:DX238" si="497">SUM(BM239)</f>
        <v>20304000</v>
      </c>
      <c r="BN238" s="51">
        <f t="shared" si="497"/>
        <v>20304000</v>
      </c>
      <c r="BO238" s="51">
        <f t="shared" si="497"/>
        <v>9900000</v>
      </c>
      <c r="BP238" s="51">
        <f t="shared" si="497"/>
        <v>9900000</v>
      </c>
      <c r="BQ238" s="51">
        <f t="shared" si="497"/>
        <v>0</v>
      </c>
      <c r="BR238" s="51">
        <f t="shared" si="497"/>
        <v>0</v>
      </c>
      <c r="BS238" s="51">
        <f t="shared" si="497"/>
        <v>0</v>
      </c>
      <c r="BT238" s="51">
        <f t="shared" si="497"/>
        <v>0</v>
      </c>
      <c r="BU238" s="51">
        <f t="shared" si="497"/>
        <v>20913120</v>
      </c>
      <c r="BV238" s="51">
        <f t="shared" si="497"/>
        <v>0</v>
      </c>
      <c r="BW238" s="51">
        <f t="shared" si="497"/>
        <v>0</v>
      </c>
      <c r="BX238" s="51">
        <f t="shared" si="497"/>
        <v>0</v>
      </c>
      <c r="BY238" s="51">
        <f t="shared" si="497"/>
        <v>0</v>
      </c>
      <c r="BZ238" s="51">
        <f t="shared" si="497"/>
        <v>0</v>
      </c>
      <c r="CA238" s="51">
        <f t="shared" si="497"/>
        <v>20913120</v>
      </c>
      <c r="CB238" s="51">
        <f t="shared" si="497"/>
        <v>0</v>
      </c>
      <c r="CC238" s="51">
        <f t="shared" si="497"/>
        <v>0</v>
      </c>
      <c r="CD238" s="51">
        <f t="shared" si="497"/>
        <v>0</v>
      </c>
      <c r="CE238" s="51">
        <f t="shared" si="497"/>
        <v>0</v>
      </c>
      <c r="CF238" s="51">
        <f t="shared" si="497"/>
        <v>0</v>
      </c>
      <c r="CG238" s="51">
        <f t="shared" si="497"/>
        <v>0</v>
      </c>
      <c r="CH238" s="51">
        <f t="shared" si="497"/>
        <v>0</v>
      </c>
      <c r="CI238" s="51">
        <f t="shared" si="497"/>
        <v>0</v>
      </c>
      <c r="CJ238" s="51">
        <f t="shared" si="497"/>
        <v>0</v>
      </c>
      <c r="CK238" s="51">
        <f t="shared" si="497"/>
        <v>0</v>
      </c>
      <c r="CL238" s="51">
        <f t="shared" si="497"/>
        <v>0</v>
      </c>
      <c r="CM238" s="51">
        <f t="shared" si="497"/>
        <v>0</v>
      </c>
      <c r="CN238" s="51">
        <f t="shared" si="497"/>
        <v>0</v>
      </c>
      <c r="CO238" s="51">
        <f t="shared" si="497"/>
        <v>0</v>
      </c>
      <c r="CP238" s="51">
        <f t="shared" si="497"/>
        <v>0</v>
      </c>
      <c r="CQ238" s="51">
        <f t="shared" si="497"/>
        <v>0</v>
      </c>
      <c r="CR238" s="51">
        <f t="shared" si="497"/>
        <v>0</v>
      </c>
      <c r="CS238" s="51">
        <f t="shared" si="497"/>
        <v>0</v>
      </c>
      <c r="CT238" s="51">
        <f t="shared" si="497"/>
        <v>0</v>
      </c>
      <c r="CU238" s="51">
        <f t="shared" si="497"/>
        <v>0</v>
      </c>
      <c r="CV238" s="51">
        <f t="shared" si="497"/>
        <v>0</v>
      </c>
      <c r="CW238" s="51">
        <f t="shared" si="497"/>
        <v>0</v>
      </c>
      <c r="CX238" s="51">
        <f t="shared" si="497"/>
        <v>0</v>
      </c>
      <c r="CY238" s="51">
        <f t="shared" si="497"/>
        <v>0</v>
      </c>
      <c r="CZ238" s="51">
        <f t="shared" si="497"/>
        <v>0</v>
      </c>
      <c r="DA238" s="51">
        <f t="shared" si="497"/>
        <v>0</v>
      </c>
      <c r="DB238" s="51">
        <f t="shared" si="497"/>
        <v>0</v>
      </c>
      <c r="DC238" s="51">
        <f t="shared" si="497"/>
        <v>0</v>
      </c>
      <c r="DD238" s="51">
        <f t="shared" si="497"/>
        <v>0</v>
      </c>
      <c r="DE238" s="51">
        <f t="shared" si="497"/>
        <v>20913120</v>
      </c>
      <c r="DF238" s="51">
        <f t="shared" si="497"/>
        <v>20913120</v>
      </c>
      <c r="DG238" s="51">
        <f t="shared" si="497"/>
        <v>0</v>
      </c>
      <c r="DH238" s="51">
        <f t="shared" si="497"/>
        <v>0</v>
      </c>
      <c r="DI238" s="51">
        <f t="shared" si="497"/>
        <v>0</v>
      </c>
      <c r="DJ238" s="51">
        <f t="shared" si="497"/>
        <v>0</v>
      </c>
      <c r="DK238" s="51">
        <f t="shared" si="497"/>
        <v>0</v>
      </c>
      <c r="DL238" s="51">
        <f t="shared" si="497"/>
        <v>0</v>
      </c>
      <c r="DM238" s="51">
        <f t="shared" si="497"/>
        <v>0</v>
      </c>
      <c r="DN238" s="51">
        <f t="shared" si="497"/>
        <v>21540513.600000001</v>
      </c>
      <c r="DO238" s="51">
        <f t="shared" si="497"/>
        <v>0</v>
      </c>
      <c r="DP238" s="51">
        <f t="shared" si="497"/>
        <v>0</v>
      </c>
      <c r="DQ238" s="51">
        <f t="shared" si="497"/>
        <v>0</v>
      </c>
      <c r="DR238" s="51">
        <f t="shared" si="497"/>
        <v>0</v>
      </c>
      <c r="DS238" s="51">
        <f t="shared" si="497"/>
        <v>0</v>
      </c>
      <c r="DT238" s="51">
        <f t="shared" si="497"/>
        <v>0</v>
      </c>
      <c r="DU238" s="51">
        <f t="shared" si="497"/>
        <v>0</v>
      </c>
      <c r="DV238" s="51">
        <f t="shared" si="497"/>
        <v>0</v>
      </c>
      <c r="DW238" s="51">
        <f t="shared" si="497"/>
        <v>0</v>
      </c>
      <c r="DX238" s="51">
        <f t="shared" si="497"/>
        <v>0</v>
      </c>
      <c r="DY238" s="51">
        <f t="shared" ref="DY238:EW238" si="498">SUM(DY239)</f>
        <v>20913120</v>
      </c>
      <c r="DZ238" s="51">
        <f t="shared" si="498"/>
        <v>12588000</v>
      </c>
      <c r="EA238" s="51">
        <f t="shared" si="498"/>
        <v>12588000</v>
      </c>
      <c r="EB238" s="51">
        <f t="shared" si="498"/>
        <v>0</v>
      </c>
      <c r="EC238" s="51">
        <f t="shared" si="498"/>
        <v>0</v>
      </c>
      <c r="ED238" s="51">
        <f t="shared" si="498"/>
        <v>0</v>
      </c>
      <c r="EE238" s="51">
        <f t="shared" si="498"/>
        <v>0</v>
      </c>
      <c r="EF238" s="51">
        <f t="shared" si="498"/>
        <v>0</v>
      </c>
      <c r="EG238" s="51">
        <f t="shared" si="498"/>
        <v>0</v>
      </c>
      <c r="EH238" s="51">
        <f t="shared" si="498"/>
        <v>0</v>
      </c>
      <c r="EI238" s="51">
        <f t="shared" si="498"/>
        <v>0</v>
      </c>
      <c r="EJ238" s="51">
        <f t="shared" si="498"/>
        <v>0</v>
      </c>
      <c r="EK238" s="51">
        <f t="shared" si="498"/>
        <v>0</v>
      </c>
      <c r="EL238" s="51">
        <f t="shared" si="498"/>
        <v>0</v>
      </c>
      <c r="EM238" s="51">
        <f t="shared" si="498"/>
        <v>0</v>
      </c>
      <c r="EN238" s="51">
        <f t="shared" si="498"/>
        <v>0</v>
      </c>
      <c r="EO238" s="51">
        <f t="shared" si="498"/>
        <v>0</v>
      </c>
      <c r="EP238" s="51">
        <f t="shared" si="498"/>
        <v>0</v>
      </c>
      <c r="EQ238" s="51">
        <f t="shared" si="498"/>
        <v>0</v>
      </c>
      <c r="ER238" s="51">
        <f t="shared" si="498"/>
        <v>0</v>
      </c>
      <c r="ES238" s="51">
        <f t="shared" si="498"/>
        <v>0</v>
      </c>
      <c r="ET238" s="51">
        <f t="shared" si="498"/>
        <v>0</v>
      </c>
      <c r="EU238" s="51">
        <f t="shared" si="498"/>
        <v>0</v>
      </c>
      <c r="EV238" s="51">
        <f t="shared" si="498"/>
        <v>0</v>
      </c>
      <c r="EW238" s="51">
        <f t="shared" si="498"/>
        <v>21540513.600000001</v>
      </c>
      <c r="EX238" s="51">
        <f t="shared" ref="EX238:GZ238" si="499">SUM(EX239)</f>
        <v>20913120</v>
      </c>
      <c r="EY238" s="51">
        <f t="shared" si="499"/>
        <v>12588000</v>
      </c>
      <c r="EZ238" s="51">
        <f t="shared" si="499"/>
        <v>12588000</v>
      </c>
      <c r="FA238" s="51">
        <f t="shared" si="499"/>
        <v>0</v>
      </c>
      <c r="FB238" s="51">
        <f t="shared" si="499"/>
        <v>0</v>
      </c>
      <c r="FC238" s="51">
        <f t="shared" si="499"/>
        <v>0</v>
      </c>
      <c r="FD238" s="51">
        <f t="shared" si="499"/>
        <v>0</v>
      </c>
      <c r="FE238" s="51">
        <f t="shared" si="499"/>
        <v>0</v>
      </c>
      <c r="FF238" s="51">
        <f t="shared" si="499"/>
        <v>0</v>
      </c>
      <c r="FG238" s="51">
        <f t="shared" si="499"/>
        <v>22186729.008000001</v>
      </c>
      <c r="FH238" s="51">
        <f t="shared" si="499"/>
        <v>52000000</v>
      </c>
      <c r="FI238" s="51">
        <f t="shared" si="499"/>
        <v>0</v>
      </c>
      <c r="FJ238" s="51">
        <f t="shared" si="499"/>
        <v>0</v>
      </c>
      <c r="FK238" s="51">
        <f t="shared" si="499"/>
        <v>0</v>
      </c>
      <c r="FL238" s="51">
        <f t="shared" si="499"/>
        <v>0</v>
      </c>
      <c r="FM238" s="51">
        <f t="shared" si="499"/>
        <v>21000000</v>
      </c>
      <c r="FN238" s="51">
        <f t="shared" si="499"/>
        <v>20985000</v>
      </c>
      <c r="FO238" s="51">
        <f t="shared" si="499"/>
        <v>20985000</v>
      </c>
      <c r="FP238" s="51">
        <f t="shared" si="499"/>
        <v>0</v>
      </c>
      <c r="FQ238" s="51">
        <f t="shared" si="499"/>
        <v>0</v>
      </c>
      <c r="FR238" s="51">
        <f t="shared" si="499"/>
        <v>0</v>
      </c>
      <c r="FS238" s="51">
        <f t="shared" si="499"/>
        <v>0</v>
      </c>
      <c r="FT238" s="51">
        <f t="shared" si="499"/>
        <v>0</v>
      </c>
      <c r="FU238" s="51">
        <f t="shared" si="499"/>
        <v>0</v>
      </c>
      <c r="FV238" s="51">
        <f t="shared" si="499"/>
        <v>0</v>
      </c>
      <c r="FW238" s="51">
        <f t="shared" si="499"/>
        <v>0</v>
      </c>
      <c r="FX238" s="51">
        <f t="shared" si="499"/>
        <v>0</v>
      </c>
      <c r="FY238" s="51">
        <f t="shared" si="499"/>
        <v>0</v>
      </c>
      <c r="FZ238" s="51">
        <f t="shared" si="499"/>
        <v>0</v>
      </c>
      <c r="GA238" s="51">
        <f t="shared" si="499"/>
        <v>0</v>
      </c>
      <c r="GB238" s="51">
        <f t="shared" si="499"/>
        <v>0</v>
      </c>
      <c r="GC238" s="51">
        <f t="shared" si="499"/>
        <v>0</v>
      </c>
      <c r="GD238" s="51">
        <f t="shared" si="499"/>
        <v>0</v>
      </c>
      <c r="GE238" s="51">
        <f t="shared" si="499"/>
        <v>0</v>
      </c>
      <c r="GF238" s="51">
        <f t="shared" si="499"/>
        <v>0</v>
      </c>
      <c r="GG238" s="51">
        <f t="shared" si="499"/>
        <v>0</v>
      </c>
      <c r="GH238" s="51">
        <f t="shared" si="499"/>
        <v>0</v>
      </c>
      <c r="GI238" s="51">
        <f t="shared" si="499"/>
        <v>0</v>
      </c>
      <c r="GJ238" s="51">
        <f t="shared" si="499"/>
        <v>0</v>
      </c>
      <c r="GK238" s="51">
        <f t="shared" si="499"/>
        <v>0</v>
      </c>
      <c r="GL238" s="51">
        <f t="shared" si="499"/>
        <v>0</v>
      </c>
      <c r="GM238" s="51">
        <f t="shared" si="499"/>
        <v>0</v>
      </c>
      <c r="GN238" s="51">
        <f t="shared" si="499"/>
        <v>0</v>
      </c>
      <c r="GO238" s="51">
        <f t="shared" si="499"/>
        <v>0</v>
      </c>
      <c r="GP238" s="51">
        <f t="shared" si="499"/>
        <v>0</v>
      </c>
      <c r="GQ238" s="51">
        <f t="shared" si="499"/>
        <v>0</v>
      </c>
      <c r="GR238" s="51">
        <f t="shared" si="499"/>
        <v>0</v>
      </c>
      <c r="GS238" s="51">
        <f t="shared" si="499"/>
        <v>0</v>
      </c>
      <c r="GT238" s="51">
        <f t="shared" si="499"/>
        <v>0</v>
      </c>
      <c r="GU238" s="51">
        <f t="shared" si="499"/>
        <v>22186729.008000001</v>
      </c>
      <c r="GV238" s="51">
        <f t="shared" si="499"/>
        <v>73000000</v>
      </c>
      <c r="GW238" s="51">
        <f t="shared" si="499"/>
        <v>20985000</v>
      </c>
      <c r="GX238" s="51">
        <f t="shared" si="499"/>
        <v>20985000</v>
      </c>
      <c r="GY238" s="51">
        <f t="shared" si="499"/>
        <v>0</v>
      </c>
      <c r="GZ238" s="51">
        <f t="shared" si="499"/>
        <v>84944362.60800001</v>
      </c>
    </row>
    <row r="239" spans="1:208" s="711" customFormat="1" ht="93.75" customHeight="1" x14ac:dyDescent="0.2">
      <c r="A239" s="703"/>
      <c r="B239" s="844"/>
      <c r="C239" s="715">
        <v>27</v>
      </c>
      <c r="D239" s="1044" t="s">
        <v>577</v>
      </c>
      <c r="E239" s="621" t="s">
        <v>578</v>
      </c>
      <c r="F239" s="1006">
        <v>0.92</v>
      </c>
      <c r="G239" s="682">
        <v>165</v>
      </c>
      <c r="H239" s="676" t="s">
        <v>585</v>
      </c>
      <c r="I239" s="898" t="s">
        <v>586</v>
      </c>
      <c r="J239" s="902" t="s">
        <v>444</v>
      </c>
      <c r="K239" s="694">
        <v>2</v>
      </c>
      <c r="L239" s="696" t="s">
        <v>58</v>
      </c>
      <c r="M239" s="903">
        <v>12</v>
      </c>
      <c r="N239" s="903">
        <v>12</v>
      </c>
      <c r="O239" s="690">
        <v>12</v>
      </c>
      <c r="P239" s="695">
        <v>12</v>
      </c>
      <c r="Q239" s="690">
        <v>12</v>
      </c>
      <c r="R239" s="814"/>
      <c r="S239" s="695">
        <v>12</v>
      </c>
      <c r="T239" s="690">
        <v>12</v>
      </c>
      <c r="U239" s="690"/>
      <c r="V239" s="695">
        <v>12</v>
      </c>
      <c r="W239" s="690">
        <v>12</v>
      </c>
      <c r="X239" s="960"/>
      <c r="Y239" s="695">
        <v>6</v>
      </c>
      <c r="Z239" s="957">
        <f>BM239/BM238</f>
        <v>1</v>
      </c>
      <c r="AA239" s="682">
        <v>3</v>
      </c>
      <c r="AB239" s="896" t="s">
        <v>455</v>
      </c>
      <c r="AC239" s="958"/>
      <c r="AD239" s="831"/>
      <c r="AE239" s="818"/>
      <c r="AF239" s="818"/>
      <c r="AG239" s="830">
        <v>20304000</v>
      </c>
      <c r="AH239" s="831">
        <v>20304000</v>
      </c>
      <c r="AI239" s="831">
        <v>9900000</v>
      </c>
      <c r="AJ239" s="831">
        <v>9900000</v>
      </c>
      <c r="AK239" s="958"/>
      <c r="AL239" s="831"/>
      <c r="AM239" s="831"/>
      <c r="AN239" s="831"/>
      <c r="AO239" s="958"/>
      <c r="AP239" s="831"/>
      <c r="AQ239" s="831"/>
      <c r="AR239" s="831"/>
      <c r="AS239" s="958"/>
      <c r="AT239" s="831"/>
      <c r="AU239" s="818"/>
      <c r="AV239" s="818"/>
      <c r="AW239" s="958"/>
      <c r="AX239" s="831"/>
      <c r="AY239" s="831"/>
      <c r="AZ239" s="831"/>
      <c r="BA239" s="958"/>
      <c r="BB239" s="831"/>
      <c r="BC239" s="831"/>
      <c r="BD239" s="831"/>
      <c r="BE239" s="958"/>
      <c r="BF239" s="831"/>
      <c r="BG239" s="818"/>
      <c r="BH239" s="818"/>
      <c r="BI239" s="958"/>
      <c r="BJ239" s="831"/>
      <c r="BK239" s="831"/>
      <c r="BL239" s="831"/>
      <c r="BM239" s="817">
        <f>+AC239+AG239+AK239+AO239+AS239+AW239+BA239+BE239+BI239</f>
        <v>20304000</v>
      </c>
      <c r="BN239" s="818">
        <f>AD239+AH239+AL239+AP239+AT239+AX239+BB239+BF239+BJ239</f>
        <v>20304000</v>
      </c>
      <c r="BO239" s="818">
        <f>AE239+AI239+AM239+AQ239+AU239+AY239+BC239+BG239+BK239</f>
        <v>9900000</v>
      </c>
      <c r="BP239" s="818">
        <f>AF239+AJ239+AN239+AR239+AV239+AZ239+BD239+BH239+BL239</f>
        <v>9900000</v>
      </c>
      <c r="BQ239" s="667"/>
      <c r="BR239" s="667"/>
      <c r="BS239" s="667"/>
      <c r="BT239" s="667"/>
      <c r="BU239" s="706">
        <v>20913120</v>
      </c>
      <c r="BV239" s="667"/>
      <c r="BW239" s="667"/>
      <c r="BX239" s="667"/>
      <c r="BY239" s="667"/>
      <c r="BZ239" s="667"/>
      <c r="CA239" s="667">
        <v>20913120</v>
      </c>
      <c r="CB239" s="667"/>
      <c r="CC239" s="667"/>
      <c r="CD239" s="667"/>
      <c r="CE239" s="667"/>
      <c r="CF239" s="667"/>
      <c r="CG239" s="667"/>
      <c r="CH239" s="667"/>
      <c r="CI239" s="667"/>
      <c r="CJ239" s="667"/>
      <c r="CK239" s="667"/>
      <c r="CL239" s="667"/>
      <c r="CM239" s="667"/>
      <c r="CN239" s="667"/>
      <c r="CO239" s="667"/>
      <c r="CP239" s="667"/>
      <c r="CQ239" s="667"/>
      <c r="CR239" s="667"/>
      <c r="CS239" s="667"/>
      <c r="CT239" s="667"/>
      <c r="CU239" s="667"/>
      <c r="CV239" s="667"/>
      <c r="CW239" s="667"/>
      <c r="CX239" s="667"/>
      <c r="CY239" s="667"/>
      <c r="CZ239" s="667"/>
      <c r="DA239" s="667"/>
      <c r="DB239" s="667"/>
      <c r="DC239" s="667"/>
      <c r="DD239" s="667"/>
      <c r="DE239" s="708">
        <f>BQ239+BU239+BZ239+CE239+CI239+CM239+CQ239+CV239+DA239</f>
        <v>20913120</v>
      </c>
      <c r="DF239" s="708">
        <f>BR239+BV239+CA239+CF239+CJ239+CN239+CR239+CW239+DB239</f>
        <v>20913120</v>
      </c>
      <c r="DG239" s="708">
        <f>BS239+BW239+CB239+CG239+CK239+CO239+CS239+CX239+DC239</f>
        <v>0</v>
      </c>
      <c r="DH239" s="708">
        <f>BT239+BX239+CC239+CH239+CL239+CP239+CT239+CY239+DD239</f>
        <v>0</v>
      </c>
      <c r="DI239" s="708"/>
      <c r="DJ239" s="706"/>
      <c r="DK239" s="706"/>
      <c r="DL239" s="706"/>
      <c r="DM239" s="706"/>
      <c r="DN239" s="706">
        <v>21540513.600000001</v>
      </c>
      <c r="DO239" s="706"/>
      <c r="DP239" s="706"/>
      <c r="DQ239" s="706"/>
      <c r="DR239" s="706"/>
      <c r="DS239" s="706"/>
      <c r="DT239" s="706"/>
      <c r="DU239" s="706"/>
      <c r="DV239" s="706"/>
      <c r="DW239" s="706"/>
      <c r="DX239" s="706"/>
      <c r="DY239" s="667">
        <v>20913120</v>
      </c>
      <c r="DZ239" s="667">
        <v>12588000</v>
      </c>
      <c r="EA239" s="667">
        <v>12588000</v>
      </c>
      <c r="EB239" s="706"/>
      <c r="EC239" s="706"/>
      <c r="ED239" s="706"/>
      <c r="EE239" s="706"/>
      <c r="EF239" s="706"/>
      <c r="EG239" s="706"/>
      <c r="EH239" s="706"/>
      <c r="EI239" s="706"/>
      <c r="EJ239" s="706"/>
      <c r="EK239" s="706"/>
      <c r="EL239" s="706"/>
      <c r="EM239" s="706"/>
      <c r="EN239" s="706"/>
      <c r="EO239" s="706"/>
      <c r="EP239" s="706"/>
      <c r="EQ239" s="706"/>
      <c r="ER239" s="706"/>
      <c r="ES239" s="706"/>
      <c r="ET239" s="667"/>
      <c r="EU239" s="667"/>
      <c r="EV239" s="667"/>
      <c r="EW239" s="708">
        <f>DJ239+DN239+DS239+DX239+EB239+EF239+EJ239+EN239+ES239</f>
        <v>21540513.600000001</v>
      </c>
      <c r="EX239" s="819">
        <f>DK239+DO239+DT239+DY239+EC239+EG239+EK239+EO239+ET239</f>
        <v>20913120</v>
      </c>
      <c r="EY239" s="819">
        <f>DL239+DP239+DU239+DZ239+ED239+EH239+EL239+EP239+EU239</f>
        <v>12588000</v>
      </c>
      <c r="EZ239" s="819">
        <f>DM239+DQ239+DV239+EA239+EE239+EI239+EM239+EQ239+EV239</f>
        <v>12588000</v>
      </c>
      <c r="FA239" s="820"/>
      <c r="FB239" s="667"/>
      <c r="FC239" s="706"/>
      <c r="FD239" s="706"/>
      <c r="FE239" s="706"/>
      <c r="FF239" s="707"/>
      <c r="FG239" s="667">
        <v>22186729.008000001</v>
      </c>
      <c r="FH239" s="667">
        <v>52000000</v>
      </c>
      <c r="FI239" s="667"/>
      <c r="FJ239" s="667"/>
      <c r="FK239" s="667"/>
      <c r="FL239" s="667"/>
      <c r="FM239" s="667">
        <v>21000000</v>
      </c>
      <c r="FN239" s="667">
        <v>20985000</v>
      </c>
      <c r="FO239" s="667">
        <v>20985000</v>
      </c>
      <c r="FP239" s="667"/>
      <c r="FQ239" s="667"/>
      <c r="FR239" s="667"/>
      <c r="FS239" s="667"/>
      <c r="FT239" s="667"/>
      <c r="FU239" s="667"/>
      <c r="FV239" s="667"/>
      <c r="FW239" s="667"/>
      <c r="FX239" s="667"/>
      <c r="FY239" s="667"/>
      <c r="FZ239" s="667"/>
      <c r="GA239" s="667"/>
      <c r="GB239" s="667"/>
      <c r="GC239" s="667"/>
      <c r="GD239" s="667"/>
      <c r="GE239" s="667"/>
      <c r="GF239" s="667"/>
      <c r="GG239" s="667"/>
      <c r="GH239" s="667"/>
      <c r="GI239" s="667"/>
      <c r="GJ239" s="667"/>
      <c r="GK239" s="667"/>
      <c r="GL239" s="667"/>
      <c r="GM239" s="667"/>
      <c r="GN239" s="667"/>
      <c r="GO239" s="667"/>
      <c r="GP239" s="667"/>
      <c r="GQ239" s="667"/>
      <c r="GR239" s="667"/>
      <c r="GS239" s="667"/>
      <c r="GT239" s="667"/>
      <c r="GU239" s="708">
        <f>FB239+FG239+FL239+FQ239+FV239+GA239+GF239+GK239+GP239</f>
        <v>22186729.008000001</v>
      </c>
      <c r="GV239" s="708">
        <f>FC239+FH239+FM239+FR239+FW239+GB239+GG239+GL239+GQ239</f>
        <v>73000000</v>
      </c>
      <c r="GW239" s="708">
        <f>FD239+FI239+FN239+FS239+FX239+GC239+GH239+GM239+GR239</f>
        <v>20985000</v>
      </c>
      <c r="GX239" s="708">
        <f>FE239+FJ239+FO239+FT239+FY239+GD239+GI239+GN239+GS239</f>
        <v>20985000</v>
      </c>
      <c r="GY239" s="709">
        <f>FF239+FK239+FP239+FU239+FZ239+GE239+GJ239+GO239+GT239</f>
        <v>0</v>
      </c>
      <c r="GZ239" s="710">
        <f>BM239+DE239+EW239+GU239</f>
        <v>84944362.60800001</v>
      </c>
    </row>
    <row r="240" spans="1:208" ht="24.75" customHeight="1" x14ac:dyDescent="0.2">
      <c r="A240" s="326"/>
      <c r="B240" s="514">
        <v>14</v>
      </c>
      <c r="C240" s="324" t="s">
        <v>587</v>
      </c>
      <c r="D240" s="515"/>
      <c r="E240" s="515"/>
      <c r="F240" s="515"/>
      <c r="G240" s="325"/>
      <c r="H240" s="325"/>
      <c r="I240" s="325"/>
      <c r="J240" s="325"/>
      <c r="K240" s="325"/>
      <c r="L240" s="325"/>
      <c r="M240" s="325"/>
      <c r="N240" s="325"/>
      <c r="O240" s="325"/>
      <c r="P240" s="325"/>
      <c r="Q240" s="325"/>
      <c r="R240" s="325"/>
      <c r="S240" s="325"/>
      <c r="T240" s="325"/>
      <c r="U240" s="325"/>
      <c r="V240" s="325"/>
      <c r="W240" s="325"/>
      <c r="X240" s="325"/>
      <c r="Y240" s="627"/>
      <c r="Z240" s="325"/>
      <c r="AA240" s="325"/>
      <c r="AB240" s="325"/>
      <c r="AC240" s="50">
        <f t="shared" ref="AC240:CN240" si="500">AC241+AC245+AC247+AC251+AC254</f>
        <v>0</v>
      </c>
      <c r="AD240" s="50">
        <f t="shared" si="500"/>
        <v>0</v>
      </c>
      <c r="AE240" s="50">
        <f t="shared" si="500"/>
        <v>0</v>
      </c>
      <c r="AF240" s="50">
        <f t="shared" si="500"/>
        <v>0</v>
      </c>
      <c r="AG240" s="50">
        <f t="shared" si="500"/>
        <v>4620095942</v>
      </c>
      <c r="AH240" s="50">
        <f t="shared" si="500"/>
        <v>6456847097</v>
      </c>
      <c r="AI240" s="50">
        <f t="shared" si="500"/>
        <v>3511172309</v>
      </c>
      <c r="AJ240" s="50">
        <f t="shared" si="500"/>
        <v>2641172309</v>
      </c>
      <c r="AK240" s="50">
        <f t="shared" si="500"/>
        <v>310000000</v>
      </c>
      <c r="AL240" s="50">
        <f t="shared" si="500"/>
        <v>310000000</v>
      </c>
      <c r="AM240" s="50">
        <f t="shared" si="500"/>
        <v>310000000</v>
      </c>
      <c r="AN240" s="50">
        <f t="shared" si="500"/>
        <v>310000000</v>
      </c>
      <c r="AO240" s="50">
        <f t="shared" si="500"/>
        <v>1159946856</v>
      </c>
      <c r="AP240" s="50">
        <f t="shared" si="500"/>
        <v>1420369214</v>
      </c>
      <c r="AQ240" s="50">
        <f t="shared" si="500"/>
        <v>1113611691</v>
      </c>
      <c r="AR240" s="50">
        <f t="shared" si="500"/>
        <v>749348680</v>
      </c>
      <c r="AS240" s="50">
        <f t="shared" si="500"/>
        <v>0</v>
      </c>
      <c r="AT240" s="50">
        <f t="shared" si="500"/>
        <v>0</v>
      </c>
      <c r="AU240" s="50">
        <f t="shared" si="500"/>
        <v>0</v>
      </c>
      <c r="AV240" s="50">
        <f t="shared" si="500"/>
        <v>0</v>
      </c>
      <c r="AW240" s="50">
        <f t="shared" si="500"/>
        <v>0</v>
      </c>
      <c r="AX240" s="50">
        <f t="shared" si="500"/>
        <v>0</v>
      </c>
      <c r="AY240" s="50">
        <f t="shared" si="500"/>
        <v>0</v>
      </c>
      <c r="AZ240" s="50">
        <f t="shared" si="500"/>
        <v>0</v>
      </c>
      <c r="BA240" s="50">
        <f t="shared" si="500"/>
        <v>0</v>
      </c>
      <c r="BB240" s="50">
        <f t="shared" si="500"/>
        <v>0</v>
      </c>
      <c r="BC240" s="50">
        <f t="shared" si="500"/>
        <v>0</v>
      </c>
      <c r="BD240" s="50">
        <f t="shared" si="500"/>
        <v>0</v>
      </c>
      <c r="BE240" s="50">
        <f t="shared" si="500"/>
        <v>7882699266</v>
      </c>
      <c r="BF240" s="50">
        <f t="shared" si="500"/>
        <v>10609236816</v>
      </c>
      <c r="BG240" s="50">
        <f t="shared" si="500"/>
        <v>9958568759</v>
      </c>
      <c r="BH240" s="50">
        <f t="shared" si="500"/>
        <v>8423363113</v>
      </c>
      <c r="BI240" s="50">
        <f t="shared" si="500"/>
        <v>0</v>
      </c>
      <c r="BJ240" s="50">
        <f t="shared" si="500"/>
        <v>0</v>
      </c>
      <c r="BK240" s="50">
        <f t="shared" si="500"/>
        <v>0</v>
      </c>
      <c r="BL240" s="50">
        <f t="shared" si="500"/>
        <v>0</v>
      </c>
      <c r="BM240" s="50">
        <f t="shared" si="500"/>
        <v>13972742064</v>
      </c>
      <c r="BN240" s="50">
        <f t="shared" si="500"/>
        <v>18796453127</v>
      </c>
      <c r="BO240" s="50">
        <f t="shared" si="500"/>
        <v>14893352759</v>
      </c>
      <c r="BP240" s="50">
        <f t="shared" si="500"/>
        <v>12123884102</v>
      </c>
      <c r="BQ240" s="50">
        <f t="shared" si="500"/>
        <v>0</v>
      </c>
      <c r="BR240" s="50">
        <f t="shared" si="500"/>
        <v>0</v>
      </c>
      <c r="BS240" s="50">
        <f t="shared" si="500"/>
        <v>0</v>
      </c>
      <c r="BT240" s="50">
        <f t="shared" si="500"/>
        <v>0</v>
      </c>
      <c r="BU240" s="50">
        <f t="shared" si="500"/>
        <v>4134875595.7799997</v>
      </c>
      <c r="BV240" s="50">
        <f t="shared" si="500"/>
        <v>8636521107</v>
      </c>
      <c r="BW240" s="50">
        <f t="shared" si="500"/>
        <v>8226705708</v>
      </c>
      <c r="BX240" s="50">
        <f t="shared" si="500"/>
        <v>8214705708</v>
      </c>
      <c r="BY240" s="50">
        <f t="shared" si="500"/>
        <v>85423541</v>
      </c>
      <c r="BZ240" s="50">
        <f t="shared" si="500"/>
        <v>300000000</v>
      </c>
      <c r="CA240" s="50">
        <f t="shared" si="500"/>
        <v>5154087112</v>
      </c>
      <c r="CB240" s="50">
        <f t="shared" si="500"/>
        <v>4237317118</v>
      </c>
      <c r="CC240" s="50">
        <f t="shared" si="500"/>
        <v>4222317028</v>
      </c>
      <c r="CD240" s="50">
        <f t="shared" si="500"/>
        <v>543294497.85000002</v>
      </c>
      <c r="CE240" s="50">
        <f t="shared" si="500"/>
        <v>0</v>
      </c>
      <c r="CF240" s="50">
        <f t="shared" si="500"/>
        <v>1041292626</v>
      </c>
      <c r="CG240" s="50">
        <f t="shared" si="500"/>
        <v>658816635</v>
      </c>
      <c r="CH240" s="50">
        <f t="shared" si="500"/>
        <v>601773635</v>
      </c>
      <c r="CI240" s="50">
        <f t="shared" si="500"/>
        <v>0</v>
      </c>
      <c r="CJ240" s="50">
        <f t="shared" si="500"/>
        <v>0</v>
      </c>
      <c r="CK240" s="50">
        <f t="shared" si="500"/>
        <v>0</v>
      </c>
      <c r="CL240" s="50">
        <f t="shared" si="500"/>
        <v>0</v>
      </c>
      <c r="CM240" s="50">
        <f t="shared" si="500"/>
        <v>0</v>
      </c>
      <c r="CN240" s="50">
        <f t="shared" si="500"/>
        <v>0</v>
      </c>
      <c r="CO240" s="50">
        <f t="shared" ref="CO240:EV240" si="501">CO241+CO245+CO247+CO251+CO254</f>
        <v>0</v>
      </c>
      <c r="CP240" s="50">
        <f t="shared" si="501"/>
        <v>0</v>
      </c>
      <c r="CQ240" s="50">
        <f t="shared" si="501"/>
        <v>0</v>
      </c>
      <c r="CR240" s="50">
        <f t="shared" si="501"/>
        <v>0</v>
      </c>
      <c r="CS240" s="50">
        <f t="shared" si="501"/>
        <v>0</v>
      </c>
      <c r="CT240" s="50">
        <f t="shared" si="501"/>
        <v>0</v>
      </c>
      <c r="CU240" s="50">
        <f t="shared" si="501"/>
        <v>0</v>
      </c>
      <c r="CV240" s="50">
        <f t="shared" si="501"/>
        <v>7334790933</v>
      </c>
      <c r="CW240" s="50">
        <f t="shared" si="501"/>
        <v>10050013964</v>
      </c>
      <c r="CX240" s="50">
        <f t="shared" si="501"/>
        <v>9521853383</v>
      </c>
      <c r="CY240" s="50">
        <f t="shared" si="501"/>
        <v>8864203383</v>
      </c>
      <c r="CZ240" s="50">
        <f t="shared" si="501"/>
        <v>95307757</v>
      </c>
      <c r="DA240" s="50">
        <f t="shared" si="501"/>
        <v>0</v>
      </c>
      <c r="DB240" s="50">
        <f t="shared" si="501"/>
        <v>0</v>
      </c>
      <c r="DC240" s="50">
        <f t="shared" si="501"/>
        <v>0</v>
      </c>
      <c r="DD240" s="50">
        <f t="shared" si="501"/>
        <v>0</v>
      </c>
      <c r="DE240" s="50">
        <f t="shared" si="501"/>
        <v>11769666528.780001</v>
      </c>
      <c r="DF240" s="50">
        <f t="shared" si="501"/>
        <v>24881914809</v>
      </c>
      <c r="DG240" s="50">
        <f t="shared" si="501"/>
        <v>22644692844</v>
      </c>
      <c r="DH240" s="50">
        <f t="shared" si="501"/>
        <v>21902999754</v>
      </c>
      <c r="DI240" s="50">
        <f t="shared" si="501"/>
        <v>724025795.85000002</v>
      </c>
      <c r="DJ240" s="50">
        <f t="shared" si="501"/>
        <v>0</v>
      </c>
      <c r="DK240" s="50">
        <f t="shared" si="501"/>
        <v>0</v>
      </c>
      <c r="DL240" s="50">
        <f t="shared" si="501"/>
        <v>0</v>
      </c>
      <c r="DM240" s="50">
        <f t="shared" si="501"/>
        <v>0</v>
      </c>
      <c r="DN240" s="50">
        <f t="shared" si="501"/>
        <v>4258921863.6533999</v>
      </c>
      <c r="DO240" s="50">
        <f t="shared" si="501"/>
        <v>1215706200</v>
      </c>
      <c r="DP240" s="50">
        <f t="shared" si="501"/>
        <v>593674240</v>
      </c>
      <c r="DQ240" s="50">
        <f t="shared" si="501"/>
        <v>593674240</v>
      </c>
      <c r="DR240" s="50">
        <f t="shared" si="501"/>
        <v>0</v>
      </c>
      <c r="DS240" s="50">
        <f t="shared" si="501"/>
        <v>150000000</v>
      </c>
      <c r="DT240" s="50">
        <f t="shared" si="501"/>
        <v>1671238455</v>
      </c>
      <c r="DU240" s="50">
        <f t="shared" si="501"/>
        <v>1422294689</v>
      </c>
      <c r="DV240" s="50">
        <f t="shared" si="501"/>
        <v>1418905597</v>
      </c>
      <c r="DW240" s="50">
        <f t="shared" si="501"/>
        <v>15000000</v>
      </c>
      <c r="DX240" s="50">
        <f t="shared" si="501"/>
        <v>0</v>
      </c>
      <c r="DY240" s="50">
        <f t="shared" si="501"/>
        <v>14107753403</v>
      </c>
      <c r="DZ240" s="50">
        <f t="shared" si="501"/>
        <v>12671526589</v>
      </c>
      <c r="EA240" s="50">
        <f t="shared" si="501"/>
        <v>12671526589</v>
      </c>
      <c r="EB240" s="50">
        <f t="shared" si="501"/>
        <v>0</v>
      </c>
      <c r="EC240" s="50">
        <f t="shared" si="501"/>
        <v>0</v>
      </c>
      <c r="ED240" s="50">
        <f t="shared" si="501"/>
        <v>0</v>
      </c>
      <c r="EE240" s="50">
        <f t="shared" si="501"/>
        <v>0</v>
      </c>
      <c r="EF240" s="50">
        <f t="shared" si="501"/>
        <v>0</v>
      </c>
      <c r="EG240" s="50">
        <f t="shared" si="501"/>
        <v>0</v>
      </c>
      <c r="EH240" s="50">
        <f t="shared" si="501"/>
        <v>0</v>
      </c>
      <c r="EI240" s="50">
        <f t="shared" si="501"/>
        <v>0</v>
      </c>
      <c r="EJ240" s="50">
        <f t="shared" si="501"/>
        <v>0</v>
      </c>
      <c r="EK240" s="50">
        <f t="shared" si="501"/>
        <v>0</v>
      </c>
      <c r="EL240" s="50">
        <f t="shared" si="501"/>
        <v>0</v>
      </c>
      <c r="EM240" s="50">
        <f t="shared" si="501"/>
        <v>0</v>
      </c>
      <c r="EN240" s="50">
        <f t="shared" si="501"/>
        <v>7554834662</v>
      </c>
      <c r="EO240" s="50">
        <f t="shared" si="501"/>
        <v>8361380435</v>
      </c>
      <c r="EP240" s="50">
        <f t="shared" si="501"/>
        <v>7901700459</v>
      </c>
      <c r="EQ240" s="50">
        <f t="shared" si="501"/>
        <v>7244700459</v>
      </c>
      <c r="ER240" s="50">
        <f t="shared" si="501"/>
        <v>0</v>
      </c>
      <c r="ES240" s="50">
        <f t="shared" si="501"/>
        <v>0</v>
      </c>
      <c r="ET240" s="50">
        <f t="shared" si="501"/>
        <v>0</v>
      </c>
      <c r="EU240" s="50">
        <f t="shared" si="501"/>
        <v>0</v>
      </c>
      <c r="EV240" s="50">
        <f t="shared" si="501"/>
        <v>0</v>
      </c>
      <c r="EW240" s="50">
        <f t="shared" ref="EW240" si="502">EW241+EW245+EW247+EW251+EW254</f>
        <v>11963756525.653402</v>
      </c>
      <c r="EX240" s="50">
        <f t="shared" ref="EX240:GZ240" si="503">EX241+EX245+EX247+EX251+EX254</f>
        <v>25356078493</v>
      </c>
      <c r="EY240" s="50">
        <f t="shared" si="503"/>
        <v>22589195977</v>
      </c>
      <c r="EZ240" s="50">
        <f t="shared" si="503"/>
        <v>21928806885</v>
      </c>
      <c r="FA240" s="50">
        <f t="shared" si="503"/>
        <v>15000000</v>
      </c>
      <c r="FB240" s="50">
        <f t="shared" si="503"/>
        <v>0</v>
      </c>
      <c r="FC240" s="50">
        <f t="shared" si="503"/>
        <v>0</v>
      </c>
      <c r="FD240" s="50">
        <f t="shared" si="503"/>
        <v>0</v>
      </c>
      <c r="FE240" s="50">
        <f t="shared" si="503"/>
        <v>0</v>
      </c>
      <c r="FF240" s="50">
        <f t="shared" si="503"/>
        <v>0</v>
      </c>
      <c r="FG240" s="50">
        <f t="shared" si="503"/>
        <v>4386689519.4150028</v>
      </c>
      <c r="FH240" s="50">
        <f t="shared" si="503"/>
        <v>1242660616</v>
      </c>
      <c r="FI240" s="50">
        <f t="shared" si="503"/>
        <v>544684260</v>
      </c>
      <c r="FJ240" s="50">
        <f t="shared" si="503"/>
        <v>138538260</v>
      </c>
      <c r="FK240" s="50">
        <f t="shared" si="503"/>
        <v>0</v>
      </c>
      <c r="FL240" s="50">
        <f t="shared" si="503"/>
        <v>50000000</v>
      </c>
      <c r="FM240" s="50">
        <f t="shared" si="503"/>
        <v>327201641</v>
      </c>
      <c r="FN240" s="50">
        <f t="shared" si="503"/>
        <v>226900000</v>
      </c>
      <c r="FO240" s="50">
        <f t="shared" si="503"/>
        <v>172477000</v>
      </c>
      <c r="FP240" s="50">
        <f t="shared" si="503"/>
        <v>0</v>
      </c>
      <c r="FQ240" s="50">
        <f t="shared" si="503"/>
        <v>0</v>
      </c>
      <c r="FR240" s="50">
        <f t="shared" si="503"/>
        <v>5715400127</v>
      </c>
      <c r="FS240" s="50">
        <f t="shared" si="503"/>
        <v>2575885524</v>
      </c>
      <c r="FT240" s="50">
        <f t="shared" si="503"/>
        <v>1733262348</v>
      </c>
      <c r="FU240" s="50">
        <f t="shared" si="503"/>
        <v>0</v>
      </c>
      <c r="FV240" s="50">
        <f t="shared" si="503"/>
        <v>0</v>
      </c>
      <c r="FW240" s="50">
        <f t="shared" si="503"/>
        <v>0</v>
      </c>
      <c r="FX240" s="50">
        <f t="shared" si="503"/>
        <v>0</v>
      </c>
      <c r="FY240" s="50">
        <f t="shared" si="503"/>
        <v>0</v>
      </c>
      <c r="FZ240" s="50">
        <f t="shared" si="503"/>
        <v>0</v>
      </c>
      <c r="GA240" s="50">
        <f t="shared" si="503"/>
        <v>0</v>
      </c>
      <c r="GB240" s="50">
        <f t="shared" si="503"/>
        <v>0</v>
      </c>
      <c r="GC240" s="50">
        <f t="shared" si="503"/>
        <v>0</v>
      </c>
      <c r="GD240" s="50">
        <f t="shared" si="503"/>
        <v>0</v>
      </c>
      <c r="GE240" s="50">
        <f t="shared" si="503"/>
        <v>0</v>
      </c>
      <c r="GF240" s="50">
        <f t="shared" si="503"/>
        <v>0</v>
      </c>
      <c r="GG240" s="50">
        <f t="shared" si="503"/>
        <v>0</v>
      </c>
      <c r="GH240" s="50">
        <f t="shared" si="503"/>
        <v>0</v>
      </c>
      <c r="GI240" s="50">
        <f t="shared" si="503"/>
        <v>0</v>
      </c>
      <c r="GJ240" s="50">
        <f t="shared" si="503"/>
        <v>0</v>
      </c>
      <c r="GK240" s="50">
        <f t="shared" si="503"/>
        <v>7781479701</v>
      </c>
      <c r="GL240" s="50">
        <f t="shared" si="503"/>
        <v>9978535274</v>
      </c>
      <c r="GM240" s="50">
        <f t="shared" si="503"/>
        <v>7701280822</v>
      </c>
      <c r="GN240" s="50">
        <f t="shared" si="503"/>
        <v>466208478</v>
      </c>
      <c r="GO240" s="50">
        <f t="shared" si="503"/>
        <v>0</v>
      </c>
      <c r="GP240" s="50">
        <f t="shared" si="503"/>
        <v>0</v>
      </c>
      <c r="GQ240" s="50">
        <f t="shared" si="503"/>
        <v>0</v>
      </c>
      <c r="GR240" s="50">
        <f t="shared" si="503"/>
        <v>0</v>
      </c>
      <c r="GS240" s="50">
        <f t="shared" si="503"/>
        <v>0</v>
      </c>
      <c r="GT240" s="50">
        <f t="shared" si="503"/>
        <v>0</v>
      </c>
      <c r="GU240" s="50">
        <f t="shared" si="503"/>
        <v>12218169220.415003</v>
      </c>
      <c r="GV240" s="50">
        <f t="shared" si="503"/>
        <v>17263797658</v>
      </c>
      <c r="GW240" s="50">
        <f t="shared" si="503"/>
        <v>11048750606</v>
      </c>
      <c r="GX240" s="50">
        <f t="shared" si="503"/>
        <v>2510486086</v>
      </c>
      <c r="GY240" s="50">
        <f t="shared" si="503"/>
        <v>0</v>
      </c>
      <c r="GZ240" s="50">
        <f t="shared" si="503"/>
        <v>49924334338.848396</v>
      </c>
    </row>
    <row r="241" spans="1:208" ht="24.75" customHeight="1" x14ac:dyDescent="0.2">
      <c r="A241" s="326"/>
      <c r="B241" s="993"/>
      <c r="C241" s="246">
        <v>50</v>
      </c>
      <c r="D241" s="247" t="s">
        <v>588</v>
      </c>
      <c r="E241" s="250"/>
      <c r="F241" s="250"/>
      <c r="G241" s="246"/>
      <c r="H241" s="246"/>
      <c r="I241" s="246"/>
      <c r="J241" s="246"/>
      <c r="K241" s="246"/>
      <c r="L241" s="246"/>
      <c r="M241" s="246"/>
      <c r="N241" s="246"/>
      <c r="O241" s="246"/>
      <c r="P241" s="246"/>
      <c r="Q241" s="246"/>
      <c r="R241" s="246"/>
      <c r="S241" s="246"/>
      <c r="T241" s="246"/>
      <c r="U241" s="246"/>
      <c r="V241" s="246"/>
      <c r="W241" s="246"/>
      <c r="X241" s="246"/>
      <c r="Y241" s="625"/>
      <c r="Z241" s="246"/>
      <c r="AA241" s="246"/>
      <c r="AB241" s="246"/>
      <c r="AC241" s="51">
        <f t="shared" ref="AC241:BL241" si="504">SUM(AC242:AC244)</f>
        <v>0</v>
      </c>
      <c r="AD241" s="51">
        <f t="shared" si="504"/>
        <v>0</v>
      </c>
      <c r="AE241" s="51">
        <f t="shared" si="504"/>
        <v>0</v>
      </c>
      <c r="AF241" s="51">
        <f t="shared" si="504"/>
        <v>0</v>
      </c>
      <c r="AG241" s="51">
        <f t="shared" si="504"/>
        <v>4379703942</v>
      </c>
      <c r="AH241" s="51">
        <f t="shared" si="504"/>
        <v>6005673137</v>
      </c>
      <c r="AI241" s="51">
        <f t="shared" si="504"/>
        <v>3249781642</v>
      </c>
      <c r="AJ241" s="51">
        <f t="shared" si="504"/>
        <v>2379781642</v>
      </c>
      <c r="AK241" s="51">
        <f t="shared" si="504"/>
        <v>0</v>
      </c>
      <c r="AL241" s="51">
        <f t="shared" si="504"/>
        <v>0</v>
      </c>
      <c r="AM241" s="51">
        <f t="shared" si="504"/>
        <v>0</v>
      </c>
      <c r="AN241" s="51">
        <f t="shared" si="504"/>
        <v>0</v>
      </c>
      <c r="AO241" s="51">
        <f t="shared" si="504"/>
        <v>1159946856</v>
      </c>
      <c r="AP241" s="51">
        <f t="shared" si="504"/>
        <v>1420369214</v>
      </c>
      <c r="AQ241" s="51">
        <f t="shared" si="504"/>
        <v>1113611691</v>
      </c>
      <c r="AR241" s="51">
        <f t="shared" si="504"/>
        <v>749348680</v>
      </c>
      <c r="AS241" s="51">
        <f t="shared" si="504"/>
        <v>0</v>
      </c>
      <c r="AT241" s="51">
        <f t="shared" si="504"/>
        <v>0</v>
      </c>
      <c r="AU241" s="51">
        <f t="shared" si="504"/>
        <v>0</v>
      </c>
      <c r="AV241" s="51">
        <f t="shared" si="504"/>
        <v>0</v>
      </c>
      <c r="AW241" s="51">
        <f t="shared" si="504"/>
        <v>0</v>
      </c>
      <c r="AX241" s="51">
        <f t="shared" si="504"/>
        <v>0</v>
      </c>
      <c r="AY241" s="51">
        <f t="shared" si="504"/>
        <v>0</v>
      </c>
      <c r="AZ241" s="51">
        <f t="shared" si="504"/>
        <v>0</v>
      </c>
      <c r="BA241" s="51">
        <f t="shared" si="504"/>
        <v>0</v>
      </c>
      <c r="BB241" s="51">
        <f t="shared" si="504"/>
        <v>0</v>
      </c>
      <c r="BC241" s="51">
        <f t="shared" si="504"/>
        <v>0</v>
      </c>
      <c r="BD241" s="51">
        <f t="shared" si="504"/>
        <v>0</v>
      </c>
      <c r="BE241" s="51">
        <f t="shared" si="504"/>
        <v>7882699266</v>
      </c>
      <c r="BF241" s="51">
        <f t="shared" si="504"/>
        <v>10609236816</v>
      </c>
      <c r="BG241" s="51">
        <f t="shared" si="504"/>
        <v>9958568759</v>
      </c>
      <c r="BH241" s="51">
        <f t="shared" si="504"/>
        <v>8423363113</v>
      </c>
      <c r="BI241" s="51">
        <f t="shared" si="504"/>
        <v>0</v>
      </c>
      <c r="BJ241" s="51">
        <f t="shared" si="504"/>
        <v>0</v>
      </c>
      <c r="BK241" s="51">
        <f t="shared" si="504"/>
        <v>0</v>
      </c>
      <c r="BL241" s="51">
        <f t="shared" si="504"/>
        <v>0</v>
      </c>
      <c r="BM241" s="51">
        <f t="shared" ref="BM241:DX241" si="505">SUM(BM242:BM244)</f>
        <v>13422350064</v>
      </c>
      <c r="BN241" s="51">
        <f t="shared" si="505"/>
        <v>18035279167</v>
      </c>
      <c r="BO241" s="51">
        <f t="shared" si="505"/>
        <v>14321962092</v>
      </c>
      <c r="BP241" s="51">
        <f t="shared" si="505"/>
        <v>11552493435</v>
      </c>
      <c r="BQ241" s="51">
        <f t="shared" si="505"/>
        <v>0</v>
      </c>
      <c r="BR241" s="51">
        <f t="shared" si="505"/>
        <v>0</v>
      </c>
      <c r="BS241" s="51">
        <f t="shared" si="505"/>
        <v>0</v>
      </c>
      <c r="BT241" s="51">
        <f t="shared" si="505"/>
        <v>0</v>
      </c>
      <c r="BU241" s="51">
        <f t="shared" si="505"/>
        <v>3887271835.7800002</v>
      </c>
      <c r="BV241" s="51">
        <f t="shared" si="505"/>
        <v>8236521107</v>
      </c>
      <c r="BW241" s="51">
        <f t="shared" si="505"/>
        <v>8109705708</v>
      </c>
      <c r="BX241" s="51">
        <f t="shared" si="505"/>
        <v>8109705708</v>
      </c>
      <c r="BY241" s="51">
        <f t="shared" si="505"/>
        <v>85423541</v>
      </c>
      <c r="BZ241" s="51">
        <f t="shared" si="505"/>
        <v>0</v>
      </c>
      <c r="CA241" s="51">
        <f t="shared" si="505"/>
        <v>4606483352</v>
      </c>
      <c r="CB241" s="51">
        <f t="shared" si="505"/>
        <v>4043205327</v>
      </c>
      <c r="CC241" s="51">
        <f t="shared" si="505"/>
        <v>4043205327</v>
      </c>
      <c r="CD241" s="51">
        <f t="shared" si="505"/>
        <v>543294497.85000002</v>
      </c>
      <c r="CE241" s="51">
        <f t="shared" si="505"/>
        <v>0</v>
      </c>
      <c r="CF241" s="51">
        <f t="shared" si="505"/>
        <v>1041292626</v>
      </c>
      <c r="CG241" s="51">
        <f t="shared" si="505"/>
        <v>658816635</v>
      </c>
      <c r="CH241" s="51">
        <f t="shared" si="505"/>
        <v>601773635</v>
      </c>
      <c r="CI241" s="51">
        <f t="shared" si="505"/>
        <v>0</v>
      </c>
      <c r="CJ241" s="51">
        <f t="shared" si="505"/>
        <v>0</v>
      </c>
      <c r="CK241" s="51">
        <f t="shared" si="505"/>
        <v>0</v>
      </c>
      <c r="CL241" s="51">
        <f t="shared" si="505"/>
        <v>0</v>
      </c>
      <c r="CM241" s="51">
        <f t="shared" si="505"/>
        <v>0</v>
      </c>
      <c r="CN241" s="51">
        <f t="shared" si="505"/>
        <v>0</v>
      </c>
      <c r="CO241" s="51">
        <f t="shared" si="505"/>
        <v>0</v>
      </c>
      <c r="CP241" s="51">
        <f t="shared" si="505"/>
        <v>0</v>
      </c>
      <c r="CQ241" s="51">
        <f t="shared" si="505"/>
        <v>0</v>
      </c>
      <c r="CR241" s="51">
        <f t="shared" si="505"/>
        <v>0</v>
      </c>
      <c r="CS241" s="51">
        <f t="shared" si="505"/>
        <v>0</v>
      </c>
      <c r="CT241" s="51">
        <f t="shared" si="505"/>
        <v>0</v>
      </c>
      <c r="CU241" s="51">
        <f t="shared" si="505"/>
        <v>0</v>
      </c>
      <c r="CV241" s="51">
        <f t="shared" si="505"/>
        <v>7334790933</v>
      </c>
      <c r="CW241" s="51">
        <f t="shared" si="505"/>
        <v>10050013964</v>
      </c>
      <c r="CX241" s="51">
        <f t="shared" si="505"/>
        <v>9521853383</v>
      </c>
      <c r="CY241" s="51">
        <f t="shared" si="505"/>
        <v>8864203383</v>
      </c>
      <c r="CZ241" s="51">
        <f t="shared" si="505"/>
        <v>95307757</v>
      </c>
      <c r="DA241" s="51">
        <f t="shared" si="505"/>
        <v>0</v>
      </c>
      <c r="DB241" s="51">
        <f t="shared" si="505"/>
        <v>0</v>
      </c>
      <c r="DC241" s="51">
        <f t="shared" si="505"/>
        <v>0</v>
      </c>
      <c r="DD241" s="51">
        <f t="shared" si="505"/>
        <v>0</v>
      </c>
      <c r="DE241" s="51">
        <f t="shared" si="505"/>
        <v>11222062768.780001</v>
      </c>
      <c r="DF241" s="51">
        <f t="shared" si="505"/>
        <v>23934311049</v>
      </c>
      <c r="DG241" s="51">
        <f t="shared" si="505"/>
        <v>22333581053</v>
      </c>
      <c r="DH241" s="51">
        <f t="shared" si="505"/>
        <v>21618888053</v>
      </c>
      <c r="DI241" s="51">
        <f t="shared" si="505"/>
        <v>724025795.85000002</v>
      </c>
      <c r="DJ241" s="51">
        <f t="shared" si="505"/>
        <v>0</v>
      </c>
      <c r="DK241" s="51">
        <f t="shared" si="505"/>
        <v>0</v>
      </c>
      <c r="DL241" s="51">
        <f t="shared" si="505"/>
        <v>0</v>
      </c>
      <c r="DM241" s="51">
        <f t="shared" si="505"/>
        <v>0</v>
      </c>
      <c r="DN241" s="51">
        <f t="shared" si="505"/>
        <v>4003889990.8534002</v>
      </c>
      <c r="DO241" s="51">
        <f t="shared" si="505"/>
        <v>955706200</v>
      </c>
      <c r="DP241" s="51">
        <f t="shared" si="505"/>
        <v>411786240</v>
      </c>
      <c r="DQ241" s="51">
        <f t="shared" si="505"/>
        <v>411786240</v>
      </c>
      <c r="DR241" s="51">
        <f t="shared" si="505"/>
        <v>0</v>
      </c>
      <c r="DS241" s="51">
        <f t="shared" si="505"/>
        <v>0</v>
      </c>
      <c r="DT241" s="51">
        <f t="shared" si="505"/>
        <v>0</v>
      </c>
      <c r="DU241" s="51">
        <f t="shared" si="505"/>
        <v>0</v>
      </c>
      <c r="DV241" s="51">
        <f t="shared" si="505"/>
        <v>0</v>
      </c>
      <c r="DW241" s="51">
        <f t="shared" si="505"/>
        <v>0</v>
      </c>
      <c r="DX241" s="51">
        <f t="shared" si="505"/>
        <v>0</v>
      </c>
      <c r="DY241" s="51">
        <f t="shared" ref="DY241:EW241" si="506">SUM(DY242:DY244)</f>
        <v>14107753403</v>
      </c>
      <c r="DZ241" s="51">
        <f t="shared" si="506"/>
        <v>12671526589</v>
      </c>
      <c r="EA241" s="51">
        <f t="shared" si="506"/>
        <v>12671526589</v>
      </c>
      <c r="EB241" s="51">
        <f t="shared" si="506"/>
        <v>0</v>
      </c>
      <c r="EC241" s="51">
        <f t="shared" si="506"/>
        <v>0</v>
      </c>
      <c r="ED241" s="51">
        <f t="shared" si="506"/>
        <v>0</v>
      </c>
      <c r="EE241" s="51">
        <f t="shared" si="506"/>
        <v>0</v>
      </c>
      <c r="EF241" s="51">
        <f t="shared" si="506"/>
        <v>0</v>
      </c>
      <c r="EG241" s="51">
        <f t="shared" si="506"/>
        <v>0</v>
      </c>
      <c r="EH241" s="51">
        <f t="shared" si="506"/>
        <v>0</v>
      </c>
      <c r="EI241" s="51">
        <f t="shared" si="506"/>
        <v>0</v>
      </c>
      <c r="EJ241" s="51">
        <f t="shared" si="506"/>
        <v>0</v>
      </c>
      <c r="EK241" s="51">
        <f t="shared" si="506"/>
        <v>0</v>
      </c>
      <c r="EL241" s="51">
        <f t="shared" si="506"/>
        <v>0</v>
      </c>
      <c r="EM241" s="51">
        <f t="shared" si="506"/>
        <v>0</v>
      </c>
      <c r="EN241" s="51">
        <f t="shared" si="506"/>
        <v>7554834662</v>
      </c>
      <c r="EO241" s="51">
        <f t="shared" si="506"/>
        <v>8361380435</v>
      </c>
      <c r="EP241" s="51">
        <f t="shared" si="506"/>
        <v>7901700459</v>
      </c>
      <c r="EQ241" s="51">
        <f t="shared" si="506"/>
        <v>7244700459</v>
      </c>
      <c r="ER241" s="51">
        <f t="shared" si="506"/>
        <v>0</v>
      </c>
      <c r="ES241" s="51">
        <f t="shared" si="506"/>
        <v>0</v>
      </c>
      <c r="ET241" s="51">
        <f t="shared" si="506"/>
        <v>0</v>
      </c>
      <c r="EU241" s="51">
        <f t="shared" si="506"/>
        <v>0</v>
      </c>
      <c r="EV241" s="51">
        <f t="shared" si="506"/>
        <v>0</v>
      </c>
      <c r="EW241" s="51">
        <f t="shared" si="506"/>
        <v>11558724652.853401</v>
      </c>
      <c r="EX241" s="51">
        <f t="shared" ref="EX241:GZ241" si="507">SUM(EX242:EX244)</f>
        <v>23424840038</v>
      </c>
      <c r="EY241" s="51">
        <f t="shared" si="507"/>
        <v>20985013288</v>
      </c>
      <c r="EZ241" s="51">
        <f t="shared" si="507"/>
        <v>20328013288</v>
      </c>
      <c r="FA241" s="51">
        <f t="shared" si="507"/>
        <v>0</v>
      </c>
      <c r="FB241" s="51">
        <f t="shared" si="507"/>
        <v>0</v>
      </c>
      <c r="FC241" s="51">
        <f t="shared" si="507"/>
        <v>0</v>
      </c>
      <c r="FD241" s="51">
        <f t="shared" si="507"/>
        <v>0</v>
      </c>
      <c r="FE241" s="51">
        <f t="shared" si="507"/>
        <v>0</v>
      </c>
      <c r="FF241" s="51">
        <f t="shared" si="507"/>
        <v>0</v>
      </c>
      <c r="FG241" s="51">
        <f t="shared" si="507"/>
        <v>4124006690.5790024</v>
      </c>
      <c r="FH241" s="51">
        <f t="shared" si="507"/>
        <v>421160616</v>
      </c>
      <c r="FI241" s="51">
        <f t="shared" si="507"/>
        <v>138538260</v>
      </c>
      <c r="FJ241" s="51">
        <f t="shared" si="507"/>
        <v>138538260</v>
      </c>
      <c r="FK241" s="51">
        <f t="shared" si="507"/>
        <v>0</v>
      </c>
      <c r="FL241" s="51">
        <f t="shared" si="507"/>
        <v>0</v>
      </c>
      <c r="FM241" s="51">
        <f t="shared" si="507"/>
        <v>0</v>
      </c>
      <c r="FN241" s="51">
        <f t="shared" si="507"/>
        <v>0</v>
      </c>
      <c r="FO241" s="51">
        <f t="shared" si="507"/>
        <v>0</v>
      </c>
      <c r="FP241" s="51">
        <f t="shared" si="507"/>
        <v>0</v>
      </c>
      <c r="FQ241" s="51">
        <f t="shared" si="507"/>
        <v>0</v>
      </c>
      <c r="FR241" s="51">
        <f t="shared" si="507"/>
        <v>5715400127</v>
      </c>
      <c r="FS241" s="51">
        <f t="shared" si="507"/>
        <v>2575885524</v>
      </c>
      <c r="FT241" s="51">
        <f t="shared" si="507"/>
        <v>1733262348</v>
      </c>
      <c r="FU241" s="51">
        <f t="shared" si="507"/>
        <v>0</v>
      </c>
      <c r="FV241" s="51">
        <f t="shared" si="507"/>
        <v>0</v>
      </c>
      <c r="FW241" s="51">
        <f t="shared" si="507"/>
        <v>0</v>
      </c>
      <c r="FX241" s="51">
        <f t="shared" si="507"/>
        <v>0</v>
      </c>
      <c r="FY241" s="51">
        <f t="shared" si="507"/>
        <v>0</v>
      </c>
      <c r="FZ241" s="51">
        <f t="shared" si="507"/>
        <v>0</v>
      </c>
      <c r="GA241" s="51">
        <f t="shared" si="507"/>
        <v>0</v>
      </c>
      <c r="GB241" s="51">
        <f t="shared" si="507"/>
        <v>0</v>
      </c>
      <c r="GC241" s="51">
        <f t="shared" si="507"/>
        <v>0</v>
      </c>
      <c r="GD241" s="51">
        <f t="shared" si="507"/>
        <v>0</v>
      </c>
      <c r="GE241" s="51">
        <f t="shared" si="507"/>
        <v>0</v>
      </c>
      <c r="GF241" s="51">
        <f t="shared" si="507"/>
        <v>0</v>
      </c>
      <c r="GG241" s="51">
        <f t="shared" si="507"/>
        <v>0</v>
      </c>
      <c r="GH241" s="51">
        <f t="shared" si="507"/>
        <v>0</v>
      </c>
      <c r="GI241" s="51">
        <f t="shared" si="507"/>
        <v>0</v>
      </c>
      <c r="GJ241" s="51">
        <f t="shared" si="507"/>
        <v>0</v>
      </c>
      <c r="GK241" s="51">
        <f t="shared" si="507"/>
        <v>7781479701</v>
      </c>
      <c r="GL241" s="51">
        <f t="shared" si="507"/>
        <v>9978535274</v>
      </c>
      <c r="GM241" s="51">
        <f t="shared" si="507"/>
        <v>7701280822</v>
      </c>
      <c r="GN241" s="51">
        <f t="shared" si="507"/>
        <v>466208478</v>
      </c>
      <c r="GO241" s="51">
        <f t="shared" si="507"/>
        <v>0</v>
      </c>
      <c r="GP241" s="51">
        <f t="shared" si="507"/>
        <v>0</v>
      </c>
      <c r="GQ241" s="51">
        <f t="shared" si="507"/>
        <v>0</v>
      </c>
      <c r="GR241" s="51">
        <f t="shared" si="507"/>
        <v>0</v>
      </c>
      <c r="GS241" s="51">
        <f t="shared" si="507"/>
        <v>0</v>
      </c>
      <c r="GT241" s="51">
        <f t="shared" si="507"/>
        <v>0</v>
      </c>
      <c r="GU241" s="51">
        <f t="shared" si="507"/>
        <v>11905486391.579002</v>
      </c>
      <c r="GV241" s="51">
        <f t="shared" si="507"/>
        <v>16115096017</v>
      </c>
      <c r="GW241" s="51">
        <f t="shared" si="507"/>
        <v>10415704606</v>
      </c>
      <c r="GX241" s="51">
        <f t="shared" si="507"/>
        <v>2338009086</v>
      </c>
      <c r="GY241" s="51">
        <f t="shared" si="507"/>
        <v>0</v>
      </c>
      <c r="GZ241" s="51">
        <f t="shared" si="507"/>
        <v>48108623877.212402</v>
      </c>
    </row>
    <row r="242" spans="1:208" ht="93.75" customHeight="1" x14ac:dyDescent="0.2">
      <c r="A242" s="326"/>
      <c r="B242" s="326"/>
      <c r="C242" s="456">
        <v>28</v>
      </c>
      <c r="D242" s="989" t="s">
        <v>589</v>
      </c>
      <c r="E242" s="994">
        <v>0.5</v>
      </c>
      <c r="F242" s="994">
        <v>1</v>
      </c>
      <c r="G242" s="265">
        <v>166</v>
      </c>
      <c r="H242" s="261" t="s">
        <v>590</v>
      </c>
      <c r="I242" s="433" t="s">
        <v>591</v>
      </c>
      <c r="J242" s="513" t="s">
        <v>444</v>
      </c>
      <c r="K242" s="461">
        <v>2</v>
      </c>
      <c r="L242" s="476" t="s">
        <v>58</v>
      </c>
      <c r="M242" s="474">
        <v>1</v>
      </c>
      <c r="N242" s="474">
        <v>0.8</v>
      </c>
      <c r="O242" s="475">
        <v>1</v>
      </c>
      <c r="P242" s="484">
        <v>1</v>
      </c>
      <c r="Q242" s="482">
        <v>1</v>
      </c>
      <c r="R242" s="268"/>
      <c r="S242" s="500">
        <v>0.8</v>
      </c>
      <c r="T242" s="482">
        <v>1</v>
      </c>
      <c r="U242" s="482"/>
      <c r="V242" s="480">
        <v>1</v>
      </c>
      <c r="W242" s="482">
        <v>1</v>
      </c>
      <c r="X242" s="476"/>
      <c r="Y242" s="640">
        <v>0.4</v>
      </c>
      <c r="Z242" s="516"/>
      <c r="AA242" s="265">
        <v>3</v>
      </c>
      <c r="AB242" s="262" t="s">
        <v>455</v>
      </c>
      <c r="AC242" s="57"/>
      <c r="AD242" s="58"/>
      <c r="AE242" s="59"/>
      <c r="AF242" s="59"/>
      <c r="AG242" s="57"/>
      <c r="AH242" s="58"/>
      <c r="AI242" s="58"/>
      <c r="AJ242" s="58"/>
      <c r="AK242" s="57"/>
      <c r="AL242" s="58"/>
      <c r="AM242" s="58"/>
      <c r="AN242" s="58"/>
      <c r="AO242" s="57"/>
      <c r="AP242" s="58"/>
      <c r="AQ242" s="58"/>
      <c r="AR242" s="58"/>
      <c r="AS242" s="57"/>
      <c r="AT242" s="58"/>
      <c r="AU242" s="59"/>
      <c r="AV242" s="59"/>
      <c r="AW242" s="57"/>
      <c r="AX242" s="58"/>
      <c r="AY242" s="58"/>
      <c r="AZ242" s="58"/>
      <c r="BA242" s="57"/>
      <c r="BB242" s="58"/>
      <c r="BC242" s="58"/>
      <c r="BD242" s="58"/>
      <c r="BE242" s="57"/>
      <c r="BF242" s="58"/>
      <c r="BG242" s="59"/>
      <c r="BH242" s="59"/>
      <c r="BI242" s="57"/>
      <c r="BJ242" s="58"/>
      <c r="BK242" s="58"/>
      <c r="BL242" s="58"/>
      <c r="BM242" s="53">
        <f>+AC242+AG242+AK242+AO242+AS242+AW242+BA242+BE242+BI242</f>
        <v>0</v>
      </c>
      <c r="BN242" s="54">
        <f t="shared" ref="BN242:BP244" si="508">AD242+AH242+AL242+AP242+AT242+AX242+BB242+BF242+BJ242</f>
        <v>0</v>
      </c>
      <c r="BO242" s="54">
        <f t="shared" si="508"/>
        <v>0</v>
      </c>
      <c r="BP242" s="54">
        <f t="shared" si="508"/>
        <v>0</v>
      </c>
      <c r="BQ242" s="83"/>
      <c r="BR242" s="83"/>
      <c r="BS242" s="83"/>
      <c r="BT242" s="83"/>
      <c r="BU242" s="83"/>
      <c r="BV242" s="82"/>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1">
        <f t="shared" ref="DE242:DH244" si="509">BQ242+BU242+BZ242+CE242+CI242+CM242+CQ242+CV242+DA242</f>
        <v>0</v>
      </c>
      <c r="DF242" s="95">
        <f t="shared" si="509"/>
        <v>0</v>
      </c>
      <c r="DG242" s="95">
        <f t="shared" si="509"/>
        <v>0</v>
      </c>
      <c r="DH242" s="95">
        <f t="shared" si="509"/>
        <v>0</v>
      </c>
      <c r="DI242" s="95"/>
      <c r="DJ242" s="84"/>
      <c r="DK242" s="65"/>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3"/>
      <c r="EU242" s="83"/>
      <c r="EV242" s="83"/>
      <c r="EW242" s="81">
        <f t="shared" ref="EW242:EX244" si="510">DJ242+DN242+DS242+DX242+EB242+EF242+EJ242+EN242+ES242</f>
        <v>0</v>
      </c>
      <c r="EX242" s="86">
        <f t="shared" si="510"/>
        <v>0</v>
      </c>
      <c r="EY242" s="86">
        <f t="shared" ref="EY242:EZ244" si="511">DL242+DP242+DU242+DZ242+ED242+EH242+EL242+EP242+EU242</f>
        <v>0</v>
      </c>
      <c r="EZ242" s="86">
        <f t="shared" si="511"/>
        <v>0</v>
      </c>
      <c r="FA242" s="176"/>
      <c r="FB242" s="83"/>
      <c r="FC242" s="84"/>
      <c r="FD242" s="84"/>
      <c r="FE242" s="84"/>
      <c r="FF242" s="140"/>
      <c r="FG242" s="83"/>
      <c r="FH242" s="83"/>
      <c r="FI242" s="83"/>
      <c r="FJ242" s="83"/>
      <c r="FK242" s="83"/>
      <c r="FL242" s="83"/>
      <c r="FM242" s="83"/>
      <c r="FN242" s="83"/>
      <c r="FO242" s="83"/>
      <c r="FP242" s="83"/>
      <c r="FQ242" s="83"/>
      <c r="FR242" s="83"/>
      <c r="FS242" s="83"/>
      <c r="FT242" s="83"/>
      <c r="FU242" s="83"/>
      <c r="FV242" s="83"/>
      <c r="FW242" s="83"/>
      <c r="FX242" s="83"/>
      <c r="FY242" s="83"/>
      <c r="FZ242" s="83"/>
      <c r="GA242" s="83"/>
      <c r="GB242" s="83"/>
      <c r="GC242" s="83"/>
      <c r="GD242" s="83"/>
      <c r="GE242" s="83"/>
      <c r="GF242" s="83"/>
      <c r="GG242" s="83"/>
      <c r="GH242" s="83"/>
      <c r="GI242" s="83"/>
      <c r="GJ242" s="83"/>
      <c r="GK242" s="83"/>
      <c r="GL242" s="83"/>
      <c r="GM242" s="83"/>
      <c r="GN242" s="83"/>
      <c r="GO242" s="83"/>
      <c r="GP242" s="83"/>
      <c r="GQ242" s="83"/>
      <c r="GR242" s="83"/>
      <c r="GS242" s="83"/>
      <c r="GT242" s="83"/>
      <c r="GU242" s="81">
        <f t="shared" ref="GU242:GY244" si="512">FB242+FG242+FL242+FQ242+FV242+GA242+GF242+GK242+GP242</f>
        <v>0</v>
      </c>
      <c r="GV242" s="81">
        <f t="shared" si="512"/>
        <v>0</v>
      </c>
      <c r="GW242" s="81">
        <f t="shared" si="512"/>
        <v>0</v>
      </c>
      <c r="GX242" s="81">
        <f t="shared" si="512"/>
        <v>0</v>
      </c>
      <c r="GY242" s="673">
        <f t="shared" si="512"/>
        <v>0</v>
      </c>
      <c r="GZ242" s="67">
        <f>BM242+DE242+EW242+GU242</f>
        <v>0</v>
      </c>
    </row>
    <row r="243" spans="1:208" s="906" customFormat="1" ht="93.75" customHeight="1" x14ac:dyDescent="0.25">
      <c r="A243" s="703"/>
      <c r="B243" s="703"/>
      <c r="C243" s="822"/>
      <c r="D243" s="685"/>
      <c r="E243" s="901"/>
      <c r="F243" s="901"/>
      <c r="G243" s="682">
        <v>167</v>
      </c>
      <c r="H243" s="676" t="s">
        <v>592</v>
      </c>
      <c r="I243" s="898" t="s">
        <v>593</v>
      </c>
      <c r="J243" s="902" t="s">
        <v>444</v>
      </c>
      <c r="K243" s="694">
        <v>2</v>
      </c>
      <c r="L243" s="696" t="s">
        <v>58</v>
      </c>
      <c r="M243" s="903">
        <v>15</v>
      </c>
      <c r="N243" s="903">
        <v>15</v>
      </c>
      <c r="O243" s="690">
        <v>15</v>
      </c>
      <c r="P243" s="695">
        <v>15</v>
      </c>
      <c r="Q243" s="690">
        <v>15</v>
      </c>
      <c r="R243" s="814"/>
      <c r="S243" s="695">
        <v>15</v>
      </c>
      <c r="T243" s="690">
        <v>15</v>
      </c>
      <c r="U243" s="690"/>
      <c r="V243" s="695">
        <v>15</v>
      </c>
      <c r="W243" s="690">
        <v>15</v>
      </c>
      <c r="X243" s="696"/>
      <c r="Y243" s="697">
        <v>14</v>
      </c>
      <c r="Z243" s="852">
        <f>BM243/BM241</f>
        <v>1</v>
      </c>
      <c r="AA243" s="682">
        <v>3</v>
      </c>
      <c r="AB243" s="813" t="s">
        <v>455</v>
      </c>
      <c r="AC243" s="830"/>
      <c r="AD243" s="831"/>
      <c r="AE243" s="818"/>
      <c r="AF243" s="818"/>
      <c r="AG243" s="1008">
        <v>4379703942</v>
      </c>
      <c r="AH243" s="831">
        <v>6005673137</v>
      </c>
      <c r="AI243" s="831">
        <v>3249781642</v>
      </c>
      <c r="AJ243" s="831">
        <v>2379781642</v>
      </c>
      <c r="AK243" s="830"/>
      <c r="AL243" s="831"/>
      <c r="AM243" s="831"/>
      <c r="AN243" s="831"/>
      <c r="AO243" s="830">
        <f>68256639+34500717+423437500+633752000</f>
        <v>1159946856</v>
      </c>
      <c r="AP243" s="831">
        <v>1420369214</v>
      </c>
      <c r="AQ243" s="831">
        <v>1113611691</v>
      </c>
      <c r="AR243" s="831">
        <v>749348680</v>
      </c>
      <c r="AS243" s="830"/>
      <c r="AT243" s="831"/>
      <c r="AU243" s="818"/>
      <c r="AV243" s="818"/>
      <c r="AW243" s="830"/>
      <c r="AX243" s="831"/>
      <c r="AY243" s="831"/>
      <c r="AZ243" s="831"/>
      <c r="BA243" s="830"/>
      <c r="BB243" s="831"/>
      <c r="BC243" s="831"/>
      <c r="BD243" s="831"/>
      <c r="BE243" s="831">
        <v>7882699266</v>
      </c>
      <c r="BF243" s="831">
        <v>10609236816</v>
      </c>
      <c r="BG243" s="818">
        <v>9958568759</v>
      </c>
      <c r="BH243" s="818">
        <v>8423363113</v>
      </c>
      <c r="BI243" s="830"/>
      <c r="BJ243" s="831"/>
      <c r="BK243" s="831"/>
      <c r="BL243" s="831"/>
      <c r="BM243" s="817">
        <f>+AC243+AG243+AK243+AO243+AS243+AW243+BA243+BE243+BI243</f>
        <v>13422350064</v>
      </c>
      <c r="BN243" s="818">
        <f t="shared" si="508"/>
        <v>18035279167</v>
      </c>
      <c r="BO243" s="818">
        <f t="shared" si="508"/>
        <v>14321962092</v>
      </c>
      <c r="BP243" s="818">
        <f t="shared" si="508"/>
        <v>11552493435</v>
      </c>
      <c r="BQ243" s="667"/>
      <c r="BR243" s="667"/>
      <c r="BS243" s="667"/>
      <c r="BT243" s="667"/>
      <c r="BU243" s="667">
        <v>3887271835.7800002</v>
      </c>
      <c r="BV243" s="667">
        <v>8236521107</v>
      </c>
      <c r="BW243" s="667">
        <v>8109705708</v>
      </c>
      <c r="BX243" s="667">
        <v>8109705708</v>
      </c>
      <c r="BY243" s="667">
        <v>85423541</v>
      </c>
      <c r="BZ243" s="667"/>
      <c r="CA243" s="667">
        <v>4606483352</v>
      </c>
      <c r="CB243" s="667">
        <v>4043205327</v>
      </c>
      <c r="CC243" s="667">
        <v>4043205327</v>
      </c>
      <c r="CD243" s="706">
        <v>543294497.85000002</v>
      </c>
      <c r="CE243" s="667"/>
      <c r="CF243" s="667">
        <v>1041292626</v>
      </c>
      <c r="CG243" s="667">
        <v>658816635</v>
      </c>
      <c r="CH243" s="667">
        <v>601773635</v>
      </c>
      <c r="CI243" s="667"/>
      <c r="CJ243" s="667"/>
      <c r="CK243" s="667"/>
      <c r="CL243" s="667"/>
      <c r="CM243" s="667"/>
      <c r="CN243" s="667"/>
      <c r="CO243" s="667"/>
      <c r="CP243" s="667"/>
      <c r="CQ243" s="667"/>
      <c r="CR243" s="667"/>
      <c r="CS243" s="667"/>
      <c r="CT243" s="667"/>
      <c r="CU243" s="667"/>
      <c r="CV243" s="667">
        <v>7334790933</v>
      </c>
      <c r="CW243" s="667">
        <v>10050013964</v>
      </c>
      <c r="CX243" s="667">
        <v>9521853383</v>
      </c>
      <c r="CY243" s="667">
        <v>8864203383</v>
      </c>
      <c r="CZ243" s="706">
        <v>95307757</v>
      </c>
      <c r="DA243" s="667"/>
      <c r="DB243" s="667"/>
      <c r="DC243" s="667"/>
      <c r="DD243" s="667"/>
      <c r="DE243" s="708">
        <f t="shared" si="509"/>
        <v>11222062768.780001</v>
      </c>
      <c r="DF243" s="708">
        <f t="shared" si="509"/>
        <v>23934311049</v>
      </c>
      <c r="DG243" s="708">
        <f t="shared" si="509"/>
        <v>22333581053</v>
      </c>
      <c r="DH243" s="708">
        <f t="shared" si="509"/>
        <v>21618888053</v>
      </c>
      <c r="DI243" s="708">
        <f>CZ243+CD243+BY243</f>
        <v>724025795.85000002</v>
      </c>
      <c r="DJ243" s="706"/>
      <c r="DK243" s="706"/>
      <c r="DL243" s="706"/>
      <c r="DM243" s="706"/>
      <c r="DN243" s="706">
        <v>4003889990.8534002</v>
      </c>
      <c r="DO243" s="706">
        <v>955706200</v>
      </c>
      <c r="DP243" s="706">
        <v>411786240</v>
      </c>
      <c r="DQ243" s="706">
        <v>411786240</v>
      </c>
      <c r="DR243" s="706"/>
      <c r="DS243" s="706"/>
      <c r="DT243" s="706"/>
      <c r="DU243" s="706"/>
      <c r="DV243" s="706"/>
      <c r="DW243" s="706"/>
      <c r="DX243" s="706"/>
      <c r="DY243" s="706">
        <v>14107753403</v>
      </c>
      <c r="DZ243" s="706">
        <v>12671526589</v>
      </c>
      <c r="EA243" s="706">
        <v>12671526589</v>
      </c>
      <c r="EB243" s="706"/>
      <c r="EC243" s="706"/>
      <c r="ED243" s="706"/>
      <c r="EE243" s="706"/>
      <c r="EF243" s="706"/>
      <c r="EG243" s="706"/>
      <c r="EH243" s="706"/>
      <c r="EI243" s="706"/>
      <c r="EJ243" s="706"/>
      <c r="EK243" s="706"/>
      <c r="EL243" s="706"/>
      <c r="EM243" s="706"/>
      <c r="EN243" s="706">
        <v>7554834662</v>
      </c>
      <c r="EO243" s="706">
        <v>8361380435</v>
      </c>
      <c r="EP243" s="706">
        <v>7901700459</v>
      </c>
      <c r="EQ243" s="706">
        <v>7244700459</v>
      </c>
      <c r="ER243" s="706"/>
      <c r="ES243" s="706"/>
      <c r="ET243" s="667"/>
      <c r="EU243" s="667"/>
      <c r="EV243" s="667"/>
      <c r="EW243" s="708">
        <f t="shared" si="510"/>
        <v>11558724652.853401</v>
      </c>
      <c r="EX243" s="819">
        <f t="shared" si="510"/>
        <v>23424840038</v>
      </c>
      <c r="EY243" s="819">
        <f t="shared" si="511"/>
        <v>20985013288</v>
      </c>
      <c r="EZ243" s="819">
        <f t="shared" si="511"/>
        <v>20328013288</v>
      </c>
      <c r="FA243" s="820"/>
      <c r="FB243" s="667"/>
      <c r="FC243" s="706"/>
      <c r="FD243" s="706"/>
      <c r="FE243" s="706"/>
      <c r="FF243" s="904"/>
      <c r="FG243" s="706">
        <v>4124006690.5790024</v>
      </c>
      <c r="FH243" s="689">
        <v>421160616</v>
      </c>
      <c r="FI243" s="689">
        <v>138538260</v>
      </c>
      <c r="FJ243" s="689">
        <v>138538260</v>
      </c>
      <c r="FK243" s="689"/>
      <c r="FL243" s="667"/>
      <c r="FM243" s="689"/>
      <c r="FN243" s="689"/>
      <c r="FO243" s="689"/>
      <c r="FP243" s="689"/>
      <c r="FQ243" s="667"/>
      <c r="FR243" s="667">
        <v>5715400127</v>
      </c>
      <c r="FS243" s="667">
        <v>2575885524</v>
      </c>
      <c r="FT243" s="667">
        <v>1733262348</v>
      </c>
      <c r="FU243" s="667"/>
      <c r="FV243" s="667"/>
      <c r="FW243" s="667"/>
      <c r="FX243" s="667"/>
      <c r="FY243" s="667"/>
      <c r="FZ243" s="667"/>
      <c r="GA243" s="667"/>
      <c r="GB243" s="706"/>
      <c r="GC243" s="706"/>
      <c r="GD243" s="706"/>
      <c r="GE243" s="706"/>
      <c r="GF243" s="707"/>
      <c r="GG243" s="706"/>
      <c r="GH243" s="706"/>
      <c r="GI243" s="706"/>
      <c r="GJ243" s="706"/>
      <c r="GK243" s="1045">
        <v>7781479701</v>
      </c>
      <c r="GL243" s="905">
        <v>9978535274</v>
      </c>
      <c r="GM243" s="905">
        <v>7701280822</v>
      </c>
      <c r="GN243" s="905">
        <v>466208478</v>
      </c>
      <c r="GO243" s="905"/>
      <c r="GP243" s="707"/>
      <c r="GQ243" s="667"/>
      <c r="GR243" s="667"/>
      <c r="GS243" s="667"/>
      <c r="GT243" s="667"/>
      <c r="GU243" s="708">
        <f t="shared" si="512"/>
        <v>11905486391.579002</v>
      </c>
      <c r="GV243" s="708">
        <f t="shared" si="512"/>
        <v>16115096017</v>
      </c>
      <c r="GW243" s="708">
        <f t="shared" si="512"/>
        <v>10415704606</v>
      </c>
      <c r="GX243" s="708">
        <f t="shared" si="512"/>
        <v>2338009086</v>
      </c>
      <c r="GY243" s="709">
        <f t="shared" si="512"/>
        <v>0</v>
      </c>
      <c r="GZ243" s="710">
        <f>BM243+DE243+EW243+GU243</f>
        <v>48108623877.212402</v>
      </c>
    </row>
    <row r="244" spans="1:208" ht="93.75" customHeight="1" x14ac:dyDescent="0.2">
      <c r="A244" s="326"/>
      <c r="B244" s="326"/>
      <c r="C244" s="277"/>
      <c r="D244" s="501"/>
      <c r="E244" s="375"/>
      <c r="F244" s="375"/>
      <c r="G244" s="265">
        <v>168</v>
      </c>
      <c r="H244" s="261" t="s">
        <v>594</v>
      </c>
      <c r="I244" s="433" t="s">
        <v>595</v>
      </c>
      <c r="J244" s="513" t="s">
        <v>444</v>
      </c>
      <c r="K244" s="461">
        <v>2</v>
      </c>
      <c r="L244" s="476" t="s">
        <v>58</v>
      </c>
      <c r="M244" s="474">
        <v>7</v>
      </c>
      <c r="N244" s="474">
        <v>14</v>
      </c>
      <c r="O244" s="475">
        <v>14</v>
      </c>
      <c r="P244" s="484">
        <v>14</v>
      </c>
      <c r="Q244" s="482">
        <v>14</v>
      </c>
      <c r="R244" s="268"/>
      <c r="S244" s="480">
        <v>14</v>
      </c>
      <c r="T244" s="482">
        <v>14</v>
      </c>
      <c r="U244" s="482"/>
      <c r="V244" s="480">
        <v>14</v>
      </c>
      <c r="W244" s="482">
        <v>14</v>
      </c>
      <c r="X244" s="476"/>
      <c r="Y244" s="641">
        <v>4</v>
      </c>
      <c r="Z244" s="516"/>
      <c r="AA244" s="265">
        <v>3</v>
      </c>
      <c r="AB244" s="262" t="s">
        <v>455</v>
      </c>
      <c r="AC244" s="57"/>
      <c r="AD244" s="58"/>
      <c r="AE244" s="59"/>
      <c r="AF244" s="59"/>
      <c r="AG244" s="57"/>
      <c r="AH244" s="58"/>
      <c r="AI244" s="58"/>
      <c r="AJ244" s="58"/>
      <c r="AK244" s="57"/>
      <c r="AL244" s="58"/>
      <c r="AM244" s="58"/>
      <c r="AN244" s="58"/>
      <c r="AO244" s="57"/>
      <c r="AP244" s="58"/>
      <c r="AQ244" s="58"/>
      <c r="AR244" s="58"/>
      <c r="AS244" s="57"/>
      <c r="AT244" s="58"/>
      <c r="AU244" s="59"/>
      <c r="AV244" s="59"/>
      <c r="AW244" s="57"/>
      <c r="AX244" s="58"/>
      <c r="AY244" s="58"/>
      <c r="AZ244" s="58"/>
      <c r="BA244" s="57"/>
      <c r="BB244" s="58"/>
      <c r="BC244" s="58"/>
      <c r="BD244" s="58"/>
      <c r="BE244" s="57"/>
      <c r="BF244" s="58"/>
      <c r="BG244" s="59"/>
      <c r="BH244" s="59"/>
      <c r="BI244" s="57"/>
      <c r="BJ244" s="58"/>
      <c r="BK244" s="58"/>
      <c r="BL244" s="58"/>
      <c r="BM244" s="53">
        <f>+AC244+AG244+AK244+AO244+AS244+AW244+BA244+BE244+BI244</f>
        <v>0</v>
      </c>
      <c r="BN244" s="54">
        <f t="shared" si="508"/>
        <v>0</v>
      </c>
      <c r="BO244" s="54">
        <f t="shared" si="508"/>
        <v>0</v>
      </c>
      <c r="BP244" s="54">
        <f t="shared" si="508"/>
        <v>0</v>
      </c>
      <c r="BQ244" s="83"/>
      <c r="BR244" s="83"/>
      <c r="BS244" s="83"/>
      <c r="BT244" s="83"/>
      <c r="BU244" s="83"/>
      <c r="BV244" s="82"/>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1">
        <f t="shared" si="509"/>
        <v>0</v>
      </c>
      <c r="DF244" s="95">
        <f t="shared" si="509"/>
        <v>0</v>
      </c>
      <c r="DG244" s="95">
        <f t="shared" si="509"/>
        <v>0</v>
      </c>
      <c r="DH244" s="95">
        <f t="shared" si="509"/>
        <v>0</v>
      </c>
      <c r="DI244" s="95"/>
      <c r="DJ244" s="84"/>
      <c r="DK244" s="65"/>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3"/>
      <c r="EU244" s="83"/>
      <c r="EV244" s="83"/>
      <c r="EW244" s="81">
        <f t="shared" si="510"/>
        <v>0</v>
      </c>
      <c r="EX244" s="86">
        <f t="shared" si="510"/>
        <v>0</v>
      </c>
      <c r="EY244" s="86">
        <f t="shared" si="511"/>
        <v>0</v>
      </c>
      <c r="EZ244" s="86">
        <f t="shared" si="511"/>
        <v>0</v>
      </c>
      <c r="FA244" s="176"/>
      <c r="FB244" s="83"/>
      <c r="FC244" s="84"/>
      <c r="FD244" s="84"/>
      <c r="FE244" s="84"/>
      <c r="FF244" s="140"/>
      <c r="FG244" s="83"/>
      <c r="FH244" s="83"/>
      <c r="FI244" s="83"/>
      <c r="FJ244" s="83"/>
      <c r="FK244" s="83"/>
      <c r="FL244" s="83"/>
      <c r="FM244" s="83"/>
      <c r="FN244" s="83"/>
      <c r="FO244" s="83"/>
      <c r="FP244" s="83"/>
      <c r="FQ244" s="83"/>
      <c r="FR244" s="83"/>
      <c r="FS244" s="83"/>
      <c r="FT244" s="83"/>
      <c r="FU244" s="83"/>
      <c r="FV244" s="83"/>
      <c r="FW244" s="83"/>
      <c r="FX244" s="83"/>
      <c r="FY244" s="83"/>
      <c r="FZ244" s="83"/>
      <c r="GA244" s="83"/>
      <c r="GB244" s="83"/>
      <c r="GC244" s="83"/>
      <c r="GD244" s="83"/>
      <c r="GE244" s="83"/>
      <c r="GF244" s="83"/>
      <c r="GG244" s="83"/>
      <c r="GH244" s="83"/>
      <c r="GI244" s="83"/>
      <c r="GJ244" s="83"/>
      <c r="GK244" s="83"/>
      <c r="GL244" s="83"/>
      <c r="GM244" s="83"/>
      <c r="GN244" s="83"/>
      <c r="GO244" s="83"/>
      <c r="GP244" s="83"/>
      <c r="GQ244" s="83"/>
      <c r="GR244" s="83"/>
      <c r="GS244" s="83"/>
      <c r="GT244" s="83"/>
      <c r="GU244" s="81">
        <f t="shared" si="512"/>
        <v>0</v>
      </c>
      <c r="GV244" s="81">
        <f t="shared" si="512"/>
        <v>0</v>
      </c>
      <c r="GW244" s="81">
        <f t="shared" si="512"/>
        <v>0</v>
      </c>
      <c r="GX244" s="81">
        <f t="shared" si="512"/>
        <v>0</v>
      </c>
      <c r="GY244" s="673">
        <f t="shared" si="512"/>
        <v>0</v>
      </c>
      <c r="GZ244" s="67">
        <f>BM244+DE244+EW244+GU244</f>
        <v>0</v>
      </c>
    </row>
    <row r="245" spans="1:208" ht="24.75" customHeight="1" x14ac:dyDescent="0.2">
      <c r="A245" s="326"/>
      <c r="B245" s="326"/>
      <c r="C245" s="246">
        <v>51</v>
      </c>
      <c r="D245" s="247" t="s">
        <v>596</v>
      </c>
      <c r="E245" s="250"/>
      <c r="F245" s="250"/>
      <c r="G245" s="249"/>
      <c r="H245" s="249"/>
      <c r="I245" s="249"/>
      <c r="J245" s="249"/>
      <c r="K245" s="249"/>
      <c r="L245" s="249"/>
      <c r="M245" s="249"/>
      <c r="N245" s="249"/>
      <c r="O245" s="249"/>
      <c r="P245" s="249"/>
      <c r="Q245" s="249"/>
      <c r="R245" s="249"/>
      <c r="S245" s="249"/>
      <c r="T245" s="249"/>
      <c r="U245" s="249"/>
      <c r="V245" s="249"/>
      <c r="W245" s="249"/>
      <c r="X245" s="249"/>
      <c r="Y245" s="296"/>
      <c r="Z245" s="249"/>
      <c r="AA245" s="249"/>
      <c r="AB245" s="249"/>
      <c r="AC245" s="51">
        <f t="shared" ref="AC245:BL245" si="513">SUM(AC246)</f>
        <v>0</v>
      </c>
      <c r="AD245" s="51">
        <f t="shared" si="513"/>
        <v>0</v>
      </c>
      <c r="AE245" s="51">
        <f t="shared" si="513"/>
        <v>0</v>
      </c>
      <c r="AF245" s="51">
        <f t="shared" si="513"/>
        <v>0</v>
      </c>
      <c r="AG245" s="51">
        <f t="shared" si="513"/>
        <v>42864000</v>
      </c>
      <c r="AH245" s="51">
        <f t="shared" si="513"/>
        <v>53645960</v>
      </c>
      <c r="AI245" s="51">
        <f t="shared" si="513"/>
        <v>38266667</v>
      </c>
      <c r="AJ245" s="51">
        <f t="shared" si="513"/>
        <v>38266667</v>
      </c>
      <c r="AK245" s="51">
        <f t="shared" si="513"/>
        <v>0</v>
      </c>
      <c r="AL245" s="51">
        <f t="shared" si="513"/>
        <v>0</v>
      </c>
      <c r="AM245" s="51">
        <f t="shared" si="513"/>
        <v>0</v>
      </c>
      <c r="AN245" s="51">
        <f t="shared" si="513"/>
        <v>0</v>
      </c>
      <c r="AO245" s="51">
        <f t="shared" si="513"/>
        <v>0</v>
      </c>
      <c r="AP245" s="51">
        <f t="shared" si="513"/>
        <v>0</v>
      </c>
      <c r="AQ245" s="51">
        <f t="shared" si="513"/>
        <v>0</v>
      </c>
      <c r="AR245" s="51">
        <f t="shared" si="513"/>
        <v>0</v>
      </c>
      <c r="AS245" s="51">
        <f t="shared" si="513"/>
        <v>0</v>
      </c>
      <c r="AT245" s="51">
        <f t="shared" si="513"/>
        <v>0</v>
      </c>
      <c r="AU245" s="51">
        <f t="shared" si="513"/>
        <v>0</v>
      </c>
      <c r="AV245" s="51">
        <f t="shared" si="513"/>
        <v>0</v>
      </c>
      <c r="AW245" s="51">
        <f t="shared" si="513"/>
        <v>0</v>
      </c>
      <c r="AX245" s="51">
        <f t="shared" si="513"/>
        <v>0</v>
      </c>
      <c r="AY245" s="51">
        <f t="shared" si="513"/>
        <v>0</v>
      </c>
      <c r="AZ245" s="51">
        <f t="shared" si="513"/>
        <v>0</v>
      </c>
      <c r="BA245" s="51">
        <f t="shared" si="513"/>
        <v>0</v>
      </c>
      <c r="BB245" s="51">
        <f t="shared" si="513"/>
        <v>0</v>
      </c>
      <c r="BC245" s="51">
        <f t="shared" si="513"/>
        <v>0</v>
      </c>
      <c r="BD245" s="51">
        <f t="shared" si="513"/>
        <v>0</v>
      </c>
      <c r="BE245" s="51">
        <f t="shared" si="513"/>
        <v>0</v>
      </c>
      <c r="BF245" s="51">
        <f t="shared" si="513"/>
        <v>0</v>
      </c>
      <c r="BG245" s="51">
        <f t="shared" si="513"/>
        <v>0</v>
      </c>
      <c r="BH245" s="51">
        <f t="shared" si="513"/>
        <v>0</v>
      </c>
      <c r="BI245" s="51">
        <f t="shared" si="513"/>
        <v>0</v>
      </c>
      <c r="BJ245" s="51">
        <f t="shared" si="513"/>
        <v>0</v>
      </c>
      <c r="BK245" s="51">
        <f t="shared" si="513"/>
        <v>0</v>
      </c>
      <c r="BL245" s="51">
        <f t="shared" si="513"/>
        <v>0</v>
      </c>
      <c r="BM245" s="51">
        <f t="shared" ref="BM245:DX245" si="514">SUM(BM246)</f>
        <v>42864000</v>
      </c>
      <c r="BN245" s="51">
        <f t="shared" si="514"/>
        <v>53645960</v>
      </c>
      <c r="BO245" s="51">
        <f t="shared" si="514"/>
        <v>38266667</v>
      </c>
      <c r="BP245" s="51">
        <f t="shared" si="514"/>
        <v>38266667</v>
      </c>
      <c r="BQ245" s="51">
        <f t="shared" si="514"/>
        <v>0</v>
      </c>
      <c r="BR245" s="51">
        <f t="shared" si="514"/>
        <v>0</v>
      </c>
      <c r="BS245" s="51">
        <f t="shared" si="514"/>
        <v>0</v>
      </c>
      <c r="BT245" s="51">
        <f t="shared" si="514"/>
        <v>0</v>
      </c>
      <c r="BU245" s="51">
        <f t="shared" si="514"/>
        <v>44149920</v>
      </c>
      <c r="BV245" s="51">
        <f t="shared" si="514"/>
        <v>0</v>
      </c>
      <c r="BW245" s="51">
        <f t="shared" si="514"/>
        <v>0</v>
      </c>
      <c r="BX245" s="51">
        <f t="shared" si="514"/>
        <v>0</v>
      </c>
      <c r="BY245" s="51">
        <f t="shared" si="514"/>
        <v>0</v>
      </c>
      <c r="BZ245" s="51">
        <f t="shared" si="514"/>
        <v>0</v>
      </c>
      <c r="CA245" s="51">
        <f t="shared" si="514"/>
        <v>44149920</v>
      </c>
      <c r="CB245" s="51">
        <f t="shared" si="514"/>
        <v>43560000</v>
      </c>
      <c r="CC245" s="51">
        <f t="shared" si="514"/>
        <v>43560000</v>
      </c>
      <c r="CD245" s="51">
        <f t="shared" si="514"/>
        <v>0</v>
      </c>
      <c r="CE245" s="51">
        <f t="shared" si="514"/>
        <v>0</v>
      </c>
      <c r="CF245" s="51">
        <f t="shared" si="514"/>
        <v>0</v>
      </c>
      <c r="CG245" s="51">
        <f t="shared" si="514"/>
        <v>0</v>
      </c>
      <c r="CH245" s="51">
        <f t="shared" si="514"/>
        <v>0</v>
      </c>
      <c r="CI245" s="51">
        <f t="shared" si="514"/>
        <v>0</v>
      </c>
      <c r="CJ245" s="51">
        <f t="shared" si="514"/>
        <v>0</v>
      </c>
      <c r="CK245" s="51">
        <f t="shared" si="514"/>
        <v>0</v>
      </c>
      <c r="CL245" s="51">
        <f t="shared" si="514"/>
        <v>0</v>
      </c>
      <c r="CM245" s="51">
        <f t="shared" si="514"/>
        <v>0</v>
      </c>
      <c r="CN245" s="51">
        <f t="shared" si="514"/>
        <v>0</v>
      </c>
      <c r="CO245" s="51">
        <f t="shared" si="514"/>
        <v>0</v>
      </c>
      <c r="CP245" s="51">
        <f t="shared" si="514"/>
        <v>0</v>
      </c>
      <c r="CQ245" s="51">
        <f t="shared" si="514"/>
        <v>0</v>
      </c>
      <c r="CR245" s="51">
        <f t="shared" si="514"/>
        <v>0</v>
      </c>
      <c r="CS245" s="51">
        <f t="shared" si="514"/>
        <v>0</v>
      </c>
      <c r="CT245" s="51">
        <f t="shared" si="514"/>
        <v>0</v>
      </c>
      <c r="CU245" s="51">
        <f t="shared" si="514"/>
        <v>0</v>
      </c>
      <c r="CV245" s="51">
        <f t="shared" si="514"/>
        <v>0</v>
      </c>
      <c r="CW245" s="51">
        <f t="shared" si="514"/>
        <v>0</v>
      </c>
      <c r="CX245" s="51">
        <f t="shared" si="514"/>
        <v>0</v>
      </c>
      <c r="CY245" s="51">
        <f t="shared" si="514"/>
        <v>0</v>
      </c>
      <c r="CZ245" s="51">
        <f t="shared" si="514"/>
        <v>0</v>
      </c>
      <c r="DA245" s="51">
        <f t="shared" si="514"/>
        <v>0</v>
      </c>
      <c r="DB245" s="51">
        <f t="shared" si="514"/>
        <v>0</v>
      </c>
      <c r="DC245" s="51">
        <f t="shared" si="514"/>
        <v>0</v>
      </c>
      <c r="DD245" s="51">
        <f t="shared" si="514"/>
        <v>0</v>
      </c>
      <c r="DE245" s="51">
        <f t="shared" si="514"/>
        <v>44149920</v>
      </c>
      <c r="DF245" s="51">
        <f t="shared" si="514"/>
        <v>44149920</v>
      </c>
      <c r="DG245" s="51">
        <f t="shared" si="514"/>
        <v>43560000</v>
      </c>
      <c r="DH245" s="51">
        <f t="shared" si="514"/>
        <v>43560000</v>
      </c>
      <c r="DI245" s="51">
        <f t="shared" si="514"/>
        <v>0</v>
      </c>
      <c r="DJ245" s="51">
        <f t="shared" si="514"/>
        <v>0</v>
      </c>
      <c r="DK245" s="51">
        <f t="shared" si="514"/>
        <v>0</v>
      </c>
      <c r="DL245" s="51">
        <f t="shared" si="514"/>
        <v>0</v>
      </c>
      <c r="DM245" s="51">
        <f t="shared" si="514"/>
        <v>0</v>
      </c>
      <c r="DN245" s="51">
        <f t="shared" si="514"/>
        <v>45474417.600000001</v>
      </c>
      <c r="DO245" s="51">
        <f t="shared" si="514"/>
        <v>0</v>
      </c>
      <c r="DP245" s="51">
        <f t="shared" si="514"/>
        <v>0</v>
      </c>
      <c r="DQ245" s="51">
        <f t="shared" si="514"/>
        <v>0</v>
      </c>
      <c r="DR245" s="51">
        <f t="shared" si="514"/>
        <v>0</v>
      </c>
      <c r="DS245" s="51">
        <f t="shared" si="514"/>
        <v>0</v>
      </c>
      <c r="DT245" s="51">
        <f t="shared" si="514"/>
        <v>44149920</v>
      </c>
      <c r="DU245" s="51">
        <f t="shared" si="514"/>
        <v>43560000</v>
      </c>
      <c r="DV245" s="51">
        <f t="shared" si="514"/>
        <v>43560000</v>
      </c>
      <c r="DW245" s="51">
        <f t="shared" si="514"/>
        <v>0</v>
      </c>
      <c r="DX245" s="51">
        <f t="shared" si="514"/>
        <v>0</v>
      </c>
      <c r="DY245" s="51">
        <f t="shared" ref="DY245:EW245" si="515">SUM(DY246)</f>
        <v>0</v>
      </c>
      <c r="DZ245" s="51">
        <f t="shared" si="515"/>
        <v>0</v>
      </c>
      <c r="EA245" s="51">
        <f t="shared" si="515"/>
        <v>0</v>
      </c>
      <c r="EB245" s="51">
        <f t="shared" si="515"/>
        <v>0</v>
      </c>
      <c r="EC245" s="51">
        <f t="shared" si="515"/>
        <v>0</v>
      </c>
      <c r="ED245" s="51">
        <f t="shared" si="515"/>
        <v>0</v>
      </c>
      <c r="EE245" s="51">
        <f t="shared" si="515"/>
        <v>0</v>
      </c>
      <c r="EF245" s="51">
        <f t="shared" si="515"/>
        <v>0</v>
      </c>
      <c r="EG245" s="51">
        <f t="shared" si="515"/>
        <v>0</v>
      </c>
      <c r="EH245" s="51">
        <f t="shared" si="515"/>
        <v>0</v>
      </c>
      <c r="EI245" s="51">
        <f t="shared" si="515"/>
        <v>0</v>
      </c>
      <c r="EJ245" s="51">
        <f t="shared" si="515"/>
        <v>0</v>
      </c>
      <c r="EK245" s="51">
        <f t="shared" si="515"/>
        <v>0</v>
      </c>
      <c r="EL245" s="51">
        <f t="shared" si="515"/>
        <v>0</v>
      </c>
      <c r="EM245" s="51">
        <f t="shared" si="515"/>
        <v>0</v>
      </c>
      <c r="EN245" s="51">
        <f t="shared" si="515"/>
        <v>0</v>
      </c>
      <c r="EO245" s="51">
        <f t="shared" si="515"/>
        <v>0</v>
      </c>
      <c r="EP245" s="51">
        <f t="shared" si="515"/>
        <v>0</v>
      </c>
      <c r="EQ245" s="51">
        <f t="shared" si="515"/>
        <v>0</v>
      </c>
      <c r="ER245" s="51">
        <f t="shared" si="515"/>
        <v>0</v>
      </c>
      <c r="ES245" s="51">
        <f t="shared" si="515"/>
        <v>0</v>
      </c>
      <c r="ET245" s="51">
        <f t="shared" si="515"/>
        <v>0</v>
      </c>
      <c r="EU245" s="51">
        <f t="shared" si="515"/>
        <v>0</v>
      </c>
      <c r="EV245" s="51">
        <f t="shared" si="515"/>
        <v>0</v>
      </c>
      <c r="EW245" s="51">
        <f t="shared" si="515"/>
        <v>45474417.600000001</v>
      </c>
      <c r="EX245" s="51">
        <f t="shared" ref="EX245:GZ245" si="516">SUM(EX246)</f>
        <v>44149920</v>
      </c>
      <c r="EY245" s="51">
        <f t="shared" si="516"/>
        <v>43560000</v>
      </c>
      <c r="EZ245" s="51">
        <f t="shared" si="516"/>
        <v>43560000</v>
      </c>
      <c r="FA245" s="51">
        <f t="shared" si="516"/>
        <v>0</v>
      </c>
      <c r="FB245" s="51">
        <f t="shared" si="516"/>
        <v>0</v>
      </c>
      <c r="FC245" s="51">
        <f t="shared" si="516"/>
        <v>0</v>
      </c>
      <c r="FD245" s="51">
        <f t="shared" si="516"/>
        <v>0</v>
      </c>
      <c r="FE245" s="51">
        <f t="shared" si="516"/>
        <v>0</v>
      </c>
      <c r="FF245" s="51">
        <f t="shared" si="516"/>
        <v>0</v>
      </c>
      <c r="FG245" s="51">
        <f t="shared" si="516"/>
        <v>46838650.128000006</v>
      </c>
      <c r="FH245" s="51">
        <f t="shared" si="516"/>
        <v>0</v>
      </c>
      <c r="FI245" s="51">
        <f t="shared" si="516"/>
        <v>0</v>
      </c>
      <c r="FJ245" s="51">
        <f t="shared" si="516"/>
        <v>0</v>
      </c>
      <c r="FK245" s="51">
        <f t="shared" si="516"/>
        <v>0</v>
      </c>
      <c r="FL245" s="51">
        <f t="shared" si="516"/>
        <v>0</v>
      </c>
      <c r="FM245" s="51">
        <f t="shared" si="516"/>
        <v>58080000</v>
      </c>
      <c r="FN245" s="51">
        <f t="shared" si="516"/>
        <v>13990000</v>
      </c>
      <c r="FO245" s="51">
        <f t="shared" si="516"/>
        <v>13990000</v>
      </c>
      <c r="FP245" s="51">
        <f t="shared" si="516"/>
        <v>0</v>
      </c>
      <c r="FQ245" s="51">
        <f t="shared" si="516"/>
        <v>0</v>
      </c>
      <c r="FR245" s="51">
        <f t="shared" si="516"/>
        <v>0</v>
      </c>
      <c r="FS245" s="51">
        <f t="shared" si="516"/>
        <v>0</v>
      </c>
      <c r="FT245" s="51">
        <f t="shared" si="516"/>
        <v>0</v>
      </c>
      <c r="FU245" s="51">
        <f t="shared" si="516"/>
        <v>0</v>
      </c>
      <c r="FV245" s="51">
        <f t="shared" si="516"/>
        <v>0</v>
      </c>
      <c r="FW245" s="51">
        <f t="shared" si="516"/>
        <v>0</v>
      </c>
      <c r="FX245" s="51">
        <f t="shared" si="516"/>
        <v>0</v>
      </c>
      <c r="FY245" s="51">
        <f t="shared" si="516"/>
        <v>0</v>
      </c>
      <c r="FZ245" s="51">
        <f t="shared" si="516"/>
        <v>0</v>
      </c>
      <c r="GA245" s="51">
        <f t="shared" si="516"/>
        <v>0</v>
      </c>
      <c r="GB245" s="51">
        <f t="shared" si="516"/>
        <v>0</v>
      </c>
      <c r="GC245" s="51">
        <f t="shared" si="516"/>
        <v>0</v>
      </c>
      <c r="GD245" s="51">
        <f t="shared" si="516"/>
        <v>0</v>
      </c>
      <c r="GE245" s="51">
        <f t="shared" si="516"/>
        <v>0</v>
      </c>
      <c r="GF245" s="51">
        <f t="shared" si="516"/>
        <v>0</v>
      </c>
      <c r="GG245" s="51">
        <f t="shared" si="516"/>
        <v>0</v>
      </c>
      <c r="GH245" s="51">
        <f t="shared" si="516"/>
        <v>0</v>
      </c>
      <c r="GI245" s="51">
        <f t="shared" si="516"/>
        <v>0</v>
      </c>
      <c r="GJ245" s="51">
        <f t="shared" si="516"/>
        <v>0</v>
      </c>
      <c r="GK245" s="51">
        <f t="shared" si="516"/>
        <v>0</v>
      </c>
      <c r="GL245" s="51">
        <f t="shared" si="516"/>
        <v>0</v>
      </c>
      <c r="GM245" s="51">
        <f t="shared" si="516"/>
        <v>0</v>
      </c>
      <c r="GN245" s="51">
        <f t="shared" si="516"/>
        <v>0</v>
      </c>
      <c r="GO245" s="51">
        <f t="shared" si="516"/>
        <v>0</v>
      </c>
      <c r="GP245" s="51">
        <f t="shared" si="516"/>
        <v>0</v>
      </c>
      <c r="GQ245" s="51">
        <f t="shared" si="516"/>
        <v>0</v>
      </c>
      <c r="GR245" s="51">
        <f t="shared" si="516"/>
        <v>0</v>
      </c>
      <c r="GS245" s="51">
        <f t="shared" si="516"/>
        <v>0</v>
      </c>
      <c r="GT245" s="51">
        <f t="shared" si="516"/>
        <v>0</v>
      </c>
      <c r="GU245" s="51">
        <f t="shared" si="516"/>
        <v>46838650.128000006</v>
      </c>
      <c r="GV245" s="51">
        <f t="shared" si="516"/>
        <v>58080000</v>
      </c>
      <c r="GW245" s="51">
        <f t="shared" si="516"/>
        <v>13990000</v>
      </c>
      <c r="GX245" s="51">
        <f t="shared" si="516"/>
        <v>13990000</v>
      </c>
      <c r="GY245" s="51">
        <f t="shared" si="516"/>
        <v>0</v>
      </c>
      <c r="GZ245" s="51">
        <f t="shared" si="516"/>
        <v>179326987.72799999</v>
      </c>
    </row>
    <row r="246" spans="1:208" ht="62.25" customHeight="1" x14ac:dyDescent="0.2">
      <c r="A246" s="326"/>
      <c r="B246" s="326"/>
      <c r="C246" s="288" t="s">
        <v>597</v>
      </c>
      <c r="D246" s="723" t="s">
        <v>598</v>
      </c>
      <c r="E246" s="725">
        <v>0.6</v>
      </c>
      <c r="F246" s="725">
        <v>1</v>
      </c>
      <c r="G246" s="265">
        <v>169</v>
      </c>
      <c r="H246" s="261" t="s">
        <v>599</v>
      </c>
      <c r="I246" s="433" t="s">
        <v>600</v>
      </c>
      <c r="J246" s="513" t="s">
        <v>444</v>
      </c>
      <c r="K246" s="461">
        <v>2</v>
      </c>
      <c r="L246" s="476" t="s">
        <v>58</v>
      </c>
      <c r="M246" s="474">
        <v>8</v>
      </c>
      <c r="N246" s="474">
        <v>12</v>
      </c>
      <c r="O246" s="475">
        <v>12</v>
      </c>
      <c r="P246" s="484">
        <v>12</v>
      </c>
      <c r="Q246" s="482">
        <v>12</v>
      </c>
      <c r="R246" s="268"/>
      <c r="S246" s="480">
        <v>12</v>
      </c>
      <c r="T246" s="482">
        <v>12</v>
      </c>
      <c r="U246" s="482"/>
      <c r="V246" s="480">
        <v>12</v>
      </c>
      <c r="W246" s="482">
        <v>12</v>
      </c>
      <c r="X246" s="476"/>
      <c r="Y246" s="641">
        <v>6</v>
      </c>
      <c r="Z246" s="390">
        <f>BM246/BM245</f>
        <v>1</v>
      </c>
      <c r="AA246" s="265">
        <v>3</v>
      </c>
      <c r="AB246" s="262" t="s">
        <v>455</v>
      </c>
      <c r="AC246" s="56"/>
      <c r="AD246" s="55"/>
      <c r="AE246" s="54"/>
      <c r="AF246" s="54"/>
      <c r="AG246" s="55">
        <v>42864000</v>
      </c>
      <c r="AH246" s="55">
        <v>53645960</v>
      </c>
      <c r="AI246" s="55">
        <v>38266667</v>
      </c>
      <c r="AJ246" s="55">
        <v>38266667</v>
      </c>
      <c r="AK246" s="56"/>
      <c r="AL246" s="55"/>
      <c r="AM246" s="55"/>
      <c r="AN246" s="55"/>
      <c r="AO246" s="56"/>
      <c r="AP246" s="55"/>
      <c r="AQ246" s="55"/>
      <c r="AR246" s="55"/>
      <c r="AS246" s="56"/>
      <c r="AT246" s="55"/>
      <c r="AU246" s="54"/>
      <c r="AV246" s="54"/>
      <c r="AW246" s="56"/>
      <c r="AX246" s="55"/>
      <c r="AY246" s="55"/>
      <c r="AZ246" s="55"/>
      <c r="BA246" s="56"/>
      <c r="BB246" s="55"/>
      <c r="BC246" s="55"/>
      <c r="BD246" s="55"/>
      <c r="BE246" s="56"/>
      <c r="BF246" s="55"/>
      <c r="BG246" s="54"/>
      <c r="BH246" s="54"/>
      <c r="BI246" s="56"/>
      <c r="BJ246" s="55"/>
      <c r="BK246" s="55"/>
      <c r="BL246" s="55"/>
      <c r="BM246" s="53">
        <f>+AC246+AG246+AK246+AO246+AS246+AW246+BA246+BE246+BI246</f>
        <v>42864000</v>
      </c>
      <c r="BN246" s="54">
        <f>AD246+AH246+AL246+AP246+AT246+AX246+BB246+BF246+BJ246</f>
        <v>53645960</v>
      </c>
      <c r="BO246" s="54">
        <f>AE246+AI246+AM246+AQ246+AU246+AY246+BC246+BG246+BK246</f>
        <v>38266667</v>
      </c>
      <c r="BP246" s="54">
        <f>AF246+AJ246+AN246+AR246+AV246+AZ246+BD246+BH246+BL246</f>
        <v>38266667</v>
      </c>
      <c r="BQ246" s="83"/>
      <c r="BR246" s="83"/>
      <c r="BS246" s="83"/>
      <c r="BT246" s="83"/>
      <c r="BU246" s="84">
        <v>44149920</v>
      </c>
      <c r="BV246" s="82"/>
      <c r="BW246" s="83"/>
      <c r="BX246" s="82"/>
      <c r="BY246" s="82"/>
      <c r="BZ246" s="83"/>
      <c r="CA246" s="82">
        <v>44149920</v>
      </c>
      <c r="CB246" s="82">
        <v>43560000</v>
      </c>
      <c r="CC246" s="82">
        <v>43560000</v>
      </c>
      <c r="CD246" s="82"/>
      <c r="CE246" s="83"/>
      <c r="CF246" s="82"/>
      <c r="CG246" s="82"/>
      <c r="CH246" s="82"/>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1">
        <f>BQ246+BU246+BZ246+CE246+CI246+CM246+CQ246+CV246+DA246</f>
        <v>44149920</v>
      </c>
      <c r="DF246" s="95">
        <f>BR246+BV246+CA246+CF246+CJ246+CN246+CR246+CW246+DB246</f>
        <v>44149920</v>
      </c>
      <c r="DG246" s="95">
        <f>BS246+BW246+CB246+CG246+CK246+CO246+CS246+CX246+DC246</f>
        <v>43560000</v>
      </c>
      <c r="DH246" s="95">
        <f>BT246+BX246+CC246+CH246+CL246+CP246+CT246+CY246+DD246</f>
        <v>43560000</v>
      </c>
      <c r="DI246" s="95"/>
      <c r="DJ246" s="84"/>
      <c r="DK246" s="65"/>
      <c r="DL246" s="84"/>
      <c r="DM246" s="84"/>
      <c r="DN246" s="84">
        <v>45474417.600000001</v>
      </c>
      <c r="DO246" s="84"/>
      <c r="DP246" s="84"/>
      <c r="DQ246" s="84"/>
      <c r="DR246" s="84"/>
      <c r="DS246" s="84"/>
      <c r="DT246" s="84">
        <v>44149920</v>
      </c>
      <c r="DU246" s="84">
        <v>43560000</v>
      </c>
      <c r="DV246" s="84">
        <v>43560000</v>
      </c>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3"/>
      <c r="EU246" s="83"/>
      <c r="EV246" s="83"/>
      <c r="EW246" s="81">
        <f>DJ246+DN246+DS246+DX246+EB246+EF246+EJ246+EN246+ES246</f>
        <v>45474417.600000001</v>
      </c>
      <c r="EX246" s="86">
        <f>DK246+DO246+DT246+DY246+EC246+EG246+EK246+EO246+ET246</f>
        <v>44149920</v>
      </c>
      <c r="EY246" s="86">
        <f>DL246+DP246+DU246+DZ246+ED246+EH246+EL246+EP246+EU246</f>
        <v>43560000</v>
      </c>
      <c r="EZ246" s="86">
        <f>DM246+DQ246+DV246+EA246+EE246+EI246+EM246+EQ246+EV246</f>
        <v>43560000</v>
      </c>
      <c r="FA246" s="176"/>
      <c r="FB246" s="83"/>
      <c r="FC246" s="84"/>
      <c r="FD246" s="84"/>
      <c r="FE246" s="84"/>
      <c r="FF246" s="140"/>
      <c r="FG246" s="83">
        <v>46838650.128000006</v>
      </c>
      <c r="FH246" s="83"/>
      <c r="FI246" s="83"/>
      <c r="FJ246" s="83"/>
      <c r="FK246" s="83"/>
      <c r="FL246" s="83"/>
      <c r="FM246" s="83">
        <v>58080000</v>
      </c>
      <c r="FN246" s="83">
        <v>13990000</v>
      </c>
      <c r="FO246" s="83">
        <v>13990000</v>
      </c>
      <c r="FP246" s="83"/>
      <c r="FQ246" s="83"/>
      <c r="FR246" s="83"/>
      <c r="FS246" s="83"/>
      <c r="FT246" s="83"/>
      <c r="FU246" s="83"/>
      <c r="FV246" s="83"/>
      <c r="FW246" s="83"/>
      <c r="FX246" s="83"/>
      <c r="FY246" s="83"/>
      <c r="FZ246" s="83"/>
      <c r="GA246" s="83"/>
      <c r="GB246" s="83"/>
      <c r="GC246" s="83"/>
      <c r="GD246" s="83"/>
      <c r="GE246" s="83"/>
      <c r="GF246" s="83"/>
      <c r="GG246" s="83"/>
      <c r="GH246" s="83"/>
      <c r="GI246" s="83"/>
      <c r="GJ246" s="83"/>
      <c r="GK246" s="83"/>
      <c r="GL246" s="83"/>
      <c r="GM246" s="83"/>
      <c r="GN246" s="83"/>
      <c r="GO246" s="83"/>
      <c r="GP246" s="83"/>
      <c r="GQ246" s="83"/>
      <c r="GR246" s="83"/>
      <c r="GS246" s="83"/>
      <c r="GT246" s="83"/>
      <c r="GU246" s="81">
        <f>FB246+FG246+FL246+FQ246+FV246+GA246+GF246+GK246+GP246</f>
        <v>46838650.128000006</v>
      </c>
      <c r="GV246" s="81">
        <f>FC246+FH246+FM246+FR246+FW246+GB246+GG246+GL246+GQ246</f>
        <v>58080000</v>
      </c>
      <c r="GW246" s="81">
        <f>FD246+FI246+FN246+FS246+FX246+GC246+GH246+GM246+GR246</f>
        <v>13990000</v>
      </c>
      <c r="GX246" s="81">
        <f>FE246+FJ246+FO246+FT246+FY246+GD246+GI246+GN246+GS246</f>
        <v>13990000</v>
      </c>
      <c r="GY246" s="673">
        <f>FF246+FK246+FP246+FU246+FZ246+GE246+GJ246+GO246+GT246</f>
        <v>0</v>
      </c>
      <c r="GZ246" s="67">
        <f>BM246+DE246+EW246+GU246</f>
        <v>179326987.72799999</v>
      </c>
    </row>
    <row r="247" spans="1:208" ht="24.75" customHeight="1" x14ac:dyDescent="0.2">
      <c r="A247" s="326"/>
      <c r="B247" s="326"/>
      <c r="C247" s="246">
        <v>52</v>
      </c>
      <c r="D247" s="247" t="s">
        <v>601</v>
      </c>
      <c r="E247" s="295"/>
      <c r="F247" s="295"/>
      <c r="G247" s="249"/>
      <c r="H247" s="249"/>
      <c r="I247" s="249"/>
      <c r="J247" s="249"/>
      <c r="K247" s="249"/>
      <c r="L247" s="249"/>
      <c r="M247" s="249"/>
      <c r="N247" s="249"/>
      <c r="O247" s="249"/>
      <c r="P247" s="249"/>
      <c r="Q247" s="249"/>
      <c r="R247" s="249"/>
      <c r="S247" s="249"/>
      <c r="T247" s="249"/>
      <c r="U247" s="249"/>
      <c r="V247" s="249"/>
      <c r="W247" s="249"/>
      <c r="X247" s="249"/>
      <c r="Y247" s="296"/>
      <c r="Z247" s="249"/>
      <c r="AA247" s="249"/>
      <c r="AB247" s="249"/>
      <c r="AC247" s="199">
        <f t="shared" ref="AC247:BL247" si="517">SUM(AC248:AC250)</f>
        <v>0</v>
      </c>
      <c r="AD247" s="199">
        <f t="shared" si="517"/>
        <v>0</v>
      </c>
      <c r="AE247" s="199">
        <f t="shared" si="517"/>
        <v>0</v>
      </c>
      <c r="AF247" s="199">
        <f t="shared" si="517"/>
        <v>0</v>
      </c>
      <c r="AG247" s="199">
        <f t="shared" si="517"/>
        <v>140000000</v>
      </c>
      <c r="AH247" s="199">
        <f t="shared" si="517"/>
        <v>140000000</v>
      </c>
      <c r="AI247" s="199">
        <f t="shared" si="517"/>
        <v>0</v>
      </c>
      <c r="AJ247" s="199">
        <f t="shared" si="517"/>
        <v>0</v>
      </c>
      <c r="AK247" s="199">
        <f t="shared" si="517"/>
        <v>310000000</v>
      </c>
      <c r="AL247" s="199">
        <f t="shared" si="517"/>
        <v>310000000</v>
      </c>
      <c r="AM247" s="199">
        <f t="shared" si="517"/>
        <v>310000000</v>
      </c>
      <c r="AN247" s="199">
        <f t="shared" si="517"/>
        <v>310000000</v>
      </c>
      <c r="AO247" s="199">
        <f t="shared" si="517"/>
        <v>0</v>
      </c>
      <c r="AP247" s="199">
        <f t="shared" si="517"/>
        <v>0</v>
      </c>
      <c r="AQ247" s="199">
        <f t="shared" si="517"/>
        <v>0</v>
      </c>
      <c r="AR247" s="199">
        <f t="shared" si="517"/>
        <v>0</v>
      </c>
      <c r="AS247" s="199">
        <f t="shared" si="517"/>
        <v>0</v>
      </c>
      <c r="AT247" s="199">
        <f t="shared" si="517"/>
        <v>0</v>
      </c>
      <c r="AU247" s="199">
        <f t="shared" si="517"/>
        <v>0</v>
      </c>
      <c r="AV247" s="199">
        <f t="shared" si="517"/>
        <v>0</v>
      </c>
      <c r="AW247" s="199">
        <f t="shared" si="517"/>
        <v>0</v>
      </c>
      <c r="AX247" s="199">
        <f t="shared" si="517"/>
        <v>0</v>
      </c>
      <c r="AY247" s="199">
        <f t="shared" si="517"/>
        <v>0</v>
      </c>
      <c r="AZ247" s="199">
        <f t="shared" si="517"/>
        <v>0</v>
      </c>
      <c r="BA247" s="199">
        <f t="shared" si="517"/>
        <v>0</v>
      </c>
      <c r="BB247" s="199">
        <f t="shared" si="517"/>
        <v>0</v>
      </c>
      <c r="BC247" s="199">
        <f t="shared" si="517"/>
        <v>0</v>
      </c>
      <c r="BD247" s="199">
        <f t="shared" si="517"/>
        <v>0</v>
      </c>
      <c r="BE247" s="199">
        <f t="shared" si="517"/>
        <v>0</v>
      </c>
      <c r="BF247" s="199">
        <f t="shared" si="517"/>
        <v>0</v>
      </c>
      <c r="BG247" s="199">
        <f t="shared" si="517"/>
        <v>0</v>
      </c>
      <c r="BH247" s="199">
        <f t="shared" si="517"/>
        <v>0</v>
      </c>
      <c r="BI247" s="199">
        <f t="shared" si="517"/>
        <v>0</v>
      </c>
      <c r="BJ247" s="199">
        <f t="shared" si="517"/>
        <v>0</v>
      </c>
      <c r="BK247" s="199">
        <f t="shared" si="517"/>
        <v>0</v>
      </c>
      <c r="BL247" s="199">
        <f t="shared" si="517"/>
        <v>0</v>
      </c>
      <c r="BM247" s="199">
        <f t="shared" ref="BM247:DX247" si="518">SUM(BM248:BM250)</f>
        <v>450000000</v>
      </c>
      <c r="BN247" s="199">
        <f t="shared" si="518"/>
        <v>450000000</v>
      </c>
      <c r="BO247" s="199">
        <f t="shared" si="518"/>
        <v>310000000</v>
      </c>
      <c r="BP247" s="199">
        <f t="shared" si="518"/>
        <v>310000000</v>
      </c>
      <c r="BQ247" s="199">
        <f t="shared" si="518"/>
        <v>0</v>
      </c>
      <c r="BR247" s="199">
        <f t="shared" si="518"/>
        <v>0</v>
      </c>
      <c r="BS247" s="199">
        <f t="shared" si="518"/>
        <v>0</v>
      </c>
      <c r="BT247" s="199">
        <f t="shared" si="518"/>
        <v>0</v>
      </c>
      <c r="BU247" s="199">
        <f t="shared" si="518"/>
        <v>144199999.99999955</v>
      </c>
      <c r="BV247" s="199">
        <f t="shared" si="518"/>
        <v>400000000</v>
      </c>
      <c r="BW247" s="199">
        <f t="shared" si="518"/>
        <v>117000000</v>
      </c>
      <c r="BX247" s="199">
        <f t="shared" si="518"/>
        <v>105000000</v>
      </c>
      <c r="BY247" s="199">
        <f t="shared" si="518"/>
        <v>0</v>
      </c>
      <c r="BZ247" s="199">
        <f t="shared" si="518"/>
        <v>300000000</v>
      </c>
      <c r="CA247" s="199">
        <f t="shared" si="518"/>
        <v>444200000</v>
      </c>
      <c r="CB247" s="199">
        <f t="shared" si="518"/>
        <v>109985124</v>
      </c>
      <c r="CC247" s="199">
        <f t="shared" si="518"/>
        <v>94985034</v>
      </c>
      <c r="CD247" s="199">
        <f t="shared" si="518"/>
        <v>0</v>
      </c>
      <c r="CE247" s="199">
        <f t="shared" si="518"/>
        <v>0</v>
      </c>
      <c r="CF247" s="199">
        <f t="shared" si="518"/>
        <v>0</v>
      </c>
      <c r="CG247" s="199">
        <f t="shared" si="518"/>
        <v>0</v>
      </c>
      <c r="CH247" s="199">
        <f t="shared" si="518"/>
        <v>0</v>
      </c>
      <c r="CI247" s="199">
        <f t="shared" si="518"/>
        <v>0</v>
      </c>
      <c r="CJ247" s="199">
        <f t="shared" si="518"/>
        <v>0</v>
      </c>
      <c r="CK247" s="199">
        <f t="shared" si="518"/>
        <v>0</v>
      </c>
      <c r="CL247" s="199">
        <f t="shared" si="518"/>
        <v>0</v>
      </c>
      <c r="CM247" s="199">
        <f t="shared" si="518"/>
        <v>0</v>
      </c>
      <c r="CN247" s="199">
        <f t="shared" si="518"/>
        <v>0</v>
      </c>
      <c r="CO247" s="199">
        <f t="shared" si="518"/>
        <v>0</v>
      </c>
      <c r="CP247" s="199">
        <f t="shared" si="518"/>
        <v>0</v>
      </c>
      <c r="CQ247" s="199">
        <f t="shared" si="518"/>
        <v>0</v>
      </c>
      <c r="CR247" s="199">
        <f t="shared" si="518"/>
        <v>0</v>
      </c>
      <c r="CS247" s="199">
        <f t="shared" si="518"/>
        <v>0</v>
      </c>
      <c r="CT247" s="199">
        <f t="shared" si="518"/>
        <v>0</v>
      </c>
      <c r="CU247" s="199">
        <f t="shared" si="518"/>
        <v>0</v>
      </c>
      <c r="CV247" s="199">
        <f t="shared" si="518"/>
        <v>0</v>
      </c>
      <c r="CW247" s="199">
        <f t="shared" si="518"/>
        <v>0</v>
      </c>
      <c r="CX247" s="199">
        <f t="shared" si="518"/>
        <v>0</v>
      </c>
      <c r="CY247" s="199">
        <f t="shared" si="518"/>
        <v>0</v>
      </c>
      <c r="CZ247" s="199">
        <f t="shared" si="518"/>
        <v>0</v>
      </c>
      <c r="DA247" s="199">
        <f t="shared" si="518"/>
        <v>0</v>
      </c>
      <c r="DB247" s="199">
        <f t="shared" si="518"/>
        <v>0</v>
      </c>
      <c r="DC247" s="199">
        <f t="shared" si="518"/>
        <v>0</v>
      </c>
      <c r="DD247" s="199">
        <f t="shared" si="518"/>
        <v>0</v>
      </c>
      <c r="DE247" s="199">
        <f t="shared" si="518"/>
        <v>444199999.99999952</v>
      </c>
      <c r="DF247" s="199">
        <f t="shared" si="518"/>
        <v>844200000</v>
      </c>
      <c r="DG247" s="199">
        <f t="shared" si="518"/>
        <v>226985124</v>
      </c>
      <c r="DH247" s="199">
        <f t="shared" si="518"/>
        <v>199985034</v>
      </c>
      <c r="DI247" s="199">
        <f t="shared" si="518"/>
        <v>0</v>
      </c>
      <c r="DJ247" s="199">
        <f t="shared" si="518"/>
        <v>0</v>
      </c>
      <c r="DK247" s="199">
        <f t="shared" si="518"/>
        <v>0</v>
      </c>
      <c r="DL247" s="199">
        <f t="shared" si="518"/>
        <v>0</v>
      </c>
      <c r="DM247" s="199">
        <f t="shared" si="518"/>
        <v>0</v>
      </c>
      <c r="DN247" s="199">
        <f t="shared" si="518"/>
        <v>148526000</v>
      </c>
      <c r="DO247" s="199">
        <f t="shared" si="518"/>
        <v>110000000</v>
      </c>
      <c r="DP247" s="199">
        <f t="shared" si="518"/>
        <v>60000000</v>
      </c>
      <c r="DQ247" s="199">
        <f t="shared" si="518"/>
        <v>60000000</v>
      </c>
      <c r="DR247" s="199">
        <f t="shared" si="518"/>
        <v>0</v>
      </c>
      <c r="DS247" s="199">
        <f t="shared" si="518"/>
        <v>150000000</v>
      </c>
      <c r="DT247" s="199">
        <f t="shared" si="518"/>
        <v>493200000</v>
      </c>
      <c r="DU247" s="199">
        <f t="shared" si="518"/>
        <v>245039994</v>
      </c>
      <c r="DV247" s="199">
        <f t="shared" si="518"/>
        <v>241650902</v>
      </c>
      <c r="DW247" s="199">
        <f t="shared" si="518"/>
        <v>15000000</v>
      </c>
      <c r="DX247" s="199">
        <f t="shared" si="518"/>
        <v>0</v>
      </c>
      <c r="DY247" s="199">
        <f t="shared" ref="DY247:EW247" si="519">SUM(DY248:DY250)</f>
        <v>0</v>
      </c>
      <c r="DZ247" s="199">
        <f t="shared" si="519"/>
        <v>0</v>
      </c>
      <c r="EA247" s="199">
        <f t="shared" si="519"/>
        <v>0</v>
      </c>
      <c r="EB247" s="199">
        <f t="shared" si="519"/>
        <v>0</v>
      </c>
      <c r="EC247" s="199">
        <f t="shared" si="519"/>
        <v>0</v>
      </c>
      <c r="ED247" s="199">
        <f t="shared" si="519"/>
        <v>0</v>
      </c>
      <c r="EE247" s="199">
        <f t="shared" si="519"/>
        <v>0</v>
      </c>
      <c r="EF247" s="199">
        <f t="shared" si="519"/>
        <v>0</v>
      </c>
      <c r="EG247" s="199">
        <f t="shared" si="519"/>
        <v>0</v>
      </c>
      <c r="EH247" s="199">
        <f t="shared" si="519"/>
        <v>0</v>
      </c>
      <c r="EI247" s="199">
        <f t="shared" si="519"/>
        <v>0</v>
      </c>
      <c r="EJ247" s="199">
        <f t="shared" si="519"/>
        <v>0</v>
      </c>
      <c r="EK247" s="199">
        <f t="shared" si="519"/>
        <v>0</v>
      </c>
      <c r="EL247" s="199">
        <f t="shared" si="519"/>
        <v>0</v>
      </c>
      <c r="EM247" s="199">
        <f t="shared" si="519"/>
        <v>0</v>
      </c>
      <c r="EN247" s="199">
        <f t="shared" si="519"/>
        <v>0</v>
      </c>
      <c r="EO247" s="199">
        <f t="shared" si="519"/>
        <v>0</v>
      </c>
      <c r="EP247" s="199">
        <f t="shared" si="519"/>
        <v>0</v>
      </c>
      <c r="EQ247" s="199">
        <f t="shared" si="519"/>
        <v>0</v>
      </c>
      <c r="ER247" s="199">
        <f t="shared" si="519"/>
        <v>0</v>
      </c>
      <c r="ES247" s="199">
        <f t="shared" si="519"/>
        <v>0</v>
      </c>
      <c r="ET247" s="199">
        <f t="shared" si="519"/>
        <v>0</v>
      </c>
      <c r="EU247" s="199">
        <f t="shared" si="519"/>
        <v>0</v>
      </c>
      <c r="EV247" s="199">
        <f t="shared" si="519"/>
        <v>0</v>
      </c>
      <c r="EW247" s="199">
        <f t="shared" si="519"/>
        <v>298526000</v>
      </c>
      <c r="EX247" s="199">
        <f t="shared" ref="EX247:GZ247" si="520">SUM(EX248:EX250)</f>
        <v>603200000</v>
      </c>
      <c r="EY247" s="199">
        <f t="shared" si="520"/>
        <v>305039994</v>
      </c>
      <c r="EZ247" s="199">
        <f t="shared" si="520"/>
        <v>301650902</v>
      </c>
      <c r="FA247" s="199">
        <f t="shared" si="520"/>
        <v>15000000</v>
      </c>
      <c r="FB247" s="199">
        <f t="shared" si="520"/>
        <v>0</v>
      </c>
      <c r="FC247" s="199">
        <f t="shared" si="520"/>
        <v>0</v>
      </c>
      <c r="FD247" s="199">
        <f t="shared" si="520"/>
        <v>0</v>
      </c>
      <c r="FE247" s="199">
        <f t="shared" si="520"/>
        <v>0</v>
      </c>
      <c r="FF247" s="199">
        <f t="shared" si="520"/>
        <v>0</v>
      </c>
      <c r="FG247" s="199">
        <f t="shared" si="520"/>
        <v>152981780</v>
      </c>
      <c r="FH247" s="199">
        <f t="shared" si="520"/>
        <v>514000000</v>
      </c>
      <c r="FI247" s="199">
        <f t="shared" si="520"/>
        <v>106146000</v>
      </c>
      <c r="FJ247" s="199">
        <f t="shared" si="520"/>
        <v>0</v>
      </c>
      <c r="FK247" s="199">
        <f t="shared" si="520"/>
        <v>0</v>
      </c>
      <c r="FL247" s="199">
        <f t="shared" si="520"/>
        <v>50000000</v>
      </c>
      <c r="FM247" s="199">
        <f t="shared" si="520"/>
        <v>180441641</v>
      </c>
      <c r="FN247" s="199">
        <f t="shared" si="520"/>
        <v>144950000</v>
      </c>
      <c r="FO247" s="199">
        <f t="shared" si="520"/>
        <v>110921000</v>
      </c>
      <c r="FP247" s="199">
        <f t="shared" si="520"/>
        <v>0</v>
      </c>
      <c r="FQ247" s="199">
        <f t="shared" si="520"/>
        <v>0</v>
      </c>
      <c r="FR247" s="199">
        <f t="shared" si="520"/>
        <v>0</v>
      </c>
      <c r="FS247" s="199">
        <f t="shared" si="520"/>
        <v>0</v>
      </c>
      <c r="FT247" s="199">
        <f t="shared" si="520"/>
        <v>0</v>
      </c>
      <c r="FU247" s="199">
        <f t="shared" si="520"/>
        <v>0</v>
      </c>
      <c r="FV247" s="199">
        <f t="shared" si="520"/>
        <v>0</v>
      </c>
      <c r="FW247" s="199">
        <f t="shared" si="520"/>
        <v>0</v>
      </c>
      <c r="FX247" s="199">
        <f t="shared" si="520"/>
        <v>0</v>
      </c>
      <c r="FY247" s="199">
        <f t="shared" si="520"/>
        <v>0</v>
      </c>
      <c r="FZ247" s="199">
        <f t="shared" si="520"/>
        <v>0</v>
      </c>
      <c r="GA247" s="199">
        <f t="shared" si="520"/>
        <v>0</v>
      </c>
      <c r="GB247" s="199">
        <f t="shared" si="520"/>
        <v>0</v>
      </c>
      <c r="GC247" s="199">
        <f t="shared" si="520"/>
        <v>0</v>
      </c>
      <c r="GD247" s="199">
        <f t="shared" si="520"/>
        <v>0</v>
      </c>
      <c r="GE247" s="199">
        <f t="shared" si="520"/>
        <v>0</v>
      </c>
      <c r="GF247" s="199">
        <f t="shared" si="520"/>
        <v>0</v>
      </c>
      <c r="GG247" s="199">
        <f t="shared" si="520"/>
        <v>0</v>
      </c>
      <c r="GH247" s="199">
        <f t="shared" si="520"/>
        <v>0</v>
      </c>
      <c r="GI247" s="199">
        <f t="shared" si="520"/>
        <v>0</v>
      </c>
      <c r="GJ247" s="199">
        <f t="shared" si="520"/>
        <v>0</v>
      </c>
      <c r="GK247" s="199">
        <f t="shared" si="520"/>
        <v>0</v>
      </c>
      <c r="GL247" s="199">
        <f t="shared" si="520"/>
        <v>0</v>
      </c>
      <c r="GM247" s="199">
        <f t="shared" si="520"/>
        <v>0</v>
      </c>
      <c r="GN247" s="199">
        <f t="shared" si="520"/>
        <v>0</v>
      </c>
      <c r="GO247" s="199">
        <f t="shared" si="520"/>
        <v>0</v>
      </c>
      <c r="GP247" s="199">
        <f t="shared" si="520"/>
        <v>0</v>
      </c>
      <c r="GQ247" s="199">
        <f t="shared" si="520"/>
        <v>0</v>
      </c>
      <c r="GR247" s="199">
        <f t="shared" si="520"/>
        <v>0</v>
      </c>
      <c r="GS247" s="199">
        <f t="shared" si="520"/>
        <v>0</v>
      </c>
      <c r="GT247" s="199">
        <f t="shared" si="520"/>
        <v>0</v>
      </c>
      <c r="GU247" s="199">
        <f t="shared" si="520"/>
        <v>202981780</v>
      </c>
      <c r="GV247" s="199">
        <f t="shared" si="520"/>
        <v>694441641</v>
      </c>
      <c r="GW247" s="199">
        <f t="shared" si="520"/>
        <v>251096000</v>
      </c>
      <c r="GX247" s="199">
        <f t="shared" si="520"/>
        <v>110921000</v>
      </c>
      <c r="GY247" s="199">
        <f t="shared" si="520"/>
        <v>0</v>
      </c>
      <c r="GZ247" s="199">
        <f t="shared" si="520"/>
        <v>1395707779.9999995</v>
      </c>
    </row>
    <row r="248" spans="1:208" ht="62.25" customHeight="1" x14ac:dyDescent="0.2">
      <c r="A248" s="326"/>
      <c r="B248" s="326"/>
      <c r="C248" s="456">
        <v>28</v>
      </c>
      <c r="D248" s="989" t="s">
        <v>589</v>
      </c>
      <c r="E248" s="994">
        <v>0.5</v>
      </c>
      <c r="F248" s="994">
        <v>1</v>
      </c>
      <c r="G248" s="265">
        <v>170</v>
      </c>
      <c r="H248" s="261" t="s">
        <v>602</v>
      </c>
      <c r="I248" s="517" t="s">
        <v>603</v>
      </c>
      <c r="J248" s="513" t="s">
        <v>444</v>
      </c>
      <c r="K248" s="461">
        <v>2</v>
      </c>
      <c r="L248" s="476" t="s">
        <v>58</v>
      </c>
      <c r="M248" s="490">
        <v>14</v>
      </c>
      <c r="N248" s="490">
        <v>14</v>
      </c>
      <c r="O248" s="475">
        <v>14</v>
      </c>
      <c r="P248" s="484">
        <v>0</v>
      </c>
      <c r="Q248" s="482">
        <v>14</v>
      </c>
      <c r="R248" s="268"/>
      <c r="S248" s="480">
        <v>5</v>
      </c>
      <c r="T248" s="482">
        <v>14</v>
      </c>
      <c r="U248" s="482"/>
      <c r="V248" s="480">
        <v>14</v>
      </c>
      <c r="W248" s="482">
        <v>14</v>
      </c>
      <c r="X248" s="476"/>
      <c r="Y248" s="641">
        <v>0</v>
      </c>
      <c r="Z248" s="443">
        <f>BM248/$BM$247</f>
        <v>8.8888888888888892E-2</v>
      </c>
      <c r="AA248" s="264">
        <v>3</v>
      </c>
      <c r="AB248" s="263" t="s">
        <v>455</v>
      </c>
      <c r="AC248" s="57"/>
      <c r="AD248" s="58"/>
      <c r="AE248" s="59"/>
      <c r="AF248" s="59"/>
      <c r="AG248" s="58">
        <v>40000000</v>
      </c>
      <c r="AH248" s="55">
        <v>40000000</v>
      </c>
      <c r="AI248" s="58"/>
      <c r="AJ248" s="58"/>
      <c r="AK248" s="55"/>
      <c r="AL248" s="55"/>
      <c r="AM248" s="55"/>
      <c r="AN248" s="55"/>
      <c r="AO248" s="56"/>
      <c r="AP248" s="55"/>
      <c r="AQ248" s="55"/>
      <c r="AR248" s="58"/>
      <c r="AS248" s="57"/>
      <c r="AT248" s="58"/>
      <c r="AU248" s="59"/>
      <c r="AV248" s="59"/>
      <c r="AW248" s="57"/>
      <c r="AX248" s="58"/>
      <c r="AY248" s="58"/>
      <c r="AZ248" s="58"/>
      <c r="BA248" s="57"/>
      <c r="BB248" s="58"/>
      <c r="BC248" s="58"/>
      <c r="BD248" s="58"/>
      <c r="BE248" s="57"/>
      <c r="BF248" s="58"/>
      <c r="BG248" s="59"/>
      <c r="BH248" s="59"/>
      <c r="BI248" s="57"/>
      <c r="BJ248" s="58"/>
      <c r="BK248" s="58"/>
      <c r="BL248" s="58"/>
      <c r="BM248" s="53">
        <f>+AC248+AG248+AK248+AO248+AS248+AW248+BA248+BE248+BI248</f>
        <v>40000000</v>
      </c>
      <c r="BN248" s="54">
        <f t="shared" ref="BN248:BP250" si="521">AD248+AH248+AL248+AP248+AT248+AX248+BB248+BF248+BJ248</f>
        <v>40000000</v>
      </c>
      <c r="BO248" s="54">
        <f t="shared" si="521"/>
        <v>0</v>
      </c>
      <c r="BP248" s="54">
        <f t="shared" si="521"/>
        <v>0</v>
      </c>
      <c r="BQ248" s="83"/>
      <c r="BR248" s="83"/>
      <c r="BS248" s="83"/>
      <c r="BT248" s="83"/>
      <c r="BU248" s="84">
        <v>39484444.444444448</v>
      </c>
      <c r="BV248" s="82"/>
      <c r="BW248" s="83"/>
      <c r="BX248" s="83"/>
      <c r="BY248" s="83"/>
      <c r="BZ248" s="83"/>
      <c r="CA248" s="82">
        <v>39484445</v>
      </c>
      <c r="CB248" s="82">
        <v>1900000</v>
      </c>
      <c r="CC248" s="82">
        <v>1900000</v>
      </c>
      <c r="CD248" s="82"/>
      <c r="CE248" s="82"/>
      <c r="CF248" s="82"/>
      <c r="CG248" s="82"/>
      <c r="CH248" s="82"/>
      <c r="CI248" s="83"/>
      <c r="CJ248" s="83"/>
      <c r="CK248" s="83"/>
      <c r="CL248" s="82"/>
      <c r="CM248" s="83"/>
      <c r="CN248" s="83"/>
      <c r="CO248" s="83"/>
      <c r="CP248" s="83"/>
      <c r="CQ248" s="83"/>
      <c r="CR248" s="83"/>
      <c r="CS248" s="83"/>
      <c r="CT248" s="83"/>
      <c r="CU248" s="83"/>
      <c r="CV248" s="83"/>
      <c r="CW248" s="83"/>
      <c r="CX248" s="83"/>
      <c r="CY248" s="83"/>
      <c r="CZ248" s="83"/>
      <c r="DA248" s="83"/>
      <c r="DB248" s="83"/>
      <c r="DC248" s="83"/>
      <c r="DD248" s="83"/>
      <c r="DE248" s="81">
        <f t="shared" ref="DE248:DH250" si="522">BQ248+BU248+BZ248+CE248+CI248+CM248+CQ248+CV248+DA248</f>
        <v>39484444.444444448</v>
      </c>
      <c r="DF248" s="95">
        <f t="shared" si="522"/>
        <v>39484445</v>
      </c>
      <c r="DG248" s="95">
        <f t="shared" si="522"/>
        <v>1900000</v>
      </c>
      <c r="DH248" s="95">
        <f t="shared" si="522"/>
        <v>1900000</v>
      </c>
      <c r="DI248" s="95"/>
      <c r="DJ248" s="84"/>
      <c r="DK248" s="65"/>
      <c r="DL248" s="84"/>
      <c r="DM248" s="84"/>
      <c r="DN248" s="84">
        <v>26500000</v>
      </c>
      <c r="DO248" s="84"/>
      <c r="DP248" s="84"/>
      <c r="DQ248" s="84"/>
      <c r="DR248" s="84"/>
      <c r="DS248" s="84"/>
      <c r="DT248" s="84">
        <v>138195556</v>
      </c>
      <c r="DU248" s="84">
        <v>5000000</v>
      </c>
      <c r="DV248" s="84">
        <v>5000000</v>
      </c>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3"/>
      <c r="EU248" s="83"/>
      <c r="EV248" s="83"/>
      <c r="EW248" s="81">
        <f t="shared" ref="EW248:EX250" si="523">DJ248+DN248+DS248+DX248+EB248+EF248+EJ248+EN248+ES248</f>
        <v>26500000</v>
      </c>
      <c r="EX248" s="86">
        <f t="shared" si="523"/>
        <v>138195556</v>
      </c>
      <c r="EY248" s="86">
        <f t="shared" ref="EY248:EZ250" si="524">DL248+DP248+DU248+DZ248+ED248+EH248+EL248+EP248+EU248</f>
        <v>5000000</v>
      </c>
      <c r="EZ248" s="86">
        <f t="shared" si="524"/>
        <v>5000000</v>
      </c>
      <c r="FA248" s="176"/>
      <c r="FB248" s="83"/>
      <c r="FC248" s="84"/>
      <c r="FD248" s="84"/>
      <c r="FE248" s="84"/>
      <c r="FF248" s="140"/>
      <c r="FG248" s="83">
        <v>30781780</v>
      </c>
      <c r="FH248" s="83"/>
      <c r="FI248" s="83"/>
      <c r="FJ248" s="83"/>
      <c r="FK248" s="83"/>
      <c r="FL248" s="83"/>
      <c r="FM248" s="83">
        <v>10000000</v>
      </c>
      <c r="FN248" s="83"/>
      <c r="FO248" s="83"/>
      <c r="FP248" s="83"/>
      <c r="FQ248" s="83"/>
      <c r="FR248" s="83"/>
      <c r="FS248" s="83"/>
      <c r="FT248" s="83"/>
      <c r="FU248" s="83"/>
      <c r="FV248" s="83"/>
      <c r="FW248" s="83"/>
      <c r="FX248" s="83"/>
      <c r="FY248" s="83"/>
      <c r="FZ248" s="83"/>
      <c r="GA248" s="83"/>
      <c r="GB248" s="83"/>
      <c r="GC248" s="83"/>
      <c r="GD248" s="83"/>
      <c r="GE248" s="83"/>
      <c r="GF248" s="83"/>
      <c r="GG248" s="83"/>
      <c r="GH248" s="83"/>
      <c r="GI248" s="83"/>
      <c r="GJ248" s="83"/>
      <c r="GK248" s="83"/>
      <c r="GL248" s="83"/>
      <c r="GM248" s="83"/>
      <c r="GN248" s="83"/>
      <c r="GO248" s="83"/>
      <c r="GP248" s="83"/>
      <c r="GQ248" s="83"/>
      <c r="GR248" s="83"/>
      <c r="GS248" s="83"/>
      <c r="GT248" s="83"/>
      <c r="GU248" s="81">
        <f t="shared" ref="GU248:GY250" si="525">FB248+FG248+FL248+FQ248+FV248+GA248+GF248+GK248+GP248</f>
        <v>30781780</v>
      </c>
      <c r="GV248" s="81">
        <f t="shared" si="525"/>
        <v>10000000</v>
      </c>
      <c r="GW248" s="81">
        <f t="shared" si="525"/>
        <v>0</v>
      </c>
      <c r="GX248" s="81">
        <f t="shared" si="525"/>
        <v>0</v>
      </c>
      <c r="GY248" s="673">
        <f t="shared" si="525"/>
        <v>0</v>
      </c>
      <c r="GZ248" s="67">
        <f>BM248+DE248+EW248+GU248</f>
        <v>136766224.44444445</v>
      </c>
    </row>
    <row r="249" spans="1:208" ht="69.75" customHeight="1" x14ac:dyDescent="0.2">
      <c r="A249" s="326"/>
      <c r="B249" s="326"/>
      <c r="C249" s="279"/>
      <c r="D249" s="428"/>
      <c r="E249" s="353"/>
      <c r="F249" s="353"/>
      <c r="G249" s="265">
        <v>171</v>
      </c>
      <c r="H249" s="261" t="s">
        <v>604</v>
      </c>
      <c r="I249" s="517" t="s">
        <v>605</v>
      </c>
      <c r="J249" s="513" t="s">
        <v>444</v>
      </c>
      <c r="K249" s="461">
        <v>2</v>
      </c>
      <c r="L249" s="476" t="s">
        <v>58</v>
      </c>
      <c r="M249" s="490">
        <v>1</v>
      </c>
      <c r="N249" s="490">
        <v>1</v>
      </c>
      <c r="O249" s="475">
        <v>1</v>
      </c>
      <c r="P249" s="484">
        <v>0</v>
      </c>
      <c r="Q249" s="482">
        <v>1</v>
      </c>
      <c r="R249" s="268"/>
      <c r="S249" s="500">
        <v>0.36</v>
      </c>
      <c r="T249" s="482">
        <v>1</v>
      </c>
      <c r="U249" s="482"/>
      <c r="V249" s="480">
        <v>1</v>
      </c>
      <c r="W249" s="482">
        <v>1</v>
      </c>
      <c r="X249" s="476"/>
      <c r="Y249" s="641">
        <v>1</v>
      </c>
      <c r="Z249" s="443">
        <f>BM249/$BM$247</f>
        <v>0.22222222222222221</v>
      </c>
      <c r="AA249" s="264">
        <v>3</v>
      </c>
      <c r="AB249" s="263" t="s">
        <v>455</v>
      </c>
      <c r="AC249" s="57"/>
      <c r="AD249" s="58"/>
      <c r="AE249" s="59"/>
      <c r="AF249" s="59"/>
      <c r="AG249" s="58">
        <v>100000000</v>
      </c>
      <c r="AH249" s="55">
        <v>100000000</v>
      </c>
      <c r="AI249" s="58"/>
      <c r="AJ249" s="58"/>
      <c r="AK249" s="55"/>
      <c r="AL249" s="55"/>
      <c r="AM249" s="55"/>
      <c r="AN249" s="55"/>
      <c r="AO249" s="56"/>
      <c r="AP249" s="55"/>
      <c r="AQ249" s="55"/>
      <c r="AR249" s="58"/>
      <c r="AS249" s="57"/>
      <c r="AT249" s="58"/>
      <c r="AU249" s="59"/>
      <c r="AV249" s="59"/>
      <c r="AW249" s="57"/>
      <c r="AX249" s="58"/>
      <c r="AY249" s="58"/>
      <c r="AZ249" s="58"/>
      <c r="BA249" s="57"/>
      <c r="BB249" s="58"/>
      <c r="BC249" s="58"/>
      <c r="BD249" s="58"/>
      <c r="BE249" s="57"/>
      <c r="BF249" s="58"/>
      <c r="BG249" s="59"/>
      <c r="BH249" s="59"/>
      <c r="BI249" s="57"/>
      <c r="BJ249" s="58"/>
      <c r="BK249" s="58"/>
      <c r="BL249" s="58"/>
      <c r="BM249" s="53">
        <f>+AC249+AG249+AK249+AO249+AS249+AW249+BA249+BE249+BI249</f>
        <v>100000000</v>
      </c>
      <c r="BN249" s="54">
        <f t="shared" si="521"/>
        <v>100000000</v>
      </c>
      <c r="BO249" s="54">
        <f t="shared" si="521"/>
        <v>0</v>
      </c>
      <c r="BP249" s="54">
        <f t="shared" si="521"/>
        <v>0</v>
      </c>
      <c r="BQ249" s="83"/>
      <c r="BR249" s="83"/>
      <c r="BS249" s="83"/>
      <c r="BT249" s="83"/>
      <c r="BU249" s="84">
        <v>98711111.111111104</v>
      </c>
      <c r="BV249" s="82"/>
      <c r="BW249" s="83"/>
      <c r="BX249" s="83"/>
      <c r="BY249" s="83"/>
      <c r="BZ249" s="83"/>
      <c r="CA249" s="82">
        <v>98711111</v>
      </c>
      <c r="CB249" s="82">
        <v>0</v>
      </c>
      <c r="CC249" s="82">
        <v>0</v>
      </c>
      <c r="CD249" s="82"/>
      <c r="CE249" s="82"/>
      <c r="CF249" s="82"/>
      <c r="CG249" s="82"/>
      <c r="CH249" s="82"/>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1">
        <f t="shared" si="522"/>
        <v>98711111.111111104</v>
      </c>
      <c r="DF249" s="95">
        <f t="shared" si="522"/>
        <v>98711111</v>
      </c>
      <c r="DG249" s="95">
        <f t="shared" si="522"/>
        <v>0</v>
      </c>
      <c r="DH249" s="95">
        <f t="shared" si="522"/>
        <v>0</v>
      </c>
      <c r="DI249" s="95"/>
      <c r="DJ249" s="84"/>
      <c r="DK249" s="65"/>
      <c r="DL249" s="84"/>
      <c r="DM249" s="84"/>
      <c r="DN249" s="84">
        <v>66300000</v>
      </c>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3"/>
      <c r="EU249" s="83"/>
      <c r="EV249" s="83"/>
      <c r="EW249" s="81">
        <f t="shared" si="523"/>
        <v>66300000</v>
      </c>
      <c r="EX249" s="86">
        <f t="shared" si="523"/>
        <v>0</v>
      </c>
      <c r="EY249" s="86">
        <f t="shared" si="524"/>
        <v>0</v>
      </c>
      <c r="EZ249" s="86">
        <f t="shared" si="524"/>
        <v>0</v>
      </c>
      <c r="FA249" s="176"/>
      <c r="FB249" s="83"/>
      <c r="FC249" s="84"/>
      <c r="FD249" s="84"/>
      <c r="FE249" s="84"/>
      <c r="FF249" s="140"/>
      <c r="FG249" s="83">
        <v>68000000</v>
      </c>
      <c r="FH249" s="83"/>
      <c r="FI249" s="83"/>
      <c r="FJ249" s="83"/>
      <c r="FK249" s="83"/>
      <c r="FL249" s="83"/>
      <c r="FM249" s="615">
        <v>10000000</v>
      </c>
      <c r="FN249" s="83"/>
      <c r="FO249" s="83"/>
      <c r="FP249" s="83"/>
      <c r="FQ249" s="83"/>
      <c r="FR249" s="83"/>
      <c r="FS249" s="83"/>
      <c r="FT249" s="83"/>
      <c r="FU249" s="83"/>
      <c r="FV249" s="83"/>
      <c r="FW249" s="83"/>
      <c r="FX249" s="83"/>
      <c r="FY249" s="83"/>
      <c r="FZ249" s="83"/>
      <c r="GA249" s="83"/>
      <c r="GB249" s="83"/>
      <c r="GC249" s="83"/>
      <c r="GD249" s="83"/>
      <c r="GE249" s="83"/>
      <c r="GF249" s="83"/>
      <c r="GG249" s="83"/>
      <c r="GH249" s="83"/>
      <c r="GI249" s="83"/>
      <c r="GJ249" s="83"/>
      <c r="GK249" s="83"/>
      <c r="GL249" s="83"/>
      <c r="GM249" s="83"/>
      <c r="GN249" s="83"/>
      <c r="GO249" s="83"/>
      <c r="GP249" s="83"/>
      <c r="GQ249" s="83"/>
      <c r="GR249" s="83"/>
      <c r="GS249" s="83"/>
      <c r="GT249" s="83"/>
      <c r="GU249" s="81">
        <f t="shared" si="525"/>
        <v>68000000</v>
      </c>
      <c r="GV249" s="81">
        <f t="shared" si="525"/>
        <v>10000000</v>
      </c>
      <c r="GW249" s="81">
        <f t="shared" si="525"/>
        <v>0</v>
      </c>
      <c r="GX249" s="81">
        <f t="shared" si="525"/>
        <v>0</v>
      </c>
      <c r="GY249" s="673">
        <f t="shared" si="525"/>
        <v>0</v>
      </c>
      <c r="GZ249" s="67">
        <f>BM249+DE249+EW249+GU249</f>
        <v>333011111.1111111</v>
      </c>
    </row>
    <row r="250" spans="1:208" ht="122.25" customHeight="1" x14ac:dyDescent="0.2">
      <c r="A250" s="326"/>
      <c r="B250" s="326"/>
      <c r="C250" s="277"/>
      <c r="D250" s="501"/>
      <c r="E250" s="375"/>
      <c r="F250" s="375"/>
      <c r="G250" s="265">
        <v>172</v>
      </c>
      <c r="H250" s="261" t="s">
        <v>606</v>
      </c>
      <c r="I250" s="433" t="s">
        <v>607</v>
      </c>
      <c r="J250" s="513" t="s">
        <v>444</v>
      </c>
      <c r="K250" s="461">
        <v>2</v>
      </c>
      <c r="L250" s="476" t="s">
        <v>58</v>
      </c>
      <c r="M250" s="474">
        <v>12</v>
      </c>
      <c r="N250" s="474">
        <v>12</v>
      </c>
      <c r="O250" s="475">
        <v>12</v>
      </c>
      <c r="P250" s="484">
        <v>12</v>
      </c>
      <c r="Q250" s="482">
        <v>12</v>
      </c>
      <c r="R250" s="268"/>
      <c r="S250" s="480">
        <v>12</v>
      </c>
      <c r="T250" s="482">
        <v>12</v>
      </c>
      <c r="U250" s="482"/>
      <c r="V250" s="480">
        <v>12</v>
      </c>
      <c r="W250" s="482">
        <v>12</v>
      </c>
      <c r="X250" s="476"/>
      <c r="Y250" s="641">
        <v>6</v>
      </c>
      <c r="Z250" s="443">
        <f>BM250/$BM$247</f>
        <v>0.68888888888888888</v>
      </c>
      <c r="AA250" s="264">
        <v>3</v>
      </c>
      <c r="AB250" s="263" t="s">
        <v>455</v>
      </c>
      <c r="AC250" s="57"/>
      <c r="AD250" s="58"/>
      <c r="AE250" s="59"/>
      <c r="AF250" s="59"/>
      <c r="AG250" s="55"/>
      <c r="AH250" s="55"/>
      <c r="AI250" s="55"/>
      <c r="AJ250" s="55"/>
      <c r="AK250" s="58">
        <v>310000000</v>
      </c>
      <c r="AL250" s="55">
        <v>310000000</v>
      </c>
      <c r="AM250" s="58">
        <f>AL250</f>
        <v>310000000</v>
      </c>
      <c r="AN250" s="58">
        <f>AM250</f>
        <v>310000000</v>
      </c>
      <c r="AO250" s="57"/>
      <c r="AP250" s="58"/>
      <c r="AQ250" s="58"/>
      <c r="AR250" s="58"/>
      <c r="AS250" s="57"/>
      <c r="AT250" s="58"/>
      <c r="AU250" s="59"/>
      <c r="AV250" s="59"/>
      <c r="AW250" s="57"/>
      <c r="AX250" s="58"/>
      <c r="AY250" s="58"/>
      <c r="AZ250" s="58"/>
      <c r="BA250" s="57"/>
      <c r="BB250" s="58"/>
      <c r="BC250" s="58"/>
      <c r="BD250" s="58"/>
      <c r="BE250" s="57"/>
      <c r="BF250" s="58"/>
      <c r="BG250" s="59"/>
      <c r="BH250" s="59"/>
      <c r="BI250" s="57"/>
      <c r="BJ250" s="58"/>
      <c r="BK250" s="58"/>
      <c r="BL250" s="58"/>
      <c r="BM250" s="53">
        <f>+AC250+AG250+AK250+AO250+AS250+AW250+BA250+BE250+BI250</f>
        <v>310000000</v>
      </c>
      <c r="BN250" s="54">
        <f t="shared" si="521"/>
        <v>310000000</v>
      </c>
      <c r="BO250" s="54">
        <f t="shared" si="521"/>
        <v>310000000</v>
      </c>
      <c r="BP250" s="54">
        <f t="shared" si="521"/>
        <v>310000000</v>
      </c>
      <c r="BQ250" s="83"/>
      <c r="BR250" s="83"/>
      <c r="BS250" s="83"/>
      <c r="BT250" s="83"/>
      <c r="BU250" s="84">
        <v>6004444.4444439998</v>
      </c>
      <c r="BV250" s="82">
        <v>400000000</v>
      </c>
      <c r="BW250" s="83">
        <v>117000000</v>
      </c>
      <c r="BX250" s="83">
        <v>105000000</v>
      </c>
      <c r="BY250" s="83"/>
      <c r="BZ250" s="83">
        <v>300000000</v>
      </c>
      <c r="CA250" s="82">
        <f>300000000+6004444</f>
        <v>306004444</v>
      </c>
      <c r="CB250" s="82">
        <v>108085124</v>
      </c>
      <c r="CC250" s="82">
        <v>93085034</v>
      </c>
      <c r="CD250" s="82"/>
      <c r="CE250" s="82"/>
      <c r="CF250" s="518"/>
      <c r="CG250" s="82"/>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1">
        <f t="shared" si="522"/>
        <v>306004444.444444</v>
      </c>
      <c r="DF250" s="95">
        <f t="shared" si="522"/>
        <v>706004444</v>
      </c>
      <c r="DG250" s="95">
        <f t="shared" si="522"/>
        <v>225085124</v>
      </c>
      <c r="DH250" s="95">
        <f t="shared" si="522"/>
        <v>198085034</v>
      </c>
      <c r="DI250" s="95"/>
      <c r="DJ250" s="84"/>
      <c r="DK250" s="65"/>
      <c r="DL250" s="84"/>
      <c r="DM250" s="84"/>
      <c r="DN250" s="84">
        <v>55726000</v>
      </c>
      <c r="DO250" s="65">
        <v>110000000</v>
      </c>
      <c r="DP250" s="84">
        <v>60000000</v>
      </c>
      <c r="DQ250" s="84">
        <v>60000000</v>
      </c>
      <c r="DR250" s="84"/>
      <c r="DS250" s="84">
        <v>150000000</v>
      </c>
      <c r="DT250" s="84">
        <v>355004444</v>
      </c>
      <c r="DU250" s="84">
        <v>240039994</v>
      </c>
      <c r="DV250" s="84">
        <v>236650902</v>
      </c>
      <c r="DW250" s="84">
        <v>15000000</v>
      </c>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3"/>
      <c r="EU250" s="83"/>
      <c r="EV250" s="83"/>
      <c r="EW250" s="81">
        <f t="shared" si="523"/>
        <v>205726000</v>
      </c>
      <c r="EX250" s="85">
        <f t="shared" si="523"/>
        <v>465004444</v>
      </c>
      <c r="EY250" s="86">
        <f t="shared" si="524"/>
        <v>300039994</v>
      </c>
      <c r="EZ250" s="86">
        <f t="shared" si="524"/>
        <v>296650902</v>
      </c>
      <c r="FA250" s="176">
        <f>DW250</f>
        <v>15000000</v>
      </c>
      <c r="FB250" s="83"/>
      <c r="FC250" s="84"/>
      <c r="FD250" s="84"/>
      <c r="FE250" s="84"/>
      <c r="FF250" s="140"/>
      <c r="FG250" s="83">
        <v>54200000</v>
      </c>
      <c r="FH250" s="83">
        <f>400000000+114000000</f>
        <v>514000000</v>
      </c>
      <c r="FI250" s="83">
        <f>10746000+95400000</f>
        <v>106146000</v>
      </c>
      <c r="FJ250" s="83"/>
      <c r="FK250" s="83"/>
      <c r="FL250" s="83">
        <v>50000000</v>
      </c>
      <c r="FM250" s="83">
        <v>160441641</v>
      </c>
      <c r="FN250" s="83">
        <v>144950000</v>
      </c>
      <c r="FO250" s="83">
        <v>110921000</v>
      </c>
      <c r="FP250" s="83"/>
      <c r="FQ250" s="83"/>
      <c r="FR250" s="83"/>
      <c r="FS250" s="83"/>
      <c r="FT250" s="83"/>
      <c r="FU250" s="83"/>
      <c r="FV250" s="83"/>
      <c r="FW250" s="83"/>
      <c r="FX250" s="83"/>
      <c r="FY250" s="83"/>
      <c r="FZ250" s="83"/>
      <c r="GA250" s="83"/>
      <c r="GB250" s="83"/>
      <c r="GC250" s="83"/>
      <c r="GD250" s="83"/>
      <c r="GE250" s="83"/>
      <c r="GF250" s="83"/>
      <c r="GG250" s="83"/>
      <c r="GH250" s="83"/>
      <c r="GI250" s="83"/>
      <c r="GJ250" s="83"/>
      <c r="GK250" s="83"/>
      <c r="GL250" s="83"/>
      <c r="GM250" s="83"/>
      <c r="GN250" s="83"/>
      <c r="GO250" s="83"/>
      <c r="GP250" s="83"/>
      <c r="GQ250" s="83"/>
      <c r="GR250" s="83"/>
      <c r="GS250" s="83"/>
      <c r="GT250" s="83"/>
      <c r="GU250" s="81">
        <f t="shared" si="525"/>
        <v>104200000</v>
      </c>
      <c r="GV250" s="81">
        <f t="shared" si="525"/>
        <v>674441641</v>
      </c>
      <c r="GW250" s="81">
        <f t="shared" si="525"/>
        <v>251096000</v>
      </c>
      <c r="GX250" s="81">
        <f t="shared" si="525"/>
        <v>110921000</v>
      </c>
      <c r="GY250" s="673">
        <f t="shared" si="525"/>
        <v>0</v>
      </c>
      <c r="GZ250" s="67">
        <f>BM250+DE250+EW250+GU250</f>
        <v>925930444.44444394</v>
      </c>
    </row>
    <row r="251" spans="1:208" ht="24.75" customHeight="1" x14ac:dyDescent="0.2">
      <c r="A251" s="326"/>
      <c r="B251" s="326"/>
      <c r="C251" s="246">
        <v>53</v>
      </c>
      <c r="D251" s="247" t="s">
        <v>608</v>
      </c>
      <c r="E251" s="250"/>
      <c r="F251" s="250"/>
      <c r="G251" s="246"/>
      <c r="H251" s="246"/>
      <c r="I251" s="246"/>
      <c r="J251" s="246"/>
      <c r="K251" s="246"/>
      <c r="L251" s="246"/>
      <c r="M251" s="246"/>
      <c r="N251" s="246"/>
      <c r="O251" s="246"/>
      <c r="P251" s="246"/>
      <c r="Q251" s="246"/>
      <c r="R251" s="246"/>
      <c r="S251" s="246"/>
      <c r="T251" s="246"/>
      <c r="U251" s="246"/>
      <c r="V251" s="246"/>
      <c r="W251" s="246"/>
      <c r="X251" s="246"/>
      <c r="Y251" s="625"/>
      <c r="Z251" s="246"/>
      <c r="AA251" s="246"/>
      <c r="AB251" s="246"/>
      <c r="AC251" s="51">
        <f t="shared" ref="AC251:BL251" si="526">SUM(AC252:AC253)</f>
        <v>0</v>
      </c>
      <c r="AD251" s="51">
        <f t="shared" si="526"/>
        <v>0</v>
      </c>
      <c r="AE251" s="51">
        <f t="shared" si="526"/>
        <v>0</v>
      </c>
      <c r="AF251" s="51">
        <f t="shared" si="526"/>
        <v>0</v>
      </c>
      <c r="AG251" s="51">
        <f t="shared" si="526"/>
        <v>34404000</v>
      </c>
      <c r="AH251" s="51">
        <f t="shared" si="526"/>
        <v>34404000</v>
      </c>
      <c r="AI251" s="51">
        <f t="shared" si="526"/>
        <v>0</v>
      </c>
      <c r="AJ251" s="51">
        <f t="shared" si="526"/>
        <v>0</v>
      </c>
      <c r="AK251" s="51">
        <f t="shared" si="526"/>
        <v>0</v>
      </c>
      <c r="AL251" s="51">
        <f t="shared" si="526"/>
        <v>0</v>
      </c>
      <c r="AM251" s="51">
        <f t="shared" si="526"/>
        <v>0</v>
      </c>
      <c r="AN251" s="51">
        <f t="shared" si="526"/>
        <v>0</v>
      </c>
      <c r="AO251" s="51">
        <f t="shared" si="526"/>
        <v>0</v>
      </c>
      <c r="AP251" s="51">
        <f t="shared" si="526"/>
        <v>0</v>
      </c>
      <c r="AQ251" s="51">
        <f t="shared" si="526"/>
        <v>0</v>
      </c>
      <c r="AR251" s="51">
        <f t="shared" si="526"/>
        <v>0</v>
      </c>
      <c r="AS251" s="51">
        <f t="shared" si="526"/>
        <v>0</v>
      </c>
      <c r="AT251" s="51">
        <f t="shared" si="526"/>
        <v>0</v>
      </c>
      <c r="AU251" s="51">
        <f t="shared" si="526"/>
        <v>0</v>
      </c>
      <c r="AV251" s="51">
        <f t="shared" si="526"/>
        <v>0</v>
      </c>
      <c r="AW251" s="51">
        <f t="shared" si="526"/>
        <v>0</v>
      </c>
      <c r="AX251" s="51">
        <f t="shared" si="526"/>
        <v>0</v>
      </c>
      <c r="AY251" s="51">
        <f t="shared" si="526"/>
        <v>0</v>
      </c>
      <c r="AZ251" s="51">
        <f t="shared" si="526"/>
        <v>0</v>
      </c>
      <c r="BA251" s="51">
        <f t="shared" si="526"/>
        <v>0</v>
      </c>
      <c r="BB251" s="51">
        <f t="shared" si="526"/>
        <v>0</v>
      </c>
      <c r="BC251" s="51">
        <f t="shared" si="526"/>
        <v>0</v>
      </c>
      <c r="BD251" s="51">
        <f t="shared" si="526"/>
        <v>0</v>
      </c>
      <c r="BE251" s="51">
        <f t="shared" si="526"/>
        <v>0</v>
      </c>
      <c r="BF251" s="51">
        <f t="shared" si="526"/>
        <v>0</v>
      </c>
      <c r="BG251" s="51">
        <f t="shared" si="526"/>
        <v>0</v>
      </c>
      <c r="BH251" s="51">
        <f t="shared" si="526"/>
        <v>0</v>
      </c>
      <c r="BI251" s="51">
        <f t="shared" si="526"/>
        <v>0</v>
      </c>
      <c r="BJ251" s="51">
        <f t="shared" si="526"/>
        <v>0</v>
      </c>
      <c r="BK251" s="51">
        <f t="shared" si="526"/>
        <v>0</v>
      </c>
      <c r="BL251" s="51">
        <f t="shared" si="526"/>
        <v>0</v>
      </c>
      <c r="BM251" s="51">
        <f t="shared" ref="BM251:DX251" si="527">SUM(BM252:BM253)</f>
        <v>34404000</v>
      </c>
      <c r="BN251" s="51">
        <f t="shared" si="527"/>
        <v>34404000</v>
      </c>
      <c r="BO251" s="51">
        <f t="shared" si="527"/>
        <v>0</v>
      </c>
      <c r="BP251" s="51">
        <f t="shared" si="527"/>
        <v>0</v>
      </c>
      <c r="BQ251" s="51">
        <f t="shared" si="527"/>
        <v>0</v>
      </c>
      <c r="BR251" s="51">
        <f t="shared" si="527"/>
        <v>0</v>
      </c>
      <c r="BS251" s="51">
        <f t="shared" si="527"/>
        <v>0</v>
      </c>
      <c r="BT251" s="51">
        <f t="shared" si="527"/>
        <v>0</v>
      </c>
      <c r="BU251" s="51">
        <f t="shared" si="527"/>
        <v>35436120</v>
      </c>
      <c r="BV251" s="51">
        <f t="shared" si="527"/>
        <v>0</v>
      </c>
      <c r="BW251" s="51">
        <f t="shared" si="527"/>
        <v>0</v>
      </c>
      <c r="BX251" s="51">
        <f t="shared" si="527"/>
        <v>0</v>
      </c>
      <c r="BY251" s="51">
        <f t="shared" si="527"/>
        <v>0</v>
      </c>
      <c r="BZ251" s="51">
        <f t="shared" si="527"/>
        <v>0</v>
      </c>
      <c r="CA251" s="51">
        <f t="shared" si="527"/>
        <v>35436120</v>
      </c>
      <c r="CB251" s="51">
        <f t="shared" si="527"/>
        <v>19566667</v>
      </c>
      <c r="CC251" s="51">
        <f t="shared" si="527"/>
        <v>19566667</v>
      </c>
      <c r="CD251" s="51">
        <f t="shared" si="527"/>
        <v>0</v>
      </c>
      <c r="CE251" s="51">
        <f t="shared" si="527"/>
        <v>0</v>
      </c>
      <c r="CF251" s="51">
        <f t="shared" si="527"/>
        <v>0</v>
      </c>
      <c r="CG251" s="51">
        <f t="shared" si="527"/>
        <v>0</v>
      </c>
      <c r="CH251" s="51">
        <f t="shared" si="527"/>
        <v>0</v>
      </c>
      <c r="CI251" s="51">
        <f t="shared" si="527"/>
        <v>0</v>
      </c>
      <c r="CJ251" s="51">
        <f t="shared" si="527"/>
        <v>0</v>
      </c>
      <c r="CK251" s="51">
        <f t="shared" si="527"/>
        <v>0</v>
      </c>
      <c r="CL251" s="51">
        <f t="shared" si="527"/>
        <v>0</v>
      </c>
      <c r="CM251" s="51">
        <f t="shared" si="527"/>
        <v>0</v>
      </c>
      <c r="CN251" s="51">
        <f t="shared" si="527"/>
        <v>0</v>
      </c>
      <c r="CO251" s="51">
        <f t="shared" si="527"/>
        <v>0</v>
      </c>
      <c r="CP251" s="51">
        <f t="shared" si="527"/>
        <v>0</v>
      </c>
      <c r="CQ251" s="51">
        <f t="shared" si="527"/>
        <v>0</v>
      </c>
      <c r="CR251" s="51">
        <f t="shared" si="527"/>
        <v>0</v>
      </c>
      <c r="CS251" s="51">
        <f t="shared" si="527"/>
        <v>0</v>
      </c>
      <c r="CT251" s="51">
        <f t="shared" si="527"/>
        <v>0</v>
      </c>
      <c r="CU251" s="51">
        <f t="shared" si="527"/>
        <v>0</v>
      </c>
      <c r="CV251" s="51">
        <f t="shared" si="527"/>
        <v>0</v>
      </c>
      <c r="CW251" s="51">
        <f t="shared" si="527"/>
        <v>0</v>
      </c>
      <c r="CX251" s="51">
        <f t="shared" si="527"/>
        <v>0</v>
      </c>
      <c r="CY251" s="51">
        <f t="shared" si="527"/>
        <v>0</v>
      </c>
      <c r="CZ251" s="51">
        <f t="shared" si="527"/>
        <v>0</v>
      </c>
      <c r="DA251" s="51">
        <f t="shared" si="527"/>
        <v>0</v>
      </c>
      <c r="DB251" s="51">
        <f t="shared" si="527"/>
        <v>0</v>
      </c>
      <c r="DC251" s="51">
        <f t="shared" si="527"/>
        <v>0</v>
      </c>
      <c r="DD251" s="51">
        <f t="shared" si="527"/>
        <v>0</v>
      </c>
      <c r="DE251" s="51">
        <f t="shared" si="527"/>
        <v>35436120</v>
      </c>
      <c r="DF251" s="51">
        <f t="shared" si="527"/>
        <v>35436120</v>
      </c>
      <c r="DG251" s="51">
        <f t="shared" si="527"/>
        <v>19566667</v>
      </c>
      <c r="DH251" s="51">
        <f t="shared" si="527"/>
        <v>19566667</v>
      </c>
      <c r="DI251" s="51">
        <f t="shared" si="527"/>
        <v>0</v>
      </c>
      <c r="DJ251" s="51">
        <f t="shared" si="527"/>
        <v>0</v>
      </c>
      <c r="DK251" s="51">
        <f t="shared" si="527"/>
        <v>0</v>
      </c>
      <c r="DL251" s="51">
        <f t="shared" si="527"/>
        <v>0</v>
      </c>
      <c r="DM251" s="51">
        <f t="shared" si="527"/>
        <v>0</v>
      </c>
      <c r="DN251" s="51">
        <f t="shared" si="527"/>
        <v>36499203.600000001</v>
      </c>
      <c r="DO251" s="51">
        <f t="shared" si="527"/>
        <v>0</v>
      </c>
      <c r="DP251" s="51">
        <f t="shared" si="527"/>
        <v>0</v>
      </c>
      <c r="DQ251" s="51">
        <f t="shared" si="527"/>
        <v>0</v>
      </c>
      <c r="DR251" s="51">
        <f t="shared" si="527"/>
        <v>0</v>
      </c>
      <c r="DS251" s="51">
        <f t="shared" si="527"/>
        <v>0</v>
      </c>
      <c r="DT251" s="51">
        <f t="shared" si="527"/>
        <v>35436120</v>
      </c>
      <c r="DU251" s="51">
        <f t="shared" si="527"/>
        <v>35300000</v>
      </c>
      <c r="DV251" s="51">
        <f t="shared" si="527"/>
        <v>35300000</v>
      </c>
      <c r="DW251" s="51">
        <f t="shared" si="527"/>
        <v>0</v>
      </c>
      <c r="DX251" s="51">
        <f t="shared" si="527"/>
        <v>0</v>
      </c>
      <c r="DY251" s="51">
        <f t="shared" ref="DY251:EW251" si="528">SUM(DY252:DY253)</f>
        <v>0</v>
      </c>
      <c r="DZ251" s="51">
        <f t="shared" si="528"/>
        <v>0</v>
      </c>
      <c r="EA251" s="51">
        <f t="shared" si="528"/>
        <v>0</v>
      </c>
      <c r="EB251" s="51">
        <f t="shared" si="528"/>
        <v>0</v>
      </c>
      <c r="EC251" s="51">
        <f t="shared" si="528"/>
        <v>0</v>
      </c>
      <c r="ED251" s="51">
        <f t="shared" si="528"/>
        <v>0</v>
      </c>
      <c r="EE251" s="51">
        <f t="shared" si="528"/>
        <v>0</v>
      </c>
      <c r="EF251" s="51">
        <f t="shared" si="528"/>
        <v>0</v>
      </c>
      <c r="EG251" s="51">
        <f t="shared" si="528"/>
        <v>0</v>
      </c>
      <c r="EH251" s="51">
        <f t="shared" si="528"/>
        <v>0</v>
      </c>
      <c r="EI251" s="51">
        <f t="shared" si="528"/>
        <v>0</v>
      </c>
      <c r="EJ251" s="51">
        <f t="shared" si="528"/>
        <v>0</v>
      </c>
      <c r="EK251" s="51">
        <f t="shared" si="528"/>
        <v>0</v>
      </c>
      <c r="EL251" s="51">
        <f t="shared" si="528"/>
        <v>0</v>
      </c>
      <c r="EM251" s="51">
        <f t="shared" si="528"/>
        <v>0</v>
      </c>
      <c r="EN251" s="51">
        <f t="shared" si="528"/>
        <v>0</v>
      </c>
      <c r="EO251" s="51">
        <f t="shared" si="528"/>
        <v>0</v>
      </c>
      <c r="EP251" s="51">
        <f t="shared" si="528"/>
        <v>0</v>
      </c>
      <c r="EQ251" s="51">
        <f t="shared" si="528"/>
        <v>0</v>
      </c>
      <c r="ER251" s="51">
        <f t="shared" si="528"/>
        <v>0</v>
      </c>
      <c r="ES251" s="51">
        <f t="shared" si="528"/>
        <v>0</v>
      </c>
      <c r="ET251" s="51">
        <f t="shared" si="528"/>
        <v>0</v>
      </c>
      <c r="EU251" s="51">
        <f t="shared" si="528"/>
        <v>0</v>
      </c>
      <c r="EV251" s="51">
        <f t="shared" si="528"/>
        <v>0</v>
      </c>
      <c r="EW251" s="51">
        <f t="shared" si="528"/>
        <v>36499203.600000001</v>
      </c>
      <c r="EX251" s="51">
        <f t="shared" ref="EX251:GZ251" si="529">SUM(EX252:EX253)</f>
        <v>35436120</v>
      </c>
      <c r="EY251" s="51">
        <f t="shared" si="529"/>
        <v>35300000</v>
      </c>
      <c r="EZ251" s="51">
        <f t="shared" si="529"/>
        <v>35300000</v>
      </c>
      <c r="FA251" s="51">
        <f t="shared" si="529"/>
        <v>0</v>
      </c>
      <c r="FB251" s="51">
        <f t="shared" si="529"/>
        <v>0</v>
      </c>
      <c r="FC251" s="51">
        <f t="shared" si="529"/>
        <v>0</v>
      </c>
      <c r="FD251" s="51">
        <f t="shared" si="529"/>
        <v>0</v>
      </c>
      <c r="FE251" s="51">
        <f t="shared" si="529"/>
        <v>0</v>
      </c>
      <c r="FF251" s="51">
        <f t="shared" si="529"/>
        <v>0</v>
      </c>
      <c r="FG251" s="51">
        <f t="shared" si="529"/>
        <v>37594179.708000004</v>
      </c>
      <c r="FH251" s="51">
        <f t="shared" si="529"/>
        <v>7500000</v>
      </c>
      <c r="FI251" s="51">
        <f t="shared" si="529"/>
        <v>0</v>
      </c>
      <c r="FJ251" s="51">
        <f t="shared" si="529"/>
        <v>0</v>
      </c>
      <c r="FK251" s="51">
        <f t="shared" si="529"/>
        <v>0</v>
      </c>
      <c r="FL251" s="51">
        <f t="shared" si="529"/>
        <v>0</v>
      </c>
      <c r="FM251" s="51">
        <f t="shared" si="529"/>
        <v>48600000</v>
      </c>
      <c r="FN251" s="51">
        <f t="shared" si="529"/>
        <v>27980000</v>
      </c>
      <c r="FO251" s="51">
        <f t="shared" si="529"/>
        <v>22384000</v>
      </c>
      <c r="FP251" s="51">
        <f t="shared" si="529"/>
        <v>0</v>
      </c>
      <c r="FQ251" s="51">
        <f t="shared" si="529"/>
        <v>0</v>
      </c>
      <c r="FR251" s="51">
        <f t="shared" si="529"/>
        <v>0</v>
      </c>
      <c r="FS251" s="51">
        <f t="shared" si="529"/>
        <v>0</v>
      </c>
      <c r="FT251" s="51">
        <f t="shared" si="529"/>
        <v>0</v>
      </c>
      <c r="FU251" s="51">
        <f t="shared" si="529"/>
        <v>0</v>
      </c>
      <c r="FV251" s="51">
        <f t="shared" si="529"/>
        <v>0</v>
      </c>
      <c r="FW251" s="51">
        <f t="shared" si="529"/>
        <v>0</v>
      </c>
      <c r="FX251" s="51">
        <f t="shared" si="529"/>
        <v>0</v>
      </c>
      <c r="FY251" s="51">
        <f t="shared" si="529"/>
        <v>0</v>
      </c>
      <c r="FZ251" s="51">
        <f t="shared" si="529"/>
        <v>0</v>
      </c>
      <c r="GA251" s="51">
        <f t="shared" si="529"/>
        <v>0</v>
      </c>
      <c r="GB251" s="51">
        <f t="shared" si="529"/>
        <v>0</v>
      </c>
      <c r="GC251" s="51">
        <f t="shared" si="529"/>
        <v>0</v>
      </c>
      <c r="GD251" s="51">
        <f t="shared" si="529"/>
        <v>0</v>
      </c>
      <c r="GE251" s="51">
        <f t="shared" si="529"/>
        <v>0</v>
      </c>
      <c r="GF251" s="51">
        <f t="shared" si="529"/>
        <v>0</v>
      </c>
      <c r="GG251" s="51">
        <f t="shared" si="529"/>
        <v>0</v>
      </c>
      <c r="GH251" s="51">
        <f t="shared" si="529"/>
        <v>0</v>
      </c>
      <c r="GI251" s="51">
        <f t="shared" si="529"/>
        <v>0</v>
      </c>
      <c r="GJ251" s="51">
        <f t="shared" si="529"/>
        <v>0</v>
      </c>
      <c r="GK251" s="51">
        <f t="shared" si="529"/>
        <v>0</v>
      </c>
      <c r="GL251" s="51">
        <f t="shared" si="529"/>
        <v>0</v>
      </c>
      <c r="GM251" s="51">
        <f t="shared" si="529"/>
        <v>0</v>
      </c>
      <c r="GN251" s="51">
        <f t="shared" si="529"/>
        <v>0</v>
      </c>
      <c r="GO251" s="51">
        <f t="shared" si="529"/>
        <v>0</v>
      </c>
      <c r="GP251" s="51">
        <f t="shared" si="529"/>
        <v>0</v>
      </c>
      <c r="GQ251" s="51">
        <f t="shared" si="529"/>
        <v>0</v>
      </c>
      <c r="GR251" s="51">
        <f t="shared" si="529"/>
        <v>0</v>
      </c>
      <c r="GS251" s="51">
        <f t="shared" si="529"/>
        <v>0</v>
      </c>
      <c r="GT251" s="51">
        <f t="shared" si="529"/>
        <v>0</v>
      </c>
      <c r="GU251" s="51">
        <f t="shared" si="529"/>
        <v>37594179.708000004</v>
      </c>
      <c r="GV251" s="51">
        <f t="shared" si="529"/>
        <v>56100000</v>
      </c>
      <c r="GW251" s="51">
        <f t="shared" si="529"/>
        <v>27980000</v>
      </c>
      <c r="GX251" s="51">
        <f t="shared" si="529"/>
        <v>22384000</v>
      </c>
      <c r="GY251" s="51">
        <f t="shared" si="529"/>
        <v>0</v>
      </c>
      <c r="GZ251" s="51">
        <f t="shared" si="529"/>
        <v>143933503.308</v>
      </c>
    </row>
    <row r="252" spans="1:208" ht="93.75" customHeight="1" x14ac:dyDescent="0.2">
      <c r="A252" s="326"/>
      <c r="B252" s="326"/>
      <c r="C252" s="456">
        <v>28</v>
      </c>
      <c r="D252" s="721" t="s">
        <v>589</v>
      </c>
      <c r="E252" s="1038">
        <v>0.5</v>
      </c>
      <c r="F252" s="1038">
        <v>1</v>
      </c>
      <c r="G252" s="265">
        <v>173</v>
      </c>
      <c r="H252" s="261" t="s">
        <v>609</v>
      </c>
      <c r="I252" s="433" t="s">
        <v>610</v>
      </c>
      <c r="J252" s="513" t="s">
        <v>444</v>
      </c>
      <c r="K252" s="461">
        <v>2</v>
      </c>
      <c r="L252" s="476" t="s">
        <v>58</v>
      </c>
      <c r="M252" s="490" t="s">
        <v>53</v>
      </c>
      <c r="N252" s="490">
        <v>7</v>
      </c>
      <c r="O252" s="475">
        <v>7</v>
      </c>
      <c r="P252" s="484">
        <v>0</v>
      </c>
      <c r="Q252" s="482">
        <v>7</v>
      </c>
      <c r="R252" s="268"/>
      <c r="S252" s="519">
        <v>7</v>
      </c>
      <c r="T252" s="482">
        <v>7</v>
      </c>
      <c r="U252" s="482"/>
      <c r="V252" s="480">
        <v>7</v>
      </c>
      <c r="W252" s="482">
        <v>7</v>
      </c>
      <c r="X252" s="476"/>
      <c r="Y252" s="641">
        <v>4</v>
      </c>
      <c r="Z252" s="443">
        <f>BM252/BM251</f>
        <v>1</v>
      </c>
      <c r="AA252" s="265">
        <v>3</v>
      </c>
      <c r="AB252" s="262" t="s">
        <v>455</v>
      </c>
      <c r="AC252" s="57"/>
      <c r="AD252" s="58"/>
      <c r="AE252" s="59"/>
      <c r="AF252" s="59"/>
      <c r="AG252" s="57">
        <v>34404000</v>
      </c>
      <c r="AH252" s="55">
        <v>34404000</v>
      </c>
      <c r="AI252" s="58"/>
      <c r="AJ252" s="58"/>
      <c r="AK252" s="57"/>
      <c r="AL252" s="58"/>
      <c r="AM252" s="58"/>
      <c r="AN252" s="58"/>
      <c r="AO252" s="57"/>
      <c r="AP252" s="58"/>
      <c r="AQ252" s="58"/>
      <c r="AR252" s="58"/>
      <c r="AS252" s="57"/>
      <c r="AT252" s="58"/>
      <c r="AU252" s="59"/>
      <c r="AV252" s="59"/>
      <c r="AW252" s="57"/>
      <c r="AX252" s="58"/>
      <c r="AY252" s="58"/>
      <c r="AZ252" s="58"/>
      <c r="BA252" s="57"/>
      <c r="BB252" s="58"/>
      <c r="BC252" s="58"/>
      <c r="BD252" s="58"/>
      <c r="BE252" s="57"/>
      <c r="BF252" s="58"/>
      <c r="BG252" s="59"/>
      <c r="BH252" s="59"/>
      <c r="BI252" s="57"/>
      <c r="BJ252" s="58"/>
      <c r="BK252" s="58"/>
      <c r="BL252" s="58"/>
      <c r="BM252" s="53">
        <f>+AC252+AG252+AK252+AO252+AS252+AW252+BA252+BE252+BI252</f>
        <v>34404000</v>
      </c>
      <c r="BN252" s="54">
        <f t="shared" ref="BN252:BP253" si="530">AD252+AH252+AL252+AP252+AT252+AX252+BB252+BF252+BJ252</f>
        <v>34404000</v>
      </c>
      <c r="BO252" s="54">
        <f t="shared" si="530"/>
        <v>0</v>
      </c>
      <c r="BP252" s="54">
        <f t="shared" si="530"/>
        <v>0</v>
      </c>
      <c r="BQ252" s="83"/>
      <c r="BR252" s="83"/>
      <c r="BS252" s="83"/>
      <c r="BT252" s="83"/>
      <c r="BU252" s="84">
        <v>35436120</v>
      </c>
      <c r="BV252" s="83"/>
      <c r="BW252" s="83"/>
      <c r="BX252" s="83"/>
      <c r="BY252" s="83"/>
      <c r="BZ252" s="83"/>
      <c r="CA252" s="82">
        <v>35436120</v>
      </c>
      <c r="CB252" s="82">
        <v>19566667</v>
      </c>
      <c r="CC252" s="82">
        <v>19566667</v>
      </c>
      <c r="CD252" s="82"/>
      <c r="CE252" s="82"/>
      <c r="CF252" s="82"/>
      <c r="CG252" s="82"/>
      <c r="CH252" s="82"/>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1">
        <f t="shared" ref="DE252:DH253" si="531">BQ252+BU252+BZ252+CE252+CI252+CM252+CQ252+CV252+DA252</f>
        <v>35436120</v>
      </c>
      <c r="DF252" s="95">
        <f t="shared" si="531"/>
        <v>35436120</v>
      </c>
      <c r="DG252" s="95">
        <f t="shared" si="531"/>
        <v>19566667</v>
      </c>
      <c r="DH252" s="95">
        <f t="shared" si="531"/>
        <v>19566667</v>
      </c>
      <c r="DI252" s="95"/>
      <c r="DJ252" s="84"/>
      <c r="DK252" s="65"/>
      <c r="DL252" s="84"/>
      <c r="DM252" s="84"/>
      <c r="DN252" s="84">
        <v>36499203.600000001</v>
      </c>
      <c r="DO252" s="84"/>
      <c r="DP252" s="84"/>
      <c r="DQ252" s="84"/>
      <c r="DR252" s="84"/>
      <c r="DS252" s="84"/>
      <c r="DT252" s="84">
        <v>35436120</v>
      </c>
      <c r="DU252" s="84">
        <v>35300000</v>
      </c>
      <c r="DV252" s="84">
        <v>35300000</v>
      </c>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3"/>
      <c r="EU252" s="83"/>
      <c r="EV252" s="83"/>
      <c r="EW252" s="81">
        <f t="shared" ref="EW252:EX253" si="532">DJ252+DN252+DS252+DX252+EB252+EF252+EJ252+EN252+ES252</f>
        <v>36499203.600000001</v>
      </c>
      <c r="EX252" s="86">
        <f t="shared" si="532"/>
        <v>35436120</v>
      </c>
      <c r="EY252" s="86">
        <f t="shared" ref="EY252:EZ253" si="533">DL252+DP252+DU252+DZ252+ED252+EH252+EL252+EP252+EU252</f>
        <v>35300000</v>
      </c>
      <c r="EZ252" s="86">
        <f t="shared" si="533"/>
        <v>35300000</v>
      </c>
      <c r="FA252" s="176"/>
      <c r="FB252" s="83"/>
      <c r="FC252" s="84"/>
      <c r="FD252" s="84"/>
      <c r="FE252" s="84"/>
      <c r="FF252" s="140"/>
      <c r="FG252" s="83">
        <v>37594179.708000004</v>
      </c>
      <c r="FH252" s="83">
        <v>7500000</v>
      </c>
      <c r="FI252" s="83"/>
      <c r="FJ252" s="83"/>
      <c r="FK252" s="83"/>
      <c r="FL252" s="83"/>
      <c r="FM252" s="83">
        <v>18600000</v>
      </c>
      <c r="FN252" s="83">
        <v>13990000</v>
      </c>
      <c r="FO252" s="83">
        <v>8394000</v>
      </c>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1">
        <f t="shared" ref="GU252:GY253" si="534">FB252+FG252+FL252+FQ252+FV252+GA252+GF252+GK252+GP252</f>
        <v>37594179.708000004</v>
      </c>
      <c r="GV252" s="81">
        <f t="shared" si="534"/>
        <v>26100000</v>
      </c>
      <c r="GW252" s="81">
        <f t="shared" si="534"/>
        <v>13990000</v>
      </c>
      <c r="GX252" s="81">
        <f t="shared" si="534"/>
        <v>8394000</v>
      </c>
      <c r="GY252" s="673">
        <f t="shared" si="534"/>
        <v>0</v>
      </c>
      <c r="GZ252" s="67">
        <f>BM252+DE252+EW252+GU252</f>
        <v>143933503.308</v>
      </c>
    </row>
    <row r="253" spans="1:208" ht="62.25" customHeight="1" x14ac:dyDescent="0.2">
      <c r="A253" s="326"/>
      <c r="B253" s="326"/>
      <c r="C253" s="277"/>
      <c r="D253" s="723"/>
      <c r="E253" s="380"/>
      <c r="F253" s="380"/>
      <c r="G253" s="265">
        <v>174</v>
      </c>
      <c r="H253" s="261" t="s">
        <v>611</v>
      </c>
      <c r="I253" s="433" t="s">
        <v>612</v>
      </c>
      <c r="J253" s="513" t="s">
        <v>444</v>
      </c>
      <c r="K253" s="461">
        <v>2</v>
      </c>
      <c r="L253" s="476" t="s">
        <v>58</v>
      </c>
      <c r="M253" s="264">
        <v>100</v>
      </c>
      <c r="N253" s="264">
        <v>150</v>
      </c>
      <c r="O253" s="475">
        <v>150</v>
      </c>
      <c r="P253" s="484">
        <v>150</v>
      </c>
      <c r="Q253" s="482">
        <v>150</v>
      </c>
      <c r="R253" s="268"/>
      <c r="S253" s="520">
        <v>200</v>
      </c>
      <c r="T253" s="482">
        <v>150</v>
      </c>
      <c r="U253" s="482"/>
      <c r="V253" s="480">
        <v>82</v>
      </c>
      <c r="W253" s="482">
        <v>150</v>
      </c>
      <c r="X253" s="476"/>
      <c r="Y253" s="641">
        <v>49</v>
      </c>
      <c r="Z253" s="516">
        <f>BM253/BM251</f>
        <v>0</v>
      </c>
      <c r="AA253" s="265">
        <v>3</v>
      </c>
      <c r="AB253" s="262" t="s">
        <v>455</v>
      </c>
      <c r="AC253" s="57"/>
      <c r="AD253" s="58"/>
      <c r="AE253" s="59"/>
      <c r="AF253" s="59"/>
      <c r="AG253" s="57"/>
      <c r="AH253" s="58"/>
      <c r="AI253" s="58"/>
      <c r="AJ253" s="58"/>
      <c r="AK253" s="57"/>
      <c r="AL253" s="58"/>
      <c r="AM253" s="58"/>
      <c r="AN253" s="58"/>
      <c r="AO253" s="57"/>
      <c r="AP253" s="58"/>
      <c r="AQ253" s="58"/>
      <c r="AR253" s="58"/>
      <c r="AS253" s="57"/>
      <c r="AT253" s="58"/>
      <c r="AU253" s="59"/>
      <c r="AV253" s="59"/>
      <c r="AW253" s="57"/>
      <c r="AX253" s="58"/>
      <c r="AY253" s="58"/>
      <c r="AZ253" s="58"/>
      <c r="BA253" s="57"/>
      <c r="BB253" s="58"/>
      <c r="BC253" s="58"/>
      <c r="BD253" s="58"/>
      <c r="BE253" s="57"/>
      <c r="BF253" s="58"/>
      <c r="BG253" s="59"/>
      <c r="BH253" s="59"/>
      <c r="BI253" s="57"/>
      <c r="BJ253" s="58"/>
      <c r="BK253" s="58"/>
      <c r="BL253" s="58"/>
      <c r="BM253" s="53">
        <f>+AC253+AG253+AK253+AO253+AS253+AW253+BA253+BE253+BI253</f>
        <v>0</v>
      </c>
      <c r="BN253" s="54">
        <f t="shared" si="530"/>
        <v>0</v>
      </c>
      <c r="BO253" s="54">
        <f t="shared" si="530"/>
        <v>0</v>
      </c>
      <c r="BP253" s="54">
        <f t="shared" si="530"/>
        <v>0</v>
      </c>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1">
        <f t="shared" si="531"/>
        <v>0</v>
      </c>
      <c r="DF253" s="95">
        <f t="shared" si="531"/>
        <v>0</v>
      </c>
      <c r="DG253" s="95">
        <f t="shared" si="531"/>
        <v>0</v>
      </c>
      <c r="DH253" s="95">
        <f t="shared" si="531"/>
        <v>0</v>
      </c>
      <c r="DI253" s="95"/>
      <c r="DJ253" s="84"/>
      <c r="DK253" s="65"/>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3"/>
      <c r="EU253" s="83"/>
      <c r="EV253" s="83"/>
      <c r="EW253" s="81">
        <f t="shared" si="532"/>
        <v>0</v>
      </c>
      <c r="EX253" s="86">
        <f t="shared" si="532"/>
        <v>0</v>
      </c>
      <c r="EY253" s="86">
        <f t="shared" si="533"/>
        <v>0</v>
      </c>
      <c r="EZ253" s="86">
        <f t="shared" si="533"/>
        <v>0</v>
      </c>
      <c r="FA253" s="176"/>
      <c r="FB253" s="83"/>
      <c r="FC253" s="84"/>
      <c r="FD253" s="84"/>
      <c r="FE253" s="84"/>
      <c r="FF253" s="140"/>
      <c r="FG253" s="83"/>
      <c r="FH253" s="83"/>
      <c r="FI253" s="83"/>
      <c r="FJ253" s="83"/>
      <c r="FK253" s="83"/>
      <c r="FL253" s="83"/>
      <c r="FM253" s="83">
        <v>30000000</v>
      </c>
      <c r="FN253" s="83">
        <v>13990000</v>
      </c>
      <c r="FO253" s="83">
        <v>13990000</v>
      </c>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1">
        <f t="shared" si="534"/>
        <v>0</v>
      </c>
      <c r="GV253" s="81">
        <f t="shared" si="534"/>
        <v>30000000</v>
      </c>
      <c r="GW253" s="81">
        <f t="shared" si="534"/>
        <v>13990000</v>
      </c>
      <c r="GX253" s="81">
        <f t="shared" si="534"/>
        <v>13990000</v>
      </c>
      <c r="GY253" s="673">
        <f t="shared" si="534"/>
        <v>0</v>
      </c>
      <c r="GZ253" s="67">
        <f>BM253+DE253+EW253+GU253</f>
        <v>0</v>
      </c>
    </row>
    <row r="254" spans="1:208" ht="24.75" customHeight="1" x14ac:dyDescent="0.2">
      <c r="A254" s="326"/>
      <c r="B254" s="326"/>
      <c r="C254" s="246">
        <v>54</v>
      </c>
      <c r="D254" s="247" t="s">
        <v>613</v>
      </c>
      <c r="E254" s="250"/>
      <c r="F254" s="250"/>
      <c r="G254" s="249"/>
      <c r="H254" s="249"/>
      <c r="I254" s="249"/>
      <c r="J254" s="249"/>
      <c r="K254" s="249"/>
      <c r="L254" s="249"/>
      <c r="M254" s="249"/>
      <c r="N254" s="249"/>
      <c r="O254" s="249"/>
      <c r="P254" s="249"/>
      <c r="Q254" s="249"/>
      <c r="R254" s="249"/>
      <c r="S254" s="249"/>
      <c r="T254" s="249"/>
      <c r="U254" s="249"/>
      <c r="V254" s="249"/>
      <c r="W254" s="249"/>
      <c r="X254" s="249"/>
      <c r="Y254" s="296"/>
      <c r="Z254" s="249"/>
      <c r="AA254" s="249"/>
      <c r="AB254" s="249"/>
      <c r="AC254" s="51">
        <f t="shared" ref="AC254:BL254" si="535">SUM(AC255:AC256)</f>
        <v>0</v>
      </c>
      <c r="AD254" s="51">
        <f t="shared" si="535"/>
        <v>0</v>
      </c>
      <c r="AE254" s="51">
        <f t="shared" si="535"/>
        <v>0</v>
      </c>
      <c r="AF254" s="51">
        <f t="shared" si="535"/>
        <v>0</v>
      </c>
      <c r="AG254" s="51">
        <f t="shared" si="535"/>
        <v>23124000</v>
      </c>
      <c r="AH254" s="51">
        <f t="shared" si="535"/>
        <v>223124000</v>
      </c>
      <c r="AI254" s="51">
        <f t="shared" si="535"/>
        <v>223124000</v>
      </c>
      <c r="AJ254" s="51">
        <f t="shared" si="535"/>
        <v>223124000</v>
      </c>
      <c r="AK254" s="51">
        <f t="shared" si="535"/>
        <v>0</v>
      </c>
      <c r="AL254" s="51">
        <f t="shared" si="535"/>
        <v>0</v>
      </c>
      <c r="AM254" s="51">
        <f t="shared" si="535"/>
        <v>0</v>
      </c>
      <c r="AN254" s="51">
        <f t="shared" si="535"/>
        <v>0</v>
      </c>
      <c r="AO254" s="51">
        <f t="shared" si="535"/>
        <v>0</v>
      </c>
      <c r="AP254" s="51">
        <f t="shared" si="535"/>
        <v>0</v>
      </c>
      <c r="AQ254" s="51">
        <f t="shared" si="535"/>
        <v>0</v>
      </c>
      <c r="AR254" s="51">
        <f t="shared" si="535"/>
        <v>0</v>
      </c>
      <c r="AS254" s="51">
        <f t="shared" si="535"/>
        <v>0</v>
      </c>
      <c r="AT254" s="51">
        <f t="shared" si="535"/>
        <v>0</v>
      </c>
      <c r="AU254" s="51">
        <f t="shared" si="535"/>
        <v>0</v>
      </c>
      <c r="AV254" s="51">
        <f t="shared" si="535"/>
        <v>0</v>
      </c>
      <c r="AW254" s="51">
        <f t="shared" si="535"/>
        <v>0</v>
      </c>
      <c r="AX254" s="51">
        <f t="shared" si="535"/>
        <v>0</v>
      </c>
      <c r="AY254" s="51">
        <f t="shared" si="535"/>
        <v>0</v>
      </c>
      <c r="AZ254" s="51">
        <f t="shared" si="535"/>
        <v>0</v>
      </c>
      <c r="BA254" s="51">
        <f t="shared" si="535"/>
        <v>0</v>
      </c>
      <c r="BB254" s="51">
        <f t="shared" si="535"/>
        <v>0</v>
      </c>
      <c r="BC254" s="51">
        <f t="shared" si="535"/>
        <v>0</v>
      </c>
      <c r="BD254" s="51">
        <f t="shared" si="535"/>
        <v>0</v>
      </c>
      <c r="BE254" s="51">
        <f t="shared" si="535"/>
        <v>0</v>
      </c>
      <c r="BF254" s="51">
        <f t="shared" si="535"/>
        <v>0</v>
      </c>
      <c r="BG254" s="51">
        <f t="shared" si="535"/>
        <v>0</v>
      </c>
      <c r="BH254" s="51">
        <f t="shared" si="535"/>
        <v>0</v>
      </c>
      <c r="BI254" s="51">
        <f t="shared" si="535"/>
        <v>0</v>
      </c>
      <c r="BJ254" s="51">
        <f t="shared" si="535"/>
        <v>0</v>
      </c>
      <c r="BK254" s="51">
        <f t="shared" si="535"/>
        <v>0</v>
      </c>
      <c r="BL254" s="51">
        <f t="shared" si="535"/>
        <v>0</v>
      </c>
      <c r="BM254" s="51">
        <f t="shared" ref="BM254:DX254" si="536">SUM(BM255:BM256)</f>
        <v>23124000</v>
      </c>
      <c r="BN254" s="51">
        <f t="shared" si="536"/>
        <v>223124000</v>
      </c>
      <c r="BO254" s="51">
        <f t="shared" si="536"/>
        <v>223124000</v>
      </c>
      <c r="BP254" s="51">
        <f t="shared" si="536"/>
        <v>223124000</v>
      </c>
      <c r="BQ254" s="51">
        <f t="shared" si="536"/>
        <v>0</v>
      </c>
      <c r="BR254" s="51">
        <f t="shared" si="536"/>
        <v>0</v>
      </c>
      <c r="BS254" s="51">
        <f t="shared" si="536"/>
        <v>0</v>
      </c>
      <c r="BT254" s="51">
        <f t="shared" si="536"/>
        <v>0</v>
      </c>
      <c r="BU254" s="51">
        <f t="shared" si="536"/>
        <v>23817720</v>
      </c>
      <c r="BV254" s="51">
        <f t="shared" si="536"/>
        <v>0</v>
      </c>
      <c r="BW254" s="51">
        <f t="shared" si="536"/>
        <v>0</v>
      </c>
      <c r="BX254" s="51">
        <f t="shared" si="536"/>
        <v>0</v>
      </c>
      <c r="BY254" s="51">
        <f t="shared" si="536"/>
        <v>0</v>
      </c>
      <c r="BZ254" s="51">
        <f t="shared" si="536"/>
        <v>0</v>
      </c>
      <c r="CA254" s="51">
        <f t="shared" si="536"/>
        <v>23817720</v>
      </c>
      <c r="CB254" s="51">
        <f t="shared" si="536"/>
        <v>21000000</v>
      </c>
      <c r="CC254" s="51">
        <f t="shared" si="536"/>
        <v>21000000</v>
      </c>
      <c r="CD254" s="51">
        <f t="shared" si="536"/>
        <v>0</v>
      </c>
      <c r="CE254" s="51">
        <f t="shared" si="536"/>
        <v>0</v>
      </c>
      <c r="CF254" s="51">
        <f t="shared" si="536"/>
        <v>0</v>
      </c>
      <c r="CG254" s="51">
        <f t="shared" si="536"/>
        <v>0</v>
      </c>
      <c r="CH254" s="51">
        <f t="shared" si="536"/>
        <v>0</v>
      </c>
      <c r="CI254" s="51">
        <f t="shared" si="536"/>
        <v>0</v>
      </c>
      <c r="CJ254" s="51">
        <f t="shared" si="536"/>
        <v>0</v>
      </c>
      <c r="CK254" s="51">
        <f t="shared" si="536"/>
        <v>0</v>
      </c>
      <c r="CL254" s="51">
        <f t="shared" si="536"/>
        <v>0</v>
      </c>
      <c r="CM254" s="51">
        <f t="shared" si="536"/>
        <v>0</v>
      </c>
      <c r="CN254" s="51">
        <f t="shared" si="536"/>
        <v>0</v>
      </c>
      <c r="CO254" s="51">
        <f t="shared" si="536"/>
        <v>0</v>
      </c>
      <c r="CP254" s="51">
        <f t="shared" si="536"/>
        <v>0</v>
      </c>
      <c r="CQ254" s="51">
        <f t="shared" si="536"/>
        <v>0</v>
      </c>
      <c r="CR254" s="51">
        <f t="shared" si="536"/>
        <v>0</v>
      </c>
      <c r="CS254" s="51">
        <f t="shared" si="536"/>
        <v>0</v>
      </c>
      <c r="CT254" s="51">
        <f t="shared" si="536"/>
        <v>0</v>
      </c>
      <c r="CU254" s="51">
        <f t="shared" si="536"/>
        <v>0</v>
      </c>
      <c r="CV254" s="51">
        <f t="shared" si="536"/>
        <v>0</v>
      </c>
      <c r="CW254" s="51">
        <f t="shared" si="536"/>
        <v>0</v>
      </c>
      <c r="CX254" s="51">
        <f t="shared" si="536"/>
        <v>0</v>
      </c>
      <c r="CY254" s="51">
        <f t="shared" si="536"/>
        <v>0</v>
      </c>
      <c r="CZ254" s="51">
        <f t="shared" si="536"/>
        <v>0</v>
      </c>
      <c r="DA254" s="51">
        <f t="shared" si="536"/>
        <v>0</v>
      </c>
      <c r="DB254" s="51">
        <f t="shared" si="536"/>
        <v>0</v>
      </c>
      <c r="DC254" s="51">
        <f t="shared" si="536"/>
        <v>0</v>
      </c>
      <c r="DD254" s="51">
        <f t="shared" si="536"/>
        <v>0</v>
      </c>
      <c r="DE254" s="51">
        <f t="shared" si="536"/>
        <v>23817720</v>
      </c>
      <c r="DF254" s="51">
        <f t="shared" si="536"/>
        <v>23817720</v>
      </c>
      <c r="DG254" s="51">
        <f t="shared" si="536"/>
        <v>21000000</v>
      </c>
      <c r="DH254" s="51">
        <f t="shared" si="536"/>
        <v>21000000</v>
      </c>
      <c r="DI254" s="51">
        <f t="shared" si="536"/>
        <v>0</v>
      </c>
      <c r="DJ254" s="51">
        <f t="shared" si="536"/>
        <v>0</v>
      </c>
      <c r="DK254" s="51">
        <f t="shared" si="536"/>
        <v>0</v>
      </c>
      <c r="DL254" s="51">
        <f t="shared" si="536"/>
        <v>0</v>
      </c>
      <c r="DM254" s="51">
        <f t="shared" si="536"/>
        <v>0</v>
      </c>
      <c r="DN254" s="51">
        <f t="shared" si="536"/>
        <v>24532251.600000001</v>
      </c>
      <c r="DO254" s="51">
        <f t="shared" si="536"/>
        <v>150000000</v>
      </c>
      <c r="DP254" s="51">
        <f t="shared" si="536"/>
        <v>121888000</v>
      </c>
      <c r="DQ254" s="51">
        <f t="shared" si="536"/>
        <v>121888000</v>
      </c>
      <c r="DR254" s="51">
        <f t="shared" si="536"/>
        <v>0</v>
      </c>
      <c r="DS254" s="51">
        <f t="shared" si="536"/>
        <v>0</v>
      </c>
      <c r="DT254" s="51">
        <f t="shared" si="536"/>
        <v>1098452415</v>
      </c>
      <c r="DU254" s="51">
        <f t="shared" si="536"/>
        <v>1098394695</v>
      </c>
      <c r="DV254" s="51">
        <f t="shared" si="536"/>
        <v>1098394695</v>
      </c>
      <c r="DW254" s="51">
        <f t="shared" si="536"/>
        <v>0</v>
      </c>
      <c r="DX254" s="51">
        <f t="shared" si="536"/>
        <v>0</v>
      </c>
      <c r="DY254" s="51">
        <f t="shared" ref="DY254:EW254" si="537">SUM(DY255:DY256)</f>
        <v>0</v>
      </c>
      <c r="DZ254" s="51">
        <f t="shared" si="537"/>
        <v>0</v>
      </c>
      <c r="EA254" s="51">
        <f t="shared" si="537"/>
        <v>0</v>
      </c>
      <c r="EB254" s="51">
        <f t="shared" si="537"/>
        <v>0</v>
      </c>
      <c r="EC254" s="51">
        <f t="shared" si="537"/>
        <v>0</v>
      </c>
      <c r="ED254" s="51">
        <f t="shared" si="537"/>
        <v>0</v>
      </c>
      <c r="EE254" s="51">
        <f t="shared" si="537"/>
        <v>0</v>
      </c>
      <c r="EF254" s="51">
        <f t="shared" si="537"/>
        <v>0</v>
      </c>
      <c r="EG254" s="51">
        <f t="shared" si="537"/>
        <v>0</v>
      </c>
      <c r="EH254" s="51">
        <f t="shared" si="537"/>
        <v>0</v>
      </c>
      <c r="EI254" s="51">
        <f t="shared" si="537"/>
        <v>0</v>
      </c>
      <c r="EJ254" s="51">
        <f t="shared" si="537"/>
        <v>0</v>
      </c>
      <c r="EK254" s="51">
        <f t="shared" si="537"/>
        <v>0</v>
      </c>
      <c r="EL254" s="51">
        <f t="shared" si="537"/>
        <v>0</v>
      </c>
      <c r="EM254" s="51">
        <f t="shared" si="537"/>
        <v>0</v>
      </c>
      <c r="EN254" s="51">
        <f t="shared" si="537"/>
        <v>0</v>
      </c>
      <c r="EO254" s="51">
        <f t="shared" si="537"/>
        <v>0</v>
      </c>
      <c r="EP254" s="51">
        <f t="shared" si="537"/>
        <v>0</v>
      </c>
      <c r="EQ254" s="51">
        <f t="shared" si="537"/>
        <v>0</v>
      </c>
      <c r="ER254" s="51">
        <f t="shared" si="537"/>
        <v>0</v>
      </c>
      <c r="ES254" s="51">
        <f t="shared" si="537"/>
        <v>0</v>
      </c>
      <c r="ET254" s="51">
        <f t="shared" si="537"/>
        <v>0</v>
      </c>
      <c r="EU254" s="51">
        <f t="shared" si="537"/>
        <v>0</v>
      </c>
      <c r="EV254" s="51">
        <f t="shared" si="537"/>
        <v>0</v>
      </c>
      <c r="EW254" s="51">
        <f t="shared" si="537"/>
        <v>24532251.600000001</v>
      </c>
      <c r="EX254" s="51">
        <f t="shared" ref="EX254:GZ254" si="538">SUM(EX255:EX256)</f>
        <v>1248452415</v>
      </c>
      <c r="EY254" s="51">
        <f t="shared" si="538"/>
        <v>1220282695</v>
      </c>
      <c r="EZ254" s="51">
        <f t="shared" si="538"/>
        <v>1220282695</v>
      </c>
      <c r="FA254" s="51">
        <f t="shared" si="538"/>
        <v>0</v>
      </c>
      <c r="FB254" s="51">
        <f t="shared" si="538"/>
        <v>0</v>
      </c>
      <c r="FC254" s="51">
        <f t="shared" si="538"/>
        <v>0</v>
      </c>
      <c r="FD254" s="51">
        <f t="shared" si="538"/>
        <v>0</v>
      </c>
      <c r="FE254" s="51">
        <f t="shared" si="538"/>
        <v>0</v>
      </c>
      <c r="FF254" s="51">
        <f t="shared" si="538"/>
        <v>0</v>
      </c>
      <c r="FG254" s="51">
        <f t="shared" si="538"/>
        <v>25268219</v>
      </c>
      <c r="FH254" s="51">
        <f t="shared" si="538"/>
        <v>300000000</v>
      </c>
      <c r="FI254" s="51">
        <f t="shared" si="538"/>
        <v>300000000</v>
      </c>
      <c r="FJ254" s="51">
        <f t="shared" si="538"/>
        <v>0</v>
      </c>
      <c r="FK254" s="51">
        <f t="shared" si="538"/>
        <v>0</v>
      </c>
      <c r="FL254" s="51">
        <f t="shared" si="538"/>
        <v>0</v>
      </c>
      <c r="FM254" s="51">
        <f t="shared" si="538"/>
        <v>40080000</v>
      </c>
      <c r="FN254" s="51">
        <f t="shared" si="538"/>
        <v>39980000</v>
      </c>
      <c r="FO254" s="51">
        <f t="shared" si="538"/>
        <v>25182000</v>
      </c>
      <c r="FP254" s="51">
        <f t="shared" si="538"/>
        <v>0</v>
      </c>
      <c r="FQ254" s="51">
        <f t="shared" si="538"/>
        <v>0</v>
      </c>
      <c r="FR254" s="51">
        <f t="shared" si="538"/>
        <v>0</v>
      </c>
      <c r="FS254" s="51">
        <f t="shared" si="538"/>
        <v>0</v>
      </c>
      <c r="FT254" s="51">
        <f t="shared" si="538"/>
        <v>0</v>
      </c>
      <c r="FU254" s="51">
        <f t="shared" si="538"/>
        <v>0</v>
      </c>
      <c r="FV254" s="51">
        <f t="shared" si="538"/>
        <v>0</v>
      </c>
      <c r="FW254" s="51">
        <f t="shared" si="538"/>
        <v>0</v>
      </c>
      <c r="FX254" s="51">
        <f t="shared" si="538"/>
        <v>0</v>
      </c>
      <c r="FY254" s="51">
        <f t="shared" si="538"/>
        <v>0</v>
      </c>
      <c r="FZ254" s="51">
        <f t="shared" si="538"/>
        <v>0</v>
      </c>
      <c r="GA254" s="51">
        <f t="shared" si="538"/>
        <v>0</v>
      </c>
      <c r="GB254" s="51">
        <f t="shared" si="538"/>
        <v>0</v>
      </c>
      <c r="GC254" s="51">
        <f t="shared" si="538"/>
        <v>0</v>
      </c>
      <c r="GD254" s="51">
        <f t="shared" si="538"/>
        <v>0</v>
      </c>
      <c r="GE254" s="51">
        <f t="shared" si="538"/>
        <v>0</v>
      </c>
      <c r="GF254" s="51">
        <f t="shared" si="538"/>
        <v>0</v>
      </c>
      <c r="GG254" s="51">
        <f t="shared" si="538"/>
        <v>0</v>
      </c>
      <c r="GH254" s="51">
        <f t="shared" si="538"/>
        <v>0</v>
      </c>
      <c r="GI254" s="51">
        <f t="shared" si="538"/>
        <v>0</v>
      </c>
      <c r="GJ254" s="51">
        <f t="shared" si="538"/>
        <v>0</v>
      </c>
      <c r="GK254" s="51">
        <f t="shared" si="538"/>
        <v>0</v>
      </c>
      <c r="GL254" s="51">
        <f t="shared" si="538"/>
        <v>0</v>
      </c>
      <c r="GM254" s="51">
        <f t="shared" si="538"/>
        <v>0</v>
      </c>
      <c r="GN254" s="51">
        <f t="shared" si="538"/>
        <v>0</v>
      </c>
      <c r="GO254" s="51">
        <f t="shared" si="538"/>
        <v>0</v>
      </c>
      <c r="GP254" s="51">
        <f t="shared" si="538"/>
        <v>0</v>
      </c>
      <c r="GQ254" s="51">
        <f t="shared" si="538"/>
        <v>0</v>
      </c>
      <c r="GR254" s="51">
        <f t="shared" si="538"/>
        <v>0</v>
      </c>
      <c r="GS254" s="51">
        <f t="shared" si="538"/>
        <v>0</v>
      </c>
      <c r="GT254" s="51">
        <f t="shared" si="538"/>
        <v>0</v>
      </c>
      <c r="GU254" s="51">
        <f t="shared" si="538"/>
        <v>25268219</v>
      </c>
      <c r="GV254" s="51">
        <f t="shared" si="538"/>
        <v>340080000</v>
      </c>
      <c r="GW254" s="51">
        <f t="shared" si="538"/>
        <v>339980000</v>
      </c>
      <c r="GX254" s="51">
        <f t="shared" si="538"/>
        <v>25182000</v>
      </c>
      <c r="GY254" s="51">
        <f t="shared" si="538"/>
        <v>0</v>
      </c>
      <c r="GZ254" s="51">
        <f t="shared" si="538"/>
        <v>96742190.599999994</v>
      </c>
    </row>
    <row r="255" spans="1:208" ht="96.75" customHeight="1" x14ac:dyDescent="0.2">
      <c r="A255" s="326"/>
      <c r="B255" s="326"/>
      <c r="C255" s="456">
        <v>28</v>
      </c>
      <c r="D255" s="721" t="s">
        <v>589</v>
      </c>
      <c r="E255" s="1038">
        <v>0.5</v>
      </c>
      <c r="F255" s="1038">
        <v>1</v>
      </c>
      <c r="G255" s="265">
        <v>175</v>
      </c>
      <c r="H255" s="261" t="s">
        <v>614</v>
      </c>
      <c r="I255" s="521" t="s">
        <v>615</v>
      </c>
      <c r="J255" s="513" t="s">
        <v>444</v>
      </c>
      <c r="K255" s="461">
        <v>2</v>
      </c>
      <c r="L255" s="476" t="s">
        <v>58</v>
      </c>
      <c r="M255" s="264">
        <v>10</v>
      </c>
      <c r="N255" s="264">
        <v>14</v>
      </c>
      <c r="O255" s="475">
        <v>14</v>
      </c>
      <c r="P255" s="484">
        <v>14</v>
      </c>
      <c r="Q255" s="482">
        <v>14</v>
      </c>
      <c r="R255" s="268"/>
      <c r="S255" s="480">
        <v>14</v>
      </c>
      <c r="T255" s="482">
        <v>14</v>
      </c>
      <c r="U255" s="482"/>
      <c r="V255" s="480">
        <v>14</v>
      </c>
      <c r="W255" s="482">
        <v>14</v>
      </c>
      <c r="X255" s="476"/>
      <c r="Y255" s="641">
        <v>6</v>
      </c>
      <c r="Z255" s="443">
        <f>BM255/BM254</f>
        <v>1</v>
      </c>
      <c r="AA255" s="265">
        <v>3</v>
      </c>
      <c r="AB255" s="262" t="s">
        <v>455</v>
      </c>
      <c r="AC255" s="57"/>
      <c r="AD255" s="58"/>
      <c r="AE255" s="59"/>
      <c r="AF255" s="59"/>
      <c r="AG255" s="57">
        <f>23124000</f>
        <v>23124000</v>
      </c>
      <c r="AH255" s="55">
        <v>223124000</v>
      </c>
      <c r="AI255" s="55">
        <v>223124000</v>
      </c>
      <c r="AJ255" s="55">
        <v>223124000</v>
      </c>
      <c r="AK255" s="56"/>
      <c r="AL255" s="58"/>
      <c r="AM255" s="58"/>
      <c r="AN255" s="58"/>
      <c r="AO255" s="57"/>
      <c r="AP255" s="58"/>
      <c r="AQ255" s="58"/>
      <c r="AR255" s="58"/>
      <c r="AS255" s="57"/>
      <c r="AT255" s="58"/>
      <c r="AU255" s="59"/>
      <c r="AV255" s="59"/>
      <c r="AW255" s="57"/>
      <c r="AX255" s="58"/>
      <c r="AY255" s="58"/>
      <c r="AZ255" s="58"/>
      <c r="BA255" s="57"/>
      <c r="BB255" s="58"/>
      <c r="BC255" s="58"/>
      <c r="BD255" s="58"/>
      <c r="BE255" s="57"/>
      <c r="BF255" s="58"/>
      <c r="BG255" s="59"/>
      <c r="BH255" s="59"/>
      <c r="BI255" s="57"/>
      <c r="BJ255" s="58"/>
      <c r="BK255" s="58"/>
      <c r="BL255" s="58"/>
      <c r="BM255" s="53">
        <f>+AC255+AG255+AK255+AO255+AS255+AW255+BA255+BE255+BI255</f>
        <v>23124000</v>
      </c>
      <c r="BN255" s="54">
        <f t="shared" ref="BN255:BP256" si="539">AD255+AH255+AL255+AP255+AT255+AX255+BB255+BF255+BJ255</f>
        <v>223124000</v>
      </c>
      <c r="BO255" s="54">
        <f t="shared" si="539"/>
        <v>223124000</v>
      </c>
      <c r="BP255" s="54">
        <f t="shared" si="539"/>
        <v>223124000</v>
      </c>
      <c r="BQ255" s="83"/>
      <c r="BR255" s="83"/>
      <c r="BS255" s="83"/>
      <c r="BT255" s="83"/>
      <c r="BU255" s="84">
        <v>23817720</v>
      </c>
      <c r="BV255" s="83"/>
      <c r="BW255" s="83"/>
      <c r="BX255" s="82"/>
      <c r="BY255" s="82"/>
      <c r="BZ255" s="83"/>
      <c r="CA255" s="82">
        <v>23817720</v>
      </c>
      <c r="CB255" s="82">
        <v>21000000</v>
      </c>
      <c r="CC255" s="82">
        <v>21000000</v>
      </c>
      <c r="CD255" s="82"/>
      <c r="CE255" s="82"/>
      <c r="CF255" s="82"/>
      <c r="CG255" s="82"/>
      <c r="CH255" s="82"/>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1">
        <f t="shared" ref="DE255:DH256" si="540">BQ255+BU255+BZ255+CE255+CI255+CM255+CQ255+CV255+DA255</f>
        <v>23817720</v>
      </c>
      <c r="DF255" s="95">
        <f t="shared" si="540"/>
        <v>23817720</v>
      </c>
      <c r="DG255" s="95">
        <f t="shared" si="540"/>
        <v>21000000</v>
      </c>
      <c r="DH255" s="95">
        <f t="shared" si="540"/>
        <v>21000000</v>
      </c>
      <c r="DI255" s="95"/>
      <c r="DJ255" s="84"/>
      <c r="DK255" s="65"/>
      <c r="DL255" s="84"/>
      <c r="DM255" s="84"/>
      <c r="DN255" s="84">
        <v>24532251.600000001</v>
      </c>
      <c r="DO255" s="84">
        <v>150000000</v>
      </c>
      <c r="DP255" s="84">
        <v>121888000</v>
      </c>
      <c r="DQ255" s="84">
        <v>121888000</v>
      </c>
      <c r="DR255" s="84"/>
      <c r="DS255" s="84"/>
      <c r="DT255" s="65">
        <v>1098452415</v>
      </c>
      <c r="DU255" s="84">
        <v>1098394695</v>
      </c>
      <c r="DV255" s="84">
        <v>1098394695</v>
      </c>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3"/>
      <c r="EU255" s="83"/>
      <c r="EV255" s="83"/>
      <c r="EW255" s="81">
        <f t="shared" ref="EW255:EX256" si="541">DJ255+DN255+DS255+DX255+EB255+EF255+EJ255+EN255+ES255</f>
        <v>24532251.600000001</v>
      </c>
      <c r="EX255" s="85">
        <f t="shared" si="541"/>
        <v>1248452415</v>
      </c>
      <c r="EY255" s="86">
        <f t="shared" ref="EY255:EZ256" si="542">DL255+DP255+DU255+DZ255+ED255+EH255+EL255+EP255+EU255</f>
        <v>1220282695</v>
      </c>
      <c r="EZ255" s="86">
        <f t="shared" si="542"/>
        <v>1220282695</v>
      </c>
      <c r="FA255" s="176"/>
      <c r="FB255" s="83"/>
      <c r="FC255" s="84"/>
      <c r="FD255" s="84"/>
      <c r="FE255" s="84"/>
      <c r="FF255" s="140"/>
      <c r="FG255" s="83">
        <v>25268219</v>
      </c>
      <c r="FH255" s="83">
        <v>300000000</v>
      </c>
      <c r="FI255" s="83">
        <v>300000000</v>
      </c>
      <c r="FJ255" s="83"/>
      <c r="FK255" s="83"/>
      <c r="FL255" s="83"/>
      <c r="FM255" s="83">
        <v>28080000</v>
      </c>
      <c r="FN255" s="83">
        <v>27980000</v>
      </c>
      <c r="FO255" s="83">
        <v>20182000</v>
      </c>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1">
        <f t="shared" ref="GU255:GY256" si="543">FB255+FG255+FL255+FQ255+FV255+GA255+GF255+GK255+GP255</f>
        <v>25268219</v>
      </c>
      <c r="GV255" s="81">
        <f t="shared" si="543"/>
        <v>328080000</v>
      </c>
      <c r="GW255" s="81">
        <f t="shared" si="543"/>
        <v>327980000</v>
      </c>
      <c r="GX255" s="81">
        <f t="shared" si="543"/>
        <v>20182000</v>
      </c>
      <c r="GY255" s="673">
        <f t="shared" si="543"/>
        <v>0</v>
      </c>
      <c r="GZ255" s="67">
        <f>BM255+DE255+EW255+GU255</f>
        <v>96742190.599999994</v>
      </c>
    </row>
    <row r="256" spans="1:208" ht="69.75" customHeight="1" x14ac:dyDescent="0.2">
      <c r="A256" s="326"/>
      <c r="B256" s="372"/>
      <c r="C256" s="277"/>
      <c r="D256" s="723"/>
      <c r="E256" s="380"/>
      <c r="F256" s="380"/>
      <c r="G256" s="265">
        <v>176</v>
      </c>
      <c r="H256" s="261" t="s">
        <v>616</v>
      </c>
      <c r="I256" s="433" t="s">
        <v>617</v>
      </c>
      <c r="J256" s="513" t="s">
        <v>444</v>
      </c>
      <c r="K256" s="461">
        <v>2</v>
      </c>
      <c r="L256" s="476" t="s">
        <v>58</v>
      </c>
      <c r="M256" s="264">
        <v>2</v>
      </c>
      <c r="N256" s="264">
        <v>2</v>
      </c>
      <c r="O256" s="475">
        <v>2</v>
      </c>
      <c r="P256" s="484">
        <v>2</v>
      </c>
      <c r="Q256" s="482">
        <v>2</v>
      </c>
      <c r="R256" s="268"/>
      <c r="S256" s="480">
        <v>2</v>
      </c>
      <c r="T256" s="482">
        <v>2</v>
      </c>
      <c r="U256" s="482"/>
      <c r="V256" s="480">
        <v>2</v>
      </c>
      <c r="W256" s="482">
        <v>2</v>
      </c>
      <c r="X256" s="476"/>
      <c r="Y256" s="641">
        <v>1</v>
      </c>
      <c r="Z256" s="516"/>
      <c r="AA256" s="265">
        <v>3</v>
      </c>
      <c r="AB256" s="262" t="s">
        <v>455</v>
      </c>
      <c r="AC256" s="57"/>
      <c r="AD256" s="58"/>
      <c r="AE256" s="59"/>
      <c r="AF256" s="59"/>
      <c r="AG256" s="57"/>
      <c r="AH256" s="58"/>
      <c r="AI256" s="58"/>
      <c r="AJ256" s="58"/>
      <c r="AK256" s="57"/>
      <c r="AL256" s="58"/>
      <c r="AM256" s="58"/>
      <c r="AN256" s="58"/>
      <c r="AO256" s="57"/>
      <c r="AP256" s="58"/>
      <c r="AQ256" s="58"/>
      <c r="AR256" s="58"/>
      <c r="AS256" s="57"/>
      <c r="AT256" s="58"/>
      <c r="AU256" s="59"/>
      <c r="AV256" s="59"/>
      <c r="AW256" s="57"/>
      <c r="AX256" s="58"/>
      <c r="AY256" s="58"/>
      <c r="AZ256" s="58"/>
      <c r="BA256" s="57"/>
      <c r="BB256" s="58"/>
      <c r="BC256" s="58"/>
      <c r="BD256" s="58"/>
      <c r="BE256" s="57"/>
      <c r="BF256" s="58"/>
      <c r="BG256" s="59"/>
      <c r="BH256" s="59"/>
      <c r="BI256" s="57"/>
      <c r="BJ256" s="58"/>
      <c r="BK256" s="58"/>
      <c r="BL256" s="58"/>
      <c r="BM256" s="53">
        <f>+AC256+AG256+AK256+AO256+AS256+AW256+BA256+BE256+BI256</f>
        <v>0</v>
      </c>
      <c r="BN256" s="54">
        <f t="shared" si="539"/>
        <v>0</v>
      </c>
      <c r="BO256" s="54">
        <f t="shared" si="539"/>
        <v>0</v>
      </c>
      <c r="BP256" s="54">
        <f t="shared" si="539"/>
        <v>0</v>
      </c>
      <c r="BQ256" s="83"/>
      <c r="BR256" s="83"/>
      <c r="BS256" s="83"/>
      <c r="BT256" s="83"/>
      <c r="BU256" s="83"/>
      <c r="BV256" s="83"/>
      <c r="BW256" s="83"/>
      <c r="BX256" s="83"/>
      <c r="BY256" s="83"/>
      <c r="BZ256" s="83"/>
      <c r="CA256" s="83"/>
      <c r="CB256" s="83"/>
      <c r="CC256" s="83"/>
      <c r="CD256" s="83"/>
      <c r="CE256" s="83"/>
      <c r="CF256" s="82"/>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1">
        <f t="shared" si="540"/>
        <v>0</v>
      </c>
      <c r="DF256" s="95">
        <f t="shared" si="540"/>
        <v>0</v>
      </c>
      <c r="DG256" s="95">
        <f t="shared" si="540"/>
        <v>0</v>
      </c>
      <c r="DH256" s="95">
        <f t="shared" si="540"/>
        <v>0</v>
      </c>
      <c r="DI256" s="95"/>
      <c r="DJ256" s="84"/>
      <c r="DK256" s="65"/>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3"/>
      <c r="EU256" s="83"/>
      <c r="EV256" s="83"/>
      <c r="EW256" s="81">
        <f t="shared" si="541"/>
        <v>0</v>
      </c>
      <c r="EX256" s="86">
        <f t="shared" si="541"/>
        <v>0</v>
      </c>
      <c r="EY256" s="86">
        <f t="shared" si="542"/>
        <v>0</v>
      </c>
      <c r="EZ256" s="86">
        <f t="shared" si="542"/>
        <v>0</v>
      </c>
      <c r="FA256" s="176"/>
      <c r="FB256" s="83"/>
      <c r="FC256" s="84"/>
      <c r="FD256" s="84"/>
      <c r="FE256" s="84"/>
      <c r="FF256" s="140"/>
      <c r="FG256" s="83"/>
      <c r="FH256" s="83"/>
      <c r="FI256" s="83"/>
      <c r="FJ256" s="83"/>
      <c r="FK256" s="83"/>
      <c r="FL256" s="83"/>
      <c r="FM256" s="83">
        <v>12000000</v>
      </c>
      <c r="FN256" s="83">
        <v>12000000</v>
      </c>
      <c r="FO256" s="83">
        <v>5000000</v>
      </c>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1">
        <f t="shared" si="543"/>
        <v>0</v>
      </c>
      <c r="GV256" s="81">
        <f t="shared" si="543"/>
        <v>12000000</v>
      </c>
      <c r="GW256" s="81">
        <f t="shared" si="543"/>
        <v>12000000</v>
      </c>
      <c r="GX256" s="81">
        <f t="shared" si="543"/>
        <v>5000000</v>
      </c>
      <c r="GY256" s="673">
        <f t="shared" si="543"/>
        <v>0</v>
      </c>
      <c r="GZ256" s="67">
        <f>BM256+DE256+EW256+GU256</f>
        <v>0</v>
      </c>
    </row>
    <row r="257" spans="1:208" ht="24.75" customHeight="1" x14ac:dyDescent="0.2">
      <c r="A257" s="326"/>
      <c r="B257" s="234">
        <v>15</v>
      </c>
      <c r="C257" s="324" t="s">
        <v>618</v>
      </c>
      <c r="D257" s="236"/>
      <c r="E257" s="237"/>
      <c r="F257" s="237"/>
      <c r="G257" s="238"/>
      <c r="H257" s="238"/>
      <c r="I257" s="238"/>
      <c r="J257" s="238"/>
      <c r="K257" s="238"/>
      <c r="L257" s="238"/>
      <c r="M257" s="238"/>
      <c r="N257" s="238"/>
      <c r="O257" s="238"/>
      <c r="P257" s="238"/>
      <c r="Q257" s="238"/>
      <c r="R257" s="238"/>
      <c r="S257" s="238"/>
      <c r="T257" s="238"/>
      <c r="U257" s="238"/>
      <c r="V257" s="238"/>
      <c r="W257" s="238"/>
      <c r="X257" s="238"/>
      <c r="Y257" s="241"/>
      <c r="Z257" s="238"/>
      <c r="AA257" s="238"/>
      <c r="AB257" s="238"/>
      <c r="AC257" s="200">
        <f t="shared" ref="AC257:CN257" si="544">AC258</f>
        <v>0</v>
      </c>
      <c r="AD257" s="200">
        <f t="shared" si="544"/>
        <v>0</v>
      </c>
      <c r="AE257" s="200">
        <f t="shared" si="544"/>
        <v>0</v>
      </c>
      <c r="AF257" s="200">
        <f t="shared" si="544"/>
        <v>0</v>
      </c>
      <c r="AG257" s="200">
        <f t="shared" si="544"/>
        <v>125772000</v>
      </c>
      <c r="AH257" s="200">
        <f t="shared" si="544"/>
        <v>125772000</v>
      </c>
      <c r="AI257" s="200">
        <f t="shared" si="544"/>
        <v>117318662</v>
      </c>
      <c r="AJ257" s="200">
        <f t="shared" si="544"/>
        <v>117318662</v>
      </c>
      <c r="AK257" s="200">
        <f t="shared" si="544"/>
        <v>0</v>
      </c>
      <c r="AL257" s="200">
        <f t="shared" si="544"/>
        <v>0</v>
      </c>
      <c r="AM257" s="200">
        <f t="shared" si="544"/>
        <v>0</v>
      </c>
      <c r="AN257" s="200">
        <f t="shared" si="544"/>
        <v>0</v>
      </c>
      <c r="AO257" s="200">
        <f t="shared" si="544"/>
        <v>0</v>
      </c>
      <c r="AP257" s="200">
        <f t="shared" si="544"/>
        <v>35000000</v>
      </c>
      <c r="AQ257" s="200">
        <f t="shared" si="544"/>
        <v>26950000</v>
      </c>
      <c r="AR257" s="200">
        <f t="shared" si="544"/>
        <v>26950000</v>
      </c>
      <c r="AS257" s="200">
        <f t="shared" si="544"/>
        <v>0</v>
      </c>
      <c r="AT257" s="200">
        <f t="shared" si="544"/>
        <v>0</v>
      </c>
      <c r="AU257" s="200">
        <f t="shared" si="544"/>
        <v>0</v>
      </c>
      <c r="AV257" s="200">
        <f t="shared" si="544"/>
        <v>0</v>
      </c>
      <c r="AW257" s="200">
        <f t="shared" si="544"/>
        <v>0</v>
      </c>
      <c r="AX257" s="200">
        <f t="shared" si="544"/>
        <v>0</v>
      </c>
      <c r="AY257" s="200">
        <f t="shared" si="544"/>
        <v>0</v>
      </c>
      <c r="AZ257" s="200">
        <f t="shared" si="544"/>
        <v>0</v>
      </c>
      <c r="BA257" s="200">
        <f t="shared" si="544"/>
        <v>0</v>
      </c>
      <c r="BB257" s="200">
        <f t="shared" si="544"/>
        <v>0</v>
      </c>
      <c r="BC257" s="200">
        <f t="shared" si="544"/>
        <v>0</v>
      </c>
      <c r="BD257" s="200">
        <f t="shared" si="544"/>
        <v>0</v>
      </c>
      <c r="BE257" s="200">
        <f t="shared" si="544"/>
        <v>0</v>
      </c>
      <c r="BF257" s="200">
        <f t="shared" si="544"/>
        <v>0</v>
      </c>
      <c r="BG257" s="200">
        <f t="shared" si="544"/>
        <v>0</v>
      </c>
      <c r="BH257" s="200">
        <f t="shared" si="544"/>
        <v>0</v>
      </c>
      <c r="BI257" s="200">
        <f t="shared" si="544"/>
        <v>0</v>
      </c>
      <c r="BJ257" s="200">
        <f t="shared" si="544"/>
        <v>0</v>
      </c>
      <c r="BK257" s="200">
        <f t="shared" si="544"/>
        <v>0</v>
      </c>
      <c r="BL257" s="200">
        <f t="shared" si="544"/>
        <v>0</v>
      </c>
      <c r="BM257" s="200">
        <f t="shared" si="544"/>
        <v>125772000</v>
      </c>
      <c r="BN257" s="200">
        <f t="shared" si="544"/>
        <v>160772000</v>
      </c>
      <c r="BO257" s="200">
        <f t="shared" si="544"/>
        <v>144268662</v>
      </c>
      <c r="BP257" s="200">
        <f t="shared" si="544"/>
        <v>144268662</v>
      </c>
      <c r="BQ257" s="200">
        <f t="shared" si="544"/>
        <v>0</v>
      </c>
      <c r="BR257" s="200">
        <f t="shared" si="544"/>
        <v>0</v>
      </c>
      <c r="BS257" s="200">
        <f t="shared" si="544"/>
        <v>0</v>
      </c>
      <c r="BT257" s="200">
        <f t="shared" si="544"/>
        <v>0</v>
      </c>
      <c r="BU257" s="200">
        <f t="shared" si="544"/>
        <v>129545160</v>
      </c>
      <c r="BV257" s="200">
        <f t="shared" si="544"/>
        <v>0</v>
      </c>
      <c r="BW257" s="200">
        <f t="shared" si="544"/>
        <v>0</v>
      </c>
      <c r="BX257" s="200">
        <f t="shared" si="544"/>
        <v>0</v>
      </c>
      <c r="BY257" s="200">
        <f t="shared" si="544"/>
        <v>0</v>
      </c>
      <c r="BZ257" s="200">
        <f t="shared" si="544"/>
        <v>0</v>
      </c>
      <c r="CA257" s="200">
        <f t="shared" si="544"/>
        <v>129545160</v>
      </c>
      <c r="CB257" s="200">
        <f t="shared" si="544"/>
        <v>119632000</v>
      </c>
      <c r="CC257" s="200">
        <f t="shared" si="544"/>
        <v>119632000</v>
      </c>
      <c r="CD257" s="200">
        <f t="shared" si="544"/>
        <v>0</v>
      </c>
      <c r="CE257" s="200">
        <f t="shared" si="544"/>
        <v>0</v>
      </c>
      <c r="CF257" s="200">
        <f t="shared" si="544"/>
        <v>0</v>
      </c>
      <c r="CG257" s="200">
        <f t="shared" si="544"/>
        <v>0</v>
      </c>
      <c r="CH257" s="200">
        <f t="shared" si="544"/>
        <v>0</v>
      </c>
      <c r="CI257" s="200">
        <f t="shared" si="544"/>
        <v>0</v>
      </c>
      <c r="CJ257" s="200">
        <f t="shared" si="544"/>
        <v>0</v>
      </c>
      <c r="CK257" s="200">
        <f t="shared" si="544"/>
        <v>0</v>
      </c>
      <c r="CL257" s="200">
        <f t="shared" si="544"/>
        <v>0</v>
      </c>
      <c r="CM257" s="200">
        <f t="shared" si="544"/>
        <v>0</v>
      </c>
      <c r="CN257" s="200">
        <f t="shared" si="544"/>
        <v>0</v>
      </c>
      <c r="CO257" s="200">
        <f t="shared" ref="CO257:EV257" si="545">CO258</f>
        <v>0</v>
      </c>
      <c r="CP257" s="200">
        <f t="shared" si="545"/>
        <v>0</v>
      </c>
      <c r="CQ257" s="200">
        <f t="shared" si="545"/>
        <v>0</v>
      </c>
      <c r="CR257" s="200">
        <f t="shared" si="545"/>
        <v>0</v>
      </c>
      <c r="CS257" s="200">
        <f t="shared" si="545"/>
        <v>0</v>
      </c>
      <c r="CT257" s="200">
        <f t="shared" si="545"/>
        <v>0</v>
      </c>
      <c r="CU257" s="200">
        <f t="shared" si="545"/>
        <v>0</v>
      </c>
      <c r="CV257" s="200">
        <f t="shared" si="545"/>
        <v>0</v>
      </c>
      <c r="CW257" s="200">
        <f t="shared" si="545"/>
        <v>0</v>
      </c>
      <c r="CX257" s="200">
        <f t="shared" si="545"/>
        <v>0</v>
      </c>
      <c r="CY257" s="200">
        <f t="shared" si="545"/>
        <v>0</v>
      </c>
      <c r="CZ257" s="200">
        <f t="shared" si="545"/>
        <v>0</v>
      </c>
      <c r="DA257" s="200">
        <f t="shared" si="545"/>
        <v>0</v>
      </c>
      <c r="DB257" s="200">
        <f t="shared" si="545"/>
        <v>0</v>
      </c>
      <c r="DC257" s="200">
        <f t="shared" si="545"/>
        <v>0</v>
      </c>
      <c r="DD257" s="200">
        <f t="shared" si="545"/>
        <v>0</v>
      </c>
      <c r="DE257" s="200">
        <f t="shared" si="545"/>
        <v>129545160</v>
      </c>
      <c r="DF257" s="200">
        <f t="shared" si="545"/>
        <v>129545160</v>
      </c>
      <c r="DG257" s="200">
        <f t="shared" si="545"/>
        <v>119632000</v>
      </c>
      <c r="DH257" s="200">
        <f t="shared" si="545"/>
        <v>119632000</v>
      </c>
      <c r="DI257" s="200">
        <f t="shared" si="545"/>
        <v>0</v>
      </c>
      <c r="DJ257" s="200">
        <f t="shared" si="545"/>
        <v>0</v>
      </c>
      <c r="DK257" s="200">
        <f t="shared" si="545"/>
        <v>0</v>
      </c>
      <c r="DL257" s="200">
        <f t="shared" si="545"/>
        <v>0</v>
      </c>
      <c r="DM257" s="200">
        <f t="shared" si="545"/>
        <v>0</v>
      </c>
      <c r="DN257" s="200">
        <f t="shared" si="545"/>
        <v>133431514.8</v>
      </c>
      <c r="DO257" s="200">
        <f t="shared" si="545"/>
        <v>0</v>
      </c>
      <c r="DP257" s="200">
        <f t="shared" si="545"/>
        <v>0</v>
      </c>
      <c r="DQ257" s="200">
        <f t="shared" si="545"/>
        <v>0</v>
      </c>
      <c r="DR257" s="200">
        <f t="shared" si="545"/>
        <v>0</v>
      </c>
      <c r="DS257" s="200">
        <f t="shared" si="545"/>
        <v>0</v>
      </c>
      <c r="DT257" s="200">
        <f t="shared" si="545"/>
        <v>27396240</v>
      </c>
      <c r="DU257" s="200">
        <f t="shared" si="545"/>
        <v>27396240</v>
      </c>
      <c r="DV257" s="200">
        <f t="shared" si="545"/>
        <v>27396240</v>
      </c>
      <c r="DW257" s="200">
        <f t="shared" si="545"/>
        <v>0</v>
      </c>
      <c r="DX257" s="200">
        <f t="shared" si="545"/>
        <v>0</v>
      </c>
      <c r="DY257" s="200">
        <f t="shared" si="545"/>
        <v>130000000</v>
      </c>
      <c r="DZ257" s="200">
        <f t="shared" si="545"/>
        <v>116701760</v>
      </c>
      <c r="EA257" s="200">
        <f t="shared" si="545"/>
        <v>116701760</v>
      </c>
      <c r="EB257" s="200">
        <f t="shared" si="545"/>
        <v>0</v>
      </c>
      <c r="EC257" s="200">
        <f t="shared" si="545"/>
        <v>0</v>
      </c>
      <c r="ED257" s="200">
        <f t="shared" si="545"/>
        <v>0</v>
      </c>
      <c r="EE257" s="200">
        <f t="shared" si="545"/>
        <v>0</v>
      </c>
      <c r="EF257" s="200">
        <f t="shared" si="545"/>
        <v>0</v>
      </c>
      <c r="EG257" s="200">
        <f t="shared" si="545"/>
        <v>0</v>
      </c>
      <c r="EH257" s="200">
        <f t="shared" si="545"/>
        <v>0</v>
      </c>
      <c r="EI257" s="200">
        <f t="shared" si="545"/>
        <v>0</v>
      </c>
      <c r="EJ257" s="200">
        <f t="shared" si="545"/>
        <v>0</v>
      </c>
      <c r="EK257" s="200">
        <f t="shared" si="545"/>
        <v>0</v>
      </c>
      <c r="EL257" s="200">
        <f t="shared" si="545"/>
        <v>0</v>
      </c>
      <c r="EM257" s="200">
        <f t="shared" si="545"/>
        <v>0</v>
      </c>
      <c r="EN257" s="200">
        <f t="shared" si="545"/>
        <v>0</v>
      </c>
      <c r="EO257" s="200">
        <f t="shared" si="545"/>
        <v>0</v>
      </c>
      <c r="EP257" s="200">
        <f t="shared" si="545"/>
        <v>0</v>
      </c>
      <c r="EQ257" s="200">
        <f t="shared" si="545"/>
        <v>0</v>
      </c>
      <c r="ER257" s="200">
        <f t="shared" si="545"/>
        <v>0</v>
      </c>
      <c r="ES257" s="200">
        <f t="shared" si="545"/>
        <v>0</v>
      </c>
      <c r="ET257" s="200">
        <f t="shared" si="545"/>
        <v>0</v>
      </c>
      <c r="EU257" s="200">
        <f t="shared" si="545"/>
        <v>0</v>
      </c>
      <c r="EV257" s="200">
        <f t="shared" si="545"/>
        <v>0</v>
      </c>
      <c r="EW257" s="200">
        <f t="shared" ref="EW257" si="546">EW258</f>
        <v>133431514.8</v>
      </c>
      <c r="EX257" s="200">
        <f t="shared" ref="EX257:GZ257" si="547">EX258</f>
        <v>157396240</v>
      </c>
      <c r="EY257" s="200">
        <f t="shared" si="547"/>
        <v>144098000</v>
      </c>
      <c r="EZ257" s="200">
        <f t="shared" si="547"/>
        <v>144098000</v>
      </c>
      <c r="FA257" s="200">
        <f t="shared" si="547"/>
        <v>0</v>
      </c>
      <c r="FB257" s="200">
        <f t="shared" si="547"/>
        <v>0</v>
      </c>
      <c r="FC257" s="200">
        <f t="shared" si="547"/>
        <v>0</v>
      </c>
      <c r="FD257" s="200">
        <f t="shared" si="547"/>
        <v>0</v>
      </c>
      <c r="FE257" s="200">
        <f t="shared" si="547"/>
        <v>0</v>
      </c>
      <c r="FF257" s="200">
        <f t="shared" si="547"/>
        <v>0</v>
      </c>
      <c r="FG257" s="200">
        <f t="shared" si="547"/>
        <v>137434460.24399999</v>
      </c>
      <c r="FH257" s="200">
        <f t="shared" si="547"/>
        <v>0</v>
      </c>
      <c r="FI257" s="200">
        <f t="shared" si="547"/>
        <v>0</v>
      </c>
      <c r="FJ257" s="200">
        <f t="shared" si="547"/>
        <v>0</v>
      </c>
      <c r="FK257" s="200">
        <f t="shared" si="547"/>
        <v>0</v>
      </c>
      <c r="FL257" s="200">
        <f t="shared" si="547"/>
        <v>0</v>
      </c>
      <c r="FM257" s="200">
        <f t="shared" si="547"/>
        <v>0</v>
      </c>
      <c r="FN257" s="200">
        <f t="shared" si="547"/>
        <v>0</v>
      </c>
      <c r="FO257" s="200">
        <f t="shared" si="547"/>
        <v>0</v>
      </c>
      <c r="FP257" s="200">
        <f t="shared" si="547"/>
        <v>0</v>
      </c>
      <c r="FQ257" s="200">
        <f t="shared" si="547"/>
        <v>0</v>
      </c>
      <c r="FR257" s="200">
        <f t="shared" si="547"/>
        <v>150000000</v>
      </c>
      <c r="FS257" s="200">
        <f t="shared" si="547"/>
        <v>36374000</v>
      </c>
      <c r="FT257" s="200">
        <f t="shared" si="547"/>
        <v>23596466</v>
      </c>
      <c r="FU257" s="200">
        <f t="shared" si="547"/>
        <v>0</v>
      </c>
      <c r="FV257" s="200">
        <f t="shared" si="547"/>
        <v>0</v>
      </c>
      <c r="FW257" s="200">
        <f t="shared" si="547"/>
        <v>0</v>
      </c>
      <c r="FX257" s="200">
        <f t="shared" si="547"/>
        <v>0</v>
      </c>
      <c r="FY257" s="200">
        <f t="shared" si="547"/>
        <v>0</v>
      </c>
      <c r="FZ257" s="200">
        <f t="shared" si="547"/>
        <v>0</v>
      </c>
      <c r="GA257" s="200">
        <f t="shared" si="547"/>
        <v>0</v>
      </c>
      <c r="GB257" s="200">
        <f t="shared" si="547"/>
        <v>0</v>
      </c>
      <c r="GC257" s="200">
        <f t="shared" si="547"/>
        <v>0</v>
      </c>
      <c r="GD257" s="200">
        <f t="shared" si="547"/>
        <v>0</v>
      </c>
      <c r="GE257" s="200">
        <f t="shared" si="547"/>
        <v>0</v>
      </c>
      <c r="GF257" s="200">
        <f t="shared" si="547"/>
        <v>0</v>
      </c>
      <c r="GG257" s="200">
        <f t="shared" si="547"/>
        <v>0</v>
      </c>
      <c r="GH257" s="200">
        <f t="shared" si="547"/>
        <v>0</v>
      </c>
      <c r="GI257" s="200">
        <f t="shared" si="547"/>
        <v>0</v>
      </c>
      <c r="GJ257" s="200">
        <f t="shared" si="547"/>
        <v>0</v>
      </c>
      <c r="GK257" s="200">
        <f t="shared" si="547"/>
        <v>0</v>
      </c>
      <c r="GL257" s="200">
        <f t="shared" si="547"/>
        <v>0</v>
      </c>
      <c r="GM257" s="200">
        <f t="shared" si="547"/>
        <v>0</v>
      </c>
      <c r="GN257" s="200">
        <f t="shared" si="547"/>
        <v>0</v>
      </c>
      <c r="GO257" s="200">
        <f t="shared" si="547"/>
        <v>0</v>
      </c>
      <c r="GP257" s="200">
        <f t="shared" si="547"/>
        <v>0</v>
      </c>
      <c r="GQ257" s="200">
        <f t="shared" si="547"/>
        <v>0</v>
      </c>
      <c r="GR257" s="200">
        <f t="shared" si="547"/>
        <v>0</v>
      </c>
      <c r="GS257" s="200">
        <f t="shared" si="547"/>
        <v>0</v>
      </c>
      <c r="GT257" s="200">
        <f t="shared" si="547"/>
        <v>0</v>
      </c>
      <c r="GU257" s="200">
        <f t="shared" si="547"/>
        <v>137434460.24399999</v>
      </c>
      <c r="GV257" s="200">
        <f t="shared" si="547"/>
        <v>150000000</v>
      </c>
      <c r="GW257" s="200">
        <f t="shared" si="547"/>
        <v>36374000</v>
      </c>
      <c r="GX257" s="200">
        <f t="shared" si="547"/>
        <v>23596466</v>
      </c>
      <c r="GY257" s="200">
        <f t="shared" si="547"/>
        <v>0</v>
      </c>
      <c r="GZ257" s="200">
        <f t="shared" si="547"/>
        <v>526183135.04400003</v>
      </c>
    </row>
    <row r="258" spans="1:208" ht="24.75" customHeight="1" x14ac:dyDescent="0.2">
      <c r="A258" s="326"/>
      <c r="B258" s="993"/>
      <c r="C258" s="246">
        <v>55</v>
      </c>
      <c r="D258" s="247" t="s">
        <v>619</v>
      </c>
      <c r="E258" s="250"/>
      <c r="F258" s="250"/>
      <c r="G258" s="249"/>
      <c r="H258" s="249"/>
      <c r="I258" s="249"/>
      <c r="J258" s="249"/>
      <c r="K258" s="249"/>
      <c r="L258" s="249"/>
      <c r="M258" s="249"/>
      <c r="N258" s="249"/>
      <c r="O258" s="249"/>
      <c r="P258" s="249"/>
      <c r="Q258" s="249"/>
      <c r="R258" s="249"/>
      <c r="S258" s="249"/>
      <c r="T258" s="249"/>
      <c r="U258" s="249"/>
      <c r="V258" s="249"/>
      <c r="W258" s="249"/>
      <c r="X258" s="249"/>
      <c r="Y258" s="296"/>
      <c r="Z258" s="249"/>
      <c r="AA258" s="249"/>
      <c r="AB258" s="249"/>
      <c r="AC258" s="51">
        <f t="shared" ref="AC258:BL258" si="548">SUM(AC259:AC261)</f>
        <v>0</v>
      </c>
      <c r="AD258" s="51">
        <f t="shared" si="548"/>
        <v>0</v>
      </c>
      <c r="AE258" s="51">
        <f t="shared" si="548"/>
        <v>0</v>
      </c>
      <c r="AF258" s="51">
        <f t="shared" si="548"/>
        <v>0</v>
      </c>
      <c r="AG258" s="51">
        <f t="shared" si="548"/>
        <v>125772000</v>
      </c>
      <c r="AH258" s="51">
        <f t="shared" si="548"/>
        <v>125772000</v>
      </c>
      <c r="AI258" s="51">
        <f t="shared" si="548"/>
        <v>117318662</v>
      </c>
      <c r="AJ258" s="51">
        <f t="shared" si="548"/>
        <v>117318662</v>
      </c>
      <c r="AK258" s="51">
        <f t="shared" si="548"/>
        <v>0</v>
      </c>
      <c r="AL258" s="51">
        <f t="shared" si="548"/>
        <v>0</v>
      </c>
      <c r="AM258" s="51">
        <f t="shared" si="548"/>
        <v>0</v>
      </c>
      <c r="AN258" s="51">
        <f t="shared" si="548"/>
        <v>0</v>
      </c>
      <c r="AO258" s="51">
        <f t="shared" si="548"/>
        <v>0</v>
      </c>
      <c r="AP258" s="51">
        <f t="shared" si="548"/>
        <v>35000000</v>
      </c>
      <c r="AQ258" s="51">
        <f t="shared" si="548"/>
        <v>26950000</v>
      </c>
      <c r="AR258" s="51">
        <f t="shared" si="548"/>
        <v>26950000</v>
      </c>
      <c r="AS258" s="51">
        <f t="shared" si="548"/>
        <v>0</v>
      </c>
      <c r="AT258" s="51">
        <f t="shared" si="548"/>
        <v>0</v>
      </c>
      <c r="AU258" s="51">
        <f t="shared" si="548"/>
        <v>0</v>
      </c>
      <c r="AV258" s="51">
        <f t="shared" si="548"/>
        <v>0</v>
      </c>
      <c r="AW258" s="51">
        <f t="shared" si="548"/>
        <v>0</v>
      </c>
      <c r="AX258" s="51">
        <f t="shared" si="548"/>
        <v>0</v>
      </c>
      <c r="AY258" s="51">
        <f t="shared" si="548"/>
        <v>0</v>
      </c>
      <c r="AZ258" s="51">
        <f t="shared" si="548"/>
        <v>0</v>
      </c>
      <c r="BA258" s="51">
        <f t="shared" si="548"/>
        <v>0</v>
      </c>
      <c r="BB258" s="51">
        <f t="shared" si="548"/>
        <v>0</v>
      </c>
      <c r="BC258" s="51">
        <f t="shared" si="548"/>
        <v>0</v>
      </c>
      <c r="BD258" s="51">
        <f t="shared" si="548"/>
        <v>0</v>
      </c>
      <c r="BE258" s="51">
        <f t="shared" si="548"/>
        <v>0</v>
      </c>
      <c r="BF258" s="51">
        <f t="shared" si="548"/>
        <v>0</v>
      </c>
      <c r="BG258" s="51">
        <f t="shared" si="548"/>
        <v>0</v>
      </c>
      <c r="BH258" s="51">
        <f t="shared" si="548"/>
        <v>0</v>
      </c>
      <c r="BI258" s="51">
        <f t="shared" si="548"/>
        <v>0</v>
      </c>
      <c r="BJ258" s="51">
        <f t="shared" si="548"/>
        <v>0</v>
      </c>
      <c r="BK258" s="51">
        <f t="shared" si="548"/>
        <v>0</v>
      </c>
      <c r="BL258" s="51">
        <f t="shared" si="548"/>
        <v>0</v>
      </c>
      <c r="BM258" s="51">
        <f t="shared" ref="BM258:DX258" si="549">SUM(BM259:BM261)</f>
        <v>125772000</v>
      </c>
      <c r="BN258" s="51">
        <f t="shared" si="549"/>
        <v>160772000</v>
      </c>
      <c r="BO258" s="51">
        <f t="shared" si="549"/>
        <v>144268662</v>
      </c>
      <c r="BP258" s="51">
        <f t="shared" si="549"/>
        <v>144268662</v>
      </c>
      <c r="BQ258" s="51">
        <f t="shared" si="549"/>
        <v>0</v>
      </c>
      <c r="BR258" s="51">
        <f t="shared" si="549"/>
        <v>0</v>
      </c>
      <c r="BS258" s="51">
        <f t="shared" si="549"/>
        <v>0</v>
      </c>
      <c r="BT258" s="51">
        <f t="shared" si="549"/>
        <v>0</v>
      </c>
      <c r="BU258" s="51">
        <f t="shared" si="549"/>
        <v>129545160</v>
      </c>
      <c r="BV258" s="51">
        <f t="shared" si="549"/>
        <v>0</v>
      </c>
      <c r="BW258" s="51">
        <f t="shared" si="549"/>
        <v>0</v>
      </c>
      <c r="BX258" s="51">
        <f t="shared" si="549"/>
        <v>0</v>
      </c>
      <c r="BY258" s="51">
        <f t="shared" si="549"/>
        <v>0</v>
      </c>
      <c r="BZ258" s="51">
        <f t="shared" si="549"/>
        <v>0</v>
      </c>
      <c r="CA258" s="51">
        <f t="shared" si="549"/>
        <v>129545160</v>
      </c>
      <c r="CB258" s="51">
        <f t="shared" si="549"/>
        <v>119632000</v>
      </c>
      <c r="CC258" s="51">
        <f t="shared" si="549"/>
        <v>119632000</v>
      </c>
      <c r="CD258" s="51">
        <f t="shared" si="549"/>
        <v>0</v>
      </c>
      <c r="CE258" s="51">
        <f t="shared" si="549"/>
        <v>0</v>
      </c>
      <c r="CF258" s="51">
        <f t="shared" si="549"/>
        <v>0</v>
      </c>
      <c r="CG258" s="51">
        <f t="shared" si="549"/>
        <v>0</v>
      </c>
      <c r="CH258" s="51">
        <f t="shared" si="549"/>
        <v>0</v>
      </c>
      <c r="CI258" s="51">
        <f t="shared" si="549"/>
        <v>0</v>
      </c>
      <c r="CJ258" s="51">
        <f t="shared" si="549"/>
        <v>0</v>
      </c>
      <c r="CK258" s="51">
        <f t="shared" si="549"/>
        <v>0</v>
      </c>
      <c r="CL258" s="51">
        <f t="shared" si="549"/>
        <v>0</v>
      </c>
      <c r="CM258" s="51">
        <f t="shared" si="549"/>
        <v>0</v>
      </c>
      <c r="CN258" s="51">
        <f t="shared" si="549"/>
        <v>0</v>
      </c>
      <c r="CO258" s="51">
        <f t="shared" si="549"/>
        <v>0</v>
      </c>
      <c r="CP258" s="51">
        <f t="shared" si="549"/>
        <v>0</v>
      </c>
      <c r="CQ258" s="51">
        <f t="shared" si="549"/>
        <v>0</v>
      </c>
      <c r="CR258" s="51">
        <f t="shared" si="549"/>
        <v>0</v>
      </c>
      <c r="CS258" s="51">
        <f t="shared" si="549"/>
        <v>0</v>
      </c>
      <c r="CT258" s="51">
        <f t="shared" si="549"/>
        <v>0</v>
      </c>
      <c r="CU258" s="51">
        <f t="shared" si="549"/>
        <v>0</v>
      </c>
      <c r="CV258" s="51">
        <f t="shared" si="549"/>
        <v>0</v>
      </c>
      <c r="CW258" s="51">
        <f t="shared" si="549"/>
        <v>0</v>
      </c>
      <c r="CX258" s="51">
        <f t="shared" si="549"/>
        <v>0</v>
      </c>
      <c r="CY258" s="51">
        <f t="shared" si="549"/>
        <v>0</v>
      </c>
      <c r="CZ258" s="51">
        <f t="shared" si="549"/>
        <v>0</v>
      </c>
      <c r="DA258" s="51">
        <f t="shared" si="549"/>
        <v>0</v>
      </c>
      <c r="DB258" s="51">
        <f t="shared" si="549"/>
        <v>0</v>
      </c>
      <c r="DC258" s="51">
        <f t="shared" si="549"/>
        <v>0</v>
      </c>
      <c r="DD258" s="51">
        <f t="shared" si="549"/>
        <v>0</v>
      </c>
      <c r="DE258" s="51">
        <f t="shared" si="549"/>
        <v>129545160</v>
      </c>
      <c r="DF258" s="51">
        <f t="shared" si="549"/>
        <v>129545160</v>
      </c>
      <c r="DG258" s="51">
        <f t="shared" si="549"/>
        <v>119632000</v>
      </c>
      <c r="DH258" s="51">
        <f t="shared" si="549"/>
        <v>119632000</v>
      </c>
      <c r="DI258" s="51">
        <f t="shared" si="549"/>
        <v>0</v>
      </c>
      <c r="DJ258" s="51">
        <f t="shared" si="549"/>
        <v>0</v>
      </c>
      <c r="DK258" s="51">
        <f t="shared" si="549"/>
        <v>0</v>
      </c>
      <c r="DL258" s="51">
        <f t="shared" si="549"/>
        <v>0</v>
      </c>
      <c r="DM258" s="51">
        <f t="shared" si="549"/>
        <v>0</v>
      </c>
      <c r="DN258" s="51">
        <f t="shared" si="549"/>
        <v>133431514.8</v>
      </c>
      <c r="DO258" s="51">
        <f t="shared" si="549"/>
        <v>0</v>
      </c>
      <c r="DP258" s="51">
        <f t="shared" si="549"/>
        <v>0</v>
      </c>
      <c r="DQ258" s="51">
        <f t="shared" si="549"/>
        <v>0</v>
      </c>
      <c r="DR258" s="51">
        <f t="shared" si="549"/>
        <v>0</v>
      </c>
      <c r="DS258" s="51">
        <f t="shared" si="549"/>
        <v>0</v>
      </c>
      <c r="DT258" s="51">
        <f t="shared" si="549"/>
        <v>27396240</v>
      </c>
      <c r="DU258" s="51">
        <f t="shared" si="549"/>
        <v>27396240</v>
      </c>
      <c r="DV258" s="51">
        <f t="shared" si="549"/>
        <v>27396240</v>
      </c>
      <c r="DW258" s="51">
        <f t="shared" si="549"/>
        <v>0</v>
      </c>
      <c r="DX258" s="51">
        <f t="shared" si="549"/>
        <v>0</v>
      </c>
      <c r="DY258" s="51">
        <f t="shared" ref="DY258:EW258" si="550">SUM(DY259:DY261)</f>
        <v>130000000</v>
      </c>
      <c r="DZ258" s="51">
        <f t="shared" si="550"/>
        <v>116701760</v>
      </c>
      <c r="EA258" s="51">
        <f t="shared" si="550"/>
        <v>116701760</v>
      </c>
      <c r="EB258" s="51">
        <f t="shared" si="550"/>
        <v>0</v>
      </c>
      <c r="EC258" s="51">
        <f t="shared" si="550"/>
        <v>0</v>
      </c>
      <c r="ED258" s="51">
        <f t="shared" si="550"/>
        <v>0</v>
      </c>
      <c r="EE258" s="51">
        <f t="shared" si="550"/>
        <v>0</v>
      </c>
      <c r="EF258" s="51">
        <f t="shared" si="550"/>
        <v>0</v>
      </c>
      <c r="EG258" s="51">
        <f t="shared" si="550"/>
        <v>0</v>
      </c>
      <c r="EH258" s="51">
        <f t="shared" si="550"/>
        <v>0</v>
      </c>
      <c r="EI258" s="51">
        <f t="shared" si="550"/>
        <v>0</v>
      </c>
      <c r="EJ258" s="51">
        <f t="shared" si="550"/>
        <v>0</v>
      </c>
      <c r="EK258" s="51">
        <f t="shared" si="550"/>
        <v>0</v>
      </c>
      <c r="EL258" s="51">
        <f t="shared" si="550"/>
        <v>0</v>
      </c>
      <c r="EM258" s="51">
        <f t="shared" si="550"/>
        <v>0</v>
      </c>
      <c r="EN258" s="51">
        <f t="shared" si="550"/>
        <v>0</v>
      </c>
      <c r="EO258" s="51">
        <f t="shared" si="550"/>
        <v>0</v>
      </c>
      <c r="EP258" s="51">
        <f t="shared" si="550"/>
        <v>0</v>
      </c>
      <c r="EQ258" s="51">
        <f t="shared" si="550"/>
        <v>0</v>
      </c>
      <c r="ER258" s="51">
        <f t="shared" si="550"/>
        <v>0</v>
      </c>
      <c r="ES258" s="51">
        <f t="shared" si="550"/>
        <v>0</v>
      </c>
      <c r="ET258" s="51">
        <f t="shared" si="550"/>
        <v>0</v>
      </c>
      <c r="EU258" s="51">
        <f t="shared" si="550"/>
        <v>0</v>
      </c>
      <c r="EV258" s="51">
        <f t="shared" si="550"/>
        <v>0</v>
      </c>
      <c r="EW258" s="51">
        <f t="shared" si="550"/>
        <v>133431514.8</v>
      </c>
      <c r="EX258" s="51">
        <f t="shared" ref="EX258:GZ258" si="551">SUM(EX259:EX261)</f>
        <v>157396240</v>
      </c>
      <c r="EY258" s="51">
        <f t="shared" si="551"/>
        <v>144098000</v>
      </c>
      <c r="EZ258" s="51">
        <f t="shared" si="551"/>
        <v>144098000</v>
      </c>
      <c r="FA258" s="51">
        <f t="shared" si="551"/>
        <v>0</v>
      </c>
      <c r="FB258" s="51">
        <f t="shared" si="551"/>
        <v>0</v>
      </c>
      <c r="FC258" s="51">
        <f t="shared" si="551"/>
        <v>0</v>
      </c>
      <c r="FD258" s="51">
        <f t="shared" si="551"/>
        <v>0</v>
      </c>
      <c r="FE258" s="51">
        <f t="shared" si="551"/>
        <v>0</v>
      </c>
      <c r="FF258" s="51">
        <f t="shared" si="551"/>
        <v>0</v>
      </c>
      <c r="FG258" s="51">
        <f t="shared" si="551"/>
        <v>137434460.24399999</v>
      </c>
      <c r="FH258" s="51">
        <f t="shared" si="551"/>
        <v>0</v>
      </c>
      <c r="FI258" s="51">
        <f t="shared" si="551"/>
        <v>0</v>
      </c>
      <c r="FJ258" s="51">
        <f t="shared" si="551"/>
        <v>0</v>
      </c>
      <c r="FK258" s="51">
        <f t="shared" si="551"/>
        <v>0</v>
      </c>
      <c r="FL258" s="51">
        <f t="shared" si="551"/>
        <v>0</v>
      </c>
      <c r="FM258" s="51">
        <f t="shared" si="551"/>
        <v>0</v>
      </c>
      <c r="FN258" s="51">
        <f t="shared" si="551"/>
        <v>0</v>
      </c>
      <c r="FO258" s="51">
        <f t="shared" si="551"/>
        <v>0</v>
      </c>
      <c r="FP258" s="51">
        <f t="shared" si="551"/>
        <v>0</v>
      </c>
      <c r="FQ258" s="51">
        <f t="shared" si="551"/>
        <v>0</v>
      </c>
      <c r="FR258" s="51">
        <f t="shared" si="551"/>
        <v>150000000</v>
      </c>
      <c r="FS258" s="51">
        <f t="shared" si="551"/>
        <v>36374000</v>
      </c>
      <c r="FT258" s="51">
        <f t="shared" si="551"/>
        <v>23596466</v>
      </c>
      <c r="FU258" s="51">
        <f t="shared" si="551"/>
        <v>0</v>
      </c>
      <c r="FV258" s="51">
        <f t="shared" si="551"/>
        <v>0</v>
      </c>
      <c r="FW258" s="51">
        <f t="shared" si="551"/>
        <v>0</v>
      </c>
      <c r="FX258" s="51">
        <f t="shared" si="551"/>
        <v>0</v>
      </c>
      <c r="FY258" s="51">
        <f t="shared" si="551"/>
        <v>0</v>
      </c>
      <c r="FZ258" s="51">
        <f t="shared" si="551"/>
        <v>0</v>
      </c>
      <c r="GA258" s="51">
        <f t="shared" si="551"/>
        <v>0</v>
      </c>
      <c r="GB258" s="51">
        <f t="shared" si="551"/>
        <v>0</v>
      </c>
      <c r="GC258" s="51">
        <f t="shared" si="551"/>
        <v>0</v>
      </c>
      <c r="GD258" s="51">
        <f t="shared" si="551"/>
        <v>0</v>
      </c>
      <c r="GE258" s="51">
        <f t="shared" si="551"/>
        <v>0</v>
      </c>
      <c r="GF258" s="51">
        <f t="shared" si="551"/>
        <v>0</v>
      </c>
      <c r="GG258" s="51">
        <f t="shared" si="551"/>
        <v>0</v>
      </c>
      <c r="GH258" s="51">
        <f t="shared" si="551"/>
        <v>0</v>
      </c>
      <c r="GI258" s="51">
        <f t="shared" si="551"/>
        <v>0</v>
      </c>
      <c r="GJ258" s="51">
        <f t="shared" si="551"/>
        <v>0</v>
      </c>
      <c r="GK258" s="51">
        <f t="shared" si="551"/>
        <v>0</v>
      </c>
      <c r="GL258" s="51">
        <f t="shared" si="551"/>
        <v>0</v>
      </c>
      <c r="GM258" s="51">
        <f t="shared" si="551"/>
        <v>0</v>
      </c>
      <c r="GN258" s="51">
        <f t="shared" si="551"/>
        <v>0</v>
      </c>
      <c r="GO258" s="51">
        <f t="shared" si="551"/>
        <v>0</v>
      </c>
      <c r="GP258" s="51">
        <f t="shared" si="551"/>
        <v>0</v>
      </c>
      <c r="GQ258" s="51">
        <f t="shared" si="551"/>
        <v>0</v>
      </c>
      <c r="GR258" s="51">
        <f t="shared" si="551"/>
        <v>0</v>
      </c>
      <c r="GS258" s="51">
        <f t="shared" si="551"/>
        <v>0</v>
      </c>
      <c r="GT258" s="51">
        <f t="shared" si="551"/>
        <v>0</v>
      </c>
      <c r="GU258" s="51">
        <f t="shared" si="551"/>
        <v>137434460.24399999</v>
      </c>
      <c r="GV258" s="51">
        <f t="shared" si="551"/>
        <v>150000000</v>
      </c>
      <c r="GW258" s="51">
        <f t="shared" si="551"/>
        <v>36374000</v>
      </c>
      <c r="GX258" s="51">
        <f t="shared" si="551"/>
        <v>23596466</v>
      </c>
      <c r="GY258" s="51">
        <f t="shared" si="551"/>
        <v>0</v>
      </c>
      <c r="GZ258" s="51">
        <f t="shared" si="551"/>
        <v>526183135.04400003</v>
      </c>
    </row>
    <row r="259" spans="1:208" ht="86.25" customHeight="1" x14ac:dyDescent="0.2">
      <c r="A259" s="326"/>
      <c r="B259" s="326"/>
      <c r="C259" s="288" t="s">
        <v>620</v>
      </c>
      <c r="D259" s="258" t="s">
        <v>621</v>
      </c>
      <c r="E259" s="474">
        <v>2</v>
      </c>
      <c r="F259" s="474">
        <v>2</v>
      </c>
      <c r="G259" s="265">
        <v>177</v>
      </c>
      <c r="H259" s="261" t="s">
        <v>622</v>
      </c>
      <c r="I259" s="433" t="s">
        <v>623</v>
      </c>
      <c r="J259" s="513" t="s">
        <v>444</v>
      </c>
      <c r="K259" s="461">
        <v>2</v>
      </c>
      <c r="L259" s="476" t="s">
        <v>58</v>
      </c>
      <c r="M259" s="264">
        <v>2</v>
      </c>
      <c r="N259" s="264">
        <v>2</v>
      </c>
      <c r="O259" s="475">
        <v>2</v>
      </c>
      <c r="P259" s="484">
        <v>2</v>
      </c>
      <c r="Q259" s="482">
        <v>2</v>
      </c>
      <c r="R259" s="268"/>
      <c r="S259" s="480">
        <v>2</v>
      </c>
      <c r="T259" s="482">
        <v>2</v>
      </c>
      <c r="U259" s="482"/>
      <c r="V259" s="480">
        <v>2</v>
      </c>
      <c r="W259" s="482">
        <v>2</v>
      </c>
      <c r="X259" s="476"/>
      <c r="Y259" s="641">
        <v>1</v>
      </c>
      <c r="Z259" s="516"/>
      <c r="AA259" s="265">
        <v>3</v>
      </c>
      <c r="AB259" s="262" t="s">
        <v>455</v>
      </c>
      <c r="AC259" s="57"/>
      <c r="AD259" s="58"/>
      <c r="AE259" s="59"/>
      <c r="AF259" s="59"/>
      <c r="AG259" s="57"/>
      <c r="AH259" s="58"/>
      <c r="AI259" s="58"/>
      <c r="AJ259" s="58"/>
      <c r="AK259" s="57"/>
      <c r="AL259" s="58"/>
      <c r="AM259" s="58"/>
      <c r="AN259" s="58"/>
      <c r="AO259" s="57"/>
      <c r="AP259" s="58"/>
      <c r="AQ259" s="58"/>
      <c r="AR259" s="58"/>
      <c r="AS259" s="57"/>
      <c r="AT259" s="58"/>
      <c r="AU259" s="59"/>
      <c r="AV259" s="59"/>
      <c r="AW259" s="57"/>
      <c r="AX259" s="58"/>
      <c r="AY259" s="58"/>
      <c r="AZ259" s="58"/>
      <c r="BA259" s="57"/>
      <c r="BB259" s="58"/>
      <c r="BC259" s="58"/>
      <c r="BD259" s="58"/>
      <c r="BE259" s="57"/>
      <c r="BF259" s="58"/>
      <c r="BG259" s="59"/>
      <c r="BH259" s="59"/>
      <c r="BI259" s="57"/>
      <c r="BJ259" s="58"/>
      <c r="BK259" s="58"/>
      <c r="BL259" s="58"/>
      <c r="BM259" s="53">
        <f>+AC259+AG259+AK259+AO259+AS259+AW259+BA259+BE259+BI259</f>
        <v>0</v>
      </c>
      <c r="BN259" s="54">
        <f t="shared" ref="BN259:BP261" si="552">AD259+AH259+AL259+AP259+AT259+AX259+BB259+BF259+BJ259</f>
        <v>0</v>
      </c>
      <c r="BO259" s="54">
        <f t="shared" si="552"/>
        <v>0</v>
      </c>
      <c r="BP259" s="54">
        <f t="shared" si="552"/>
        <v>0</v>
      </c>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1">
        <f t="shared" ref="DE259:DH261" si="553">BQ259+BU259+BZ259+CE259+CI259+CM259+CQ259+CV259+DA259</f>
        <v>0</v>
      </c>
      <c r="DF259" s="95">
        <f t="shared" si="553"/>
        <v>0</v>
      </c>
      <c r="DG259" s="95">
        <f t="shared" si="553"/>
        <v>0</v>
      </c>
      <c r="DH259" s="95">
        <f t="shared" si="553"/>
        <v>0</v>
      </c>
      <c r="DI259" s="95"/>
      <c r="DJ259" s="84"/>
      <c r="DK259" s="65"/>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3"/>
      <c r="EU259" s="83"/>
      <c r="EV259" s="83"/>
      <c r="EW259" s="81">
        <f t="shared" ref="EW259:EX261" si="554">DJ259+DN259+DS259+DX259+EB259+EF259+EJ259+EN259+ES259</f>
        <v>0</v>
      </c>
      <c r="EX259" s="86">
        <f t="shared" si="554"/>
        <v>0</v>
      </c>
      <c r="EY259" s="86">
        <f t="shared" ref="EY259:EZ261" si="555">DL259+DP259+DU259+DZ259+ED259+EH259+EL259+EP259+EU259</f>
        <v>0</v>
      </c>
      <c r="EZ259" s="86">
        <f t="shared" si="555"/>
        <v>0</v>
      </c>
      <c r="FA259" s="176"/>
      <c r="FB259" s="83"/>
      <c r="FC259" s="84"/>
      <c r="FD259" s="84"/>
      <c r="FE259" s="84"/>
      <c r="FF259" s="140"/>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1">
        <f t="shared" ref="GU259:GY261" si="556">FB259+FG259+FL259+FQ259+FV259+GA259+GF259+GK259+GP259</f>
        <v>0</v>
      </c>
      <c r="GV259" s="81">
        <f t="shared" si="556"/>
        <v>0</v>
      </c>
      <c r="GW259" s="81">
        <f t="shared" si="556"/>
        <v>0</v>
      </c>
      <c r="GX259" s="81">
        <f t="shared" si="556"/>
        <v>0</v>
      </c>
      <c r="GY259" s="673">
        <f t="shared" si="556"/>
        <v>0</v>
      </c>
      <c r="GZ259" s="67">
        <f>BM259+DE259+EW259+GU259</f>
        <v>0</v>
      </c>
    </row>
    <row r="260" spans="1:208" s="711" customFormat="1" ht="177.75" customHeight="1" x14ac:dyDescent="0.2">
      <c r="A260" s="703"/>
      <c r="B260" s="703"/>
      <c r="C260" s="621" t="s">
        <v>624</v>
      </c>
      <c r="D260" s="676" t="s">
        <v>625</v>
      </c>
      <c r="E260" s="962">
        <v>0</v>
      </c>
      <c r="F260" s="962">
        <v>0.8</v>
      </c>
      <c r="G260" s="682">
        <v>178</v>
      </c>
      <c r="H260" s="676" t="s">
        <v>626</v>
      </c>
      <c r="I260" s="898" t="s">
        <v>627</v>
      </c>
      <c r="J260" s="902" t="s">
        <v>444</v>
      </c>
      <c r="K260" s="694">
        <v>2</v>
      </c>
      <c r="L260" s="696" t="s">
        <v>58</v>
      </c>
      <c r="M260" s="682">
        <v>0</v>
      </c>
      <c r="N260" s="682">
        <v>3</v>
      </c>
      <c r="O260" s="690">
        <v>3</v>
      </c>
      <c r="P260" s="695">
        <v>3</v>
      </c>
      <c r="Q260" s="690">
        <v>3</v>
      </c>
      <c r="R260" s="814"/>
      <c r="S260" s="695">
        <v>3</v>
      </c>
      <c r="T260" s="690">
        <v>3</v>
      </c>
      <c r="U260" s="690"/>
      <c r="V260" s="695">
        <v>3</v>
      </c>
      <c r="W260" s="690">
        <v>3</v>
      </c>
      <c r="X260" s="696"/>
      <c r="Y260" s="963">
        <v>1.5</v>
      </c>
      <c r="Z260" s="852">
        <f>BM260/BM258</f>
        <v>1</v>
      </c>
      <c r="AA260" s="682">
        <v>3</v>
      </c>
      <c r="AB260" s="813" t="s">
        <v>455</v>
      </c>
      <c r="AC260" s="830"/>
      <c r="AD260" s="831"/>
      <c r="AE260" s="818"/>
      <c r="AF260" s="818"/>
      <c r="AG260" s="830">
        <v>125772000</v>
      </c>
      <c r="AH260" s="831">
        <v>125772000</v>
      </c>
      <c r="AI260" s="831">
        <v>117318662</v>
      </c>
      <c r="AJ260" s="831">
        <v>117318662</v>
      </c>
      <c r="AK260" s="830"/>
      <c r="AL260" s="831"/>
      <c r="AM260" s="831"/>
      <c r="AN260" s="831"/>
      <c r="AO260" s="830"/>
      <c r="AP260" s="831">
        <v>35000000</v>
      </c>
      <c r="AQ260" s="831">
        <v>26950000</v>
      </c>
      <c r="AR260" s="831">
        <v>26950000</v>
      </c>
      <c r="AS260" s="830"/>
      <c r="AT260" s="831"/>
      <c r="AU260" s="818"/>
      <c r="AV260" s="818"/>
      <c r="AW260" s="830"/>
      <c r="AX260" s="831"/>
      <c r="AY260" s="831"/>
      <c r="AZ260" s="831"/>
      <c r="BA260" s="830"/>
      <c r="BB260" s="831"/>
      <c r="BC260" s="831"/>
      <c r="BD260" s="831"/>
      <c r="BE260" s="830"/>
      <c r="BF260" s="831"/>
      <c r="BG260" s="818"/>
      <c r="BH260" s="818"/>
      <c r="BI260" s="830"/>
      <c r="BJ260" s="831"/>
      <c r="BK260" s="831"/>
      <c r="BL260" s="831"/>
      <c r="BM260" s="817">
        <f>+AC260+AG260+AK260+AO260+AS260+AW260+BA260+BE260+BI260</f>
        <v>125772000</v>
      </c>
      <c r="BN260" s="818">
        <f t="shared" si="552"/>
        <v>160772000</v>
      </c>
      <c r="BO260" s="818">
        <f t="shared" si="552"/>
        <v>144268662</v>
      </c>
      <c r="BP260" s="818">
        <f t="shared" si="552"/>
        <v>144268662</v>
      </c>
      <c r="BQ260" s="667"/>
      <c r="BR260" s="667"/>
      <c r="BS260" s="667"/>
      <c r="BT260" s="667"/>
      <c r="BU260" s="706">
        <v>129545160</v>
      </c>
      <c r="BV260" s="667"/>
      <c r="BW260" s="667"/>
      <c r="BX260" s="667"/>
      <c r="BY260" s="667"/>
      <c r="BZ260" s="667"/>
      <c r="CA260" s="667">
        <v>129545160</v>
      </c>
      <c r="CB260" s="667">
        <v>119632000</v>
      </c>
      <c r="CC260" s="667">
        <v>119632000</v>
      </c>
      <c r="CD260" s="667"/>
      <c r="CE260" s="667"/>
      <c r="CF260" s="667"/>
      <c r="CG260" s="667"/>
      <c r="CH260" s="667"/>
      <c r="CI260" s="667"/>
      <c r="CJ260" s="667"/>
      <c r="CK260" s="667"/>
      <c r="CL260" s="667"/>
      <c r="CM260" s="667"/>
      <c r="CN260" s="667"/>
      <c r="CO260" s="667"/>
      <c r="CP260" s="667"/>
      <c r="CQ260" s="667"/>
      <c r="CR260" s="667"/>
      <c r="CS260" s="667"/>
      <c r="CT260" s="667"/>
      <c r="CU260" s="667"/>
      <c r="CV260" s="667"/>
      <c r="CW260" s="667"/>
      <c r="CX260" s="667"/>
      <c r="CY260" s="667"/>
      <c r="CZ260" s="667"/>
      <c r="DA260" s="667"/>
      <c r="DB260" s="667"/>
      <c r="DC260" s="667"/>
      <c r="DD260" s="667"/>
      <c r="DE260" s="708">
        <f t="shared" si="553"/>
        <v>129545160</v>
      </c>
      <c r="DF260" s="708">
        <f t="shared" si="553"/>
        <v>129545160</v>
      </c>
      <c r="DG260" s="708">
        <f t="shared" si="553"/>
        <v>119632000</v>
      </c>
      <c r="DH260" s="708">
        <f t="shared" si="553"/>
        <v>119632000</v>
      </c>
      <c r="DI260" s="708"/>
      <c r="DJ260" s="706"/>
      <c r="DK260" s="706"/>
      <c r="DL260" s="706"/>
      <c r="DM260" s="706"/>
      <c r="DN260" s="706">
        <v>133431514.8</v>
      </c>
      <c r="DO260" s="706"/>
      <c r="DP260" s="706"/>
      <c r="DQ260" s="706"/>
      <c r="DR260" s="706"/>
      <c r="DS260" s="706"/>
      <c r="DT260" s="706">
        <v>27396240</v>
      </c>
      <c r="DU260" s="706">
        <v>27396240</v>
      </c>
      <c r="DV260" s="706">
        <v>27396240</v>
      </c>
      <c r="DW260" s="706"/>
      <c r="DX260" s="706"/>
      <c r="DY260" s="706">
        <v>130000000</v>
      </c>
      <c r="DZ260" s="706">
        <f>116701760</f>
        <v>116701760</v>
      </c>
      <c r="EA260" s="706">
        <v>116701760</v>
      </c>
      <c r="EB260" s="706"/>
      <c r="EC260" s="706"/>
      <c r="ED260" s="706"/>
      <c r="EE260" s="706"/>
      <c r="EF260" s="706"/>
      <c r="EG260" s="706"/>
      <c r="EH260" s="706"/>
      <c r="EI260" s="706"/>
      <c r="EJ260" s="706"/>
      <c r="EK260" s="706"/>
      <c r="EL260" s="706"/>
      <c r="EM260" s="706"/>
      <c r="EN260" s="706"/>
      <c r="EO260" s="706"/>
      <c r="EP260" s="706"/>
      <c r="EQ260" s="706"/>
      <c r="ER260" s="706"/>
      <c r="ES260" s="706"/>
      <c r="ET260" s="667"/>
      <c r="EU260" s="667"/>
      <c r="EV260" s="667"/>
      <c r="EW260" s="708">
        <f t="shared" si="554"/>
        <v>133431514.8</v>
      </c>
      <c r="EX260" s="819">
        <f t="shared" si="554"/>
        <v>157396240</v>
      </c>
      <c r="EY260" s="819">
        <f t="shared" si="555"/>
        <v>144098000</v>
      </c>
      <c r="EZ260" s="819">
        <f t="shared" si="555"/>
        <v>144098000</v>
      </c>
      <c r="FA260" s="820"/>
      <c r="FB260" s="667"/>
      <c r="FC260" s="706"/>
      <c r="FD260" s="706"/>
      <c r="FE260" s="706"/>
      <c r="FF260" s="707"/>
      <c r="FG260" s="667">
        <v>137434460.24399999</v>
      </c>
      <c r="FH260" s="667"/>
      <c r="FI260" s="667"/>
      <c r="FJ260" s="667"/>
      <c r="FK260" s="667"/>
      <c r="FL260" s="667"/>
      <c r="FM260" s="667"/>
      <c r="FN260" s="667"/>
      <c r="FO260" s="667"/>
      <c r="FP260" s="667"/>
      <c r="FQ260" s="667"/>
      <c r="FR260" s="667">
        <v>150000000</v>
      </c>
      <c r="FS260" s="667">
        <v>36374000</v>
      </c>
      <c r="FT260" s="667">
        <v>23596466</v>
      </c>
      <c r="FU260" s="667"/>
      <c r="FV260" s="667"/>
      <c r="FW260" s="667"/>
      <c r="FX260" s="667"/>
      <c r="FY260" s="667"/>
      <c r="FZ260" s="667"/>
      <c r="GA260" s="667"/>
      <c r="GB260" s="667"/>
      <c r="GC260" s="667"/>
      <c r="GD260" s="667"/>
      <c r="GE260" s="667"/>
      <c r="GF260" s="667"/>
      <c r="GG260" s="667"/>
      <c r="GH260" s="667"/>
      <c r="GI260" s="667"/>
      <c r="GJ260" s="667"/>
      <c r="GK260" s="667"/>
      <c r="GL260" s="667"/>
      <c r="GM260" s="667"/>
      <c r="GN260" s="667"/>
      <c r="GO260" s="667"/>
      <c r="GP260" s="667"/>
      <c r="GQ260" s="667"/>
      <c r="GR260" s="667"/>
      <c r="GS260" s="667"/>
      <c r="GT260" s="667"/>
      <c r="GU260" s="708">
        <f t="shared" si="556"/>
        <v>137434460.24399999</v>
      </c>
      <c r="GV260" s="708">
        <f t="shared" si="556"/>
        <v>150000000</v>
      </c>
      <c r="GW260" s="708">
        <f t="shared" si="556"/>
        <v>36374000</v>
      </c>
      <c r="GX260" s="708">
        <f t="shared" si="556"/>
        <v>23596466</v>
      </c>
      <c r="GY260" s="709">
        <f t="shared" si="556"/>
        <v>0</v>
      </c>
      <c r="GZ260" s="710">
        <f>BM260+DE260+EW260+GU260</f>
        <v>526183135.04400003</v>
      </c>
    </row>
    <row r="261" spans="1:208" ht="86.25" customHeight="1" x14ac:dyDescent="0.2">
      <c r="A261" s="326"/>
      <c r="B261" s="372"/>
      <c r="C261" s="277" t="s">
        <v>628</v>
      </c>
      <c r="D261" s="258" t="s">
        <v>629</v>
      </c>
      <c r="E261" s="522" t="s">
        <v>53</v>
      </c>
      <c r="F261" s="522">
        <v>0.9</v>
      </c>
      <c r="G261" s="265">
        <v>179</v>
      </c>
      <c r="H261" s="261" t="s">
        <v>630</v>
      </c>
      <c r="I261" s="433" t="s">
        <v>631</v>
      </c>
      <c r="J261" s="513" t="s">
        <v>444</v>
      </c>
      <c r="K261" s="461">
        <v>2</v>
      </c>
      <c r="L261" s="476" t="s">
        <v>58</v>
      </c>
      <c r="M261" s="264">
        <v>4</v>
      </c>
      <c r="N261" s="264">
        <v>4</v>
      </c>
      <c r="O261" s="475">
        <v>4</v>
      </c>
      <c r="P261" s="484">
        <v>4</v>
      </c>
      <c r="Q261" s="482">
        <v>4</v>
      </c>
      <c r="R261" s="268"/>
      <c r="S261" s="480">
        <v>4</v>
      </c>
      <c r="T261" s="482">
        <v>4</v>
      </c>
      <c r="U261" s="482"/>
      <c r="V261" s="480">
        <v>3</v>
      </c>
      <c r="W261" s="482">
        <v>4</v>
      </c>
      <c r="X261" s="476"/>
      <c r="Y261" s="641">
        <v>2</v>
      </c>
      <c r="Z261" s="516"/>
      <c r="AA261" s="265">
        <v>3</v>
      </c>
      <c r="AB261" s="262" t="s">
        <v>455</v>
      </c>
      <c r="AC261" s="57"/>
      <c r="AD261" s="58"/>
      <c r="AE261" s="59"/>
      <c r="AF261" s="59"/>
      <c r="AG261" s="57"/>
      <c r="AH261" s="58"/>
      <c r="AI261" s="58"/>
      <c r="AJ261" s="58"/>
      <c r="AK261" s="57"/>
      <c r="AL261" s="58"/>
      <c r="AM261" s="58"/>
      <c r="AN261" s="58"/>
      <c r="AO261" s="57"/>
      <c r="AP261" s="58"/>
      <c r="AQ261" s="58"/>
      <c r="AR261" s="58"/>
      <c r="AS261" s="57"/>
      <c r="AT261" s="58"/>
      <c r="AU261" s="59"/>
      <c r="AV261" s="59"/>
      <c r="AW261" s="57"/>
      <c r="AX261" s="58"/>
      <c r="AY261" s="58"/>
      <c r="AZ261" s="58"/>
      <c r="BA261" s="57"/>
      <c r="BB261" s="58"/>
      <c r="BC261" s="58"/>
      <c r="BD261" s="58"/>
      <c r="BE261" s="57"/>
      <c r="BF261" s="58"/>
      <c r="BG261" s="59"/>
      <c r="BH261" s="59"/>
      <c r="BI261" s="57"/>
      <c r="BJ261" s="58"/>
      <c r="BK261" s="58"/>
      <c r="BL261" s="58"/>
      <c r="BM261" s="53">
        <f>+AC261+AG261+AK261+AO261+AS261+AW261+BA261+BE261+BI261</f>
        <v>0</v>
      </c>
      <c r="BN261" s="54">
        <f t="shared" si="552"/>
        <v>0</v>
      </c>
      <c r="BO261" s="54">
        <f t="shared" si="552"/>
        <v>0</v>
      </c>
      <c r="BP261" s="54">
        <f t="shared" si="552"/>
        <v>0</v>
      </c>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1">
        <f t="shared" si="553"/>
        <v>0</v>
      </c>
      <c r="DF261" s="95">
        <f t="shared" si="553"/>
        <v>0</v>
      </c>
      <c r="DG261" s="95">
        <f t="shared" si="553"/>
        <v>0</v>
      </c>
      <c r="DH261" s="95">
        <f t="shared" si="553"/>
        <v>0</v>
      </c>
      <c r="DI261" s="95"/>
      <c r="DJ261" s="84"/>
      <c r="DK261" s="65"/>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3"/>
      <c r="EU261" s="83"/>
      <c r="EV261" s="83"/>
      <c r="EW261" s="81">
        <f t="shared" si="554"/>
        <v>0</v>
      </c>
      <c r="EX261" s="86">
        <f t="shared" si="554"/>
        <v>0</v>
      </c>
      <c r="EY261" s="86">
        <f t="shared" si="555"/>
        <v>0</v>
      </c>
      <c r="EZ261" s="86">
        <f t="shared" si="555"/>
        <v>0</v>
      </c>
      <c r="FA261" s="176"/>
      <c r="FB261" s="83"/>
      <c r="FC261" s="84"/>
      <c r="FD261" s="84"/>
      <c r="FE261" s="84"/>
      <c r="FF261" s="140"/>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1">
        <f t="shared" si="556"/>
        <v>0</v>
      </c>
      <c r="GV261" s="81">
        <f t="shared" si="556"/>
        <v>0</v>
      </c>
      <c r="GW261" s="81">
        <f t="shared" si="556"/>
        <v>0</v>
      </c>
      <c r="GX261" s="81">
        <f t="shared" si="556"/>
        <v>0</v>
      </c>
      <c r="GY261" s="673">
        <f t="shared" si="556"/>
        <v>0</v>
      </c>
      <c r="GZ261" s="1041">
        <f>BM261+DE261+EW261+GU261</f>
        <v>0</v>
      </c>
    </row>
    <row r="262" spans="1:208" ht="24.75" customHeight="1" x14ac:dyDescent="0.2">
      <c r="A262" s="326"/>
      <c r="B262" s="234">
        <v>16</v>
      </c>
      <c r="C262" s="324" t="s">
        <v>632</v>
      </c>
      <c r="D262" s="236"/>
      <c r="E262" s="236"/>
      <c r="F262" s="237"/>
      <c r="G262" s="238"/>
      <c r="H262" s="238"/>
      <c r="I262" s="238"/>
      <c r="J262" s="238"/>
      <c r="K262" s="238"/>
      <c r="L262" s="238"/>
      <c r="M262" s="238"/>
      <c r="N262" s="238"/>
      <c r="O262" s="238"/>
      <c r="P262" s="238"/>
      <c r="Q262" s="238"/>
      <c r="R262" s="238"/>
      <c r="S262" s="238"/>
      <c r="T262" s="238"/>
      <c r="U262" s="238"/>
      <c r="V262" s="238"/>
      <c r="W262" s="238"/>
      <c r="X262" s="238"/>
      <c r="Y262" s="241"/>
      <c r="Z262" s="238"/>
      <c r="AA262" s="238"/>
      <c r="AB262" s="238"/>
      <c r="AC262" s="50">
        <f t="shared" ref="AC262:CN262" si="557">AC263+AC266</f>
        <v>0</v>
      </c>
      <c r="AD262" s="50">
        <f t="shared" si="557"/>
        <v>0</v>
      </c>
      <c r="AE262" s="50">
        <f t="shared" si="557"/>
        <v>0</v>
      </c>
      <c r="AF262" s="50">
        <f t="shared" si="557"/>
        <v>0</v>
      </c>
      <c r="AG262" s="50">
        <f t="shared" si="557"/>
        <v>0</v>
      </c>
      <c r="AH262" s="50">
        <f t="shared" si="557"/>
        <v>0</v>
      </c>
      <c r="AI262" s="50">
        <f t="shared" si="557"/>
        <v>0</v>
      </c>
      <c r="AJ262" s="50">
        <f t="shared" si="557"/>
        <v>0</v>
      </c>
      <c r="AK262" s="50">
        <f t="shared" si="557"/>
        <v>100000000</v>
      </c>
      <c r="AL262" s="50">
        <f t="shared" si="557"/>
        <v>100000000</v>
      </c>
      <c r="AM262" s="50">
        <f t="shared" si="557"/>
        <v>51070635</v>
      </c>
      <c r="AN262" s="50">
        <f t="shared" si="557"/>
        <v>51070635</v>
      </c>
      <c r="AO262" s="50">
        <f t="shared" si="557"/>
        <v>0</v>
      </c>
      <c r="AP262" s="50">
        <f t="shared" si="557"/>
        <v>0</v>
      </c>
      <c r="AQ262" s="50">
        <f t="shared" si="557"/>
        <v>0</v>
      </c>
      <c r="AR262" s="50">
        <f t="shared" si="557"/>
        <v>0</v>
      </c>
      <c r="AS262" s="50">
        <f t="shared" si="557"/>
        <v>0</v>
      </c>
      <c r="AT262" s="50">
        <f t="shared" si="557"/>
        <v>0</v>
      </c>
      <c r="AU262" s="50">
        <f t="shared" si="557"/>
        <v>0</v>
      </c>
      <c r="AV262" s="50">
        <f t="shared" si="557"/>
        <v>0</v>
      </c>
      <c r="AW262" s="50">
        <f t="shared" si="557"/>
        <v>0</v>
      </c>
      <c r="AX262" s="50">
        <f t="shared" si="557"/>
        <v>0</v>
      </c>
      <c r="AY262" s="50">
        <f t="shared" si="557"/>
        <v>0</v>
      </c>
      <c r="AZ262" s="50">
        <f t="shared" si="557"/>
        <v>0</v>
      </c>
      <c r="BA262" s="50">
        <f t="shared" si="557"/>
        <v>0</v>
      </c>
      <c r="BB262" s="50">
        <f t="shared" si="557"/>
        <v>0</v>
      </c>
      <c r="BC262" s="50">
        <f t="shared" si="557"/>
        <v>0</v>
      </c>
      <c r="BD262" s="50">
        <f t="shared" si="557"/>
        <v>0</v>
      </c>
      <c r="BE262" s="50">
        <f t="shared" si="557"/>
        <v>0</v>
      </c>
      <c r="BF262" s="50">
        <f t="shared" si="557"/>
        <v>0</v>
      </c>
      <c r="BG262" s="50">
        <f t="shared" si="557"/>
        <v>0</v>
      </c>
      <c r="BH262" s="50">
        <f t="shared" si="557"/>
        <v>0</v>
      </c>
      <c r="BI262" s="50">
        <f t="shared" si="557"/>
        <v>0</v>
      </c>
      <c r="BJ262" s="50">
        <f t="shared" si="557"/>
        <v>0</v>
      </c>
      <c r="BK262" s="50">
        <f t="shared" si="557"/>
        <v>0</v>
      </c>
      <c r="BL262" s="50">
        <f t="shared" si="557"/>
        <v>0</v>
      </c>
      <c r="BM262" s="50">
        <f t="shared" si="557"/>
        <v>100000000</v>
      </c>
      <c r="BN262" s="50">
        <f t="shared" si="557"/>
        <v>100000000</v>
      </c>
      <c r="BO262" s="50">
        <f t="shared" si="557"/>
        <v>51070635</v>
      </c>
      <c r="BP262" s="50">
        <f t="shared" si="557"/>
        <v>51070635</v>
      </c>
      <c r="BQ262" s="50">
        <f t="shared" si="557"/>
        <v>0</v>
      </c>
      <c r="BR262" s="50">
        <f t="shared" si="557"/>
        <v>0</v>
      </c>
      <c r="BS262" s="50">
        <f t="shared" si="557"/>
        <v>0</v>
      </c>
      <c r="BT262" s="50">
        <f t="shared" si="557"/>
        <v>0</v>
      </c>
      <c r="BU262" s="50">
        <f t="shared" si="557"/>
        <v>0</v>
      </c>
      <c r="BV262" s="50">
        <f t="shared" si="557"/>
        <v>200000000</v>
      </c>
      <c r="BW262" s="50">
        <f t="shared" si="557"/>
        <v>199750000</v>
      </c>
      <c r="BX262" s="50">
        <f t="shared" si="557"/>
        <v>199750000</v>
      </c>
      <c r="BY262" s="50">
        <f t="shared" si="557"/>
        <v>0</v>
      </c>
      <c r="BZ262" s="50">
        <f t="shared" si="557"/>
        <v>100000000</v>
      </c>
      <c r="CA262" s="50">
        <f t="shared" si="557"/>
        <v>100000000</v>
      </c>
      <c r="CB262" s="50">
        <f t="shared" si="557"/>
        <v>49796000</v>
      </c>
      <c r="CC262" s="50">
        <f t="shared" si="557"/>
        <v>49459000</v>
      </c>
      <c r="CD262" s="50">
        <f t="shared" si="557"/>
        <v>0</v>
      </c>
      <c r="CE262" s="50">
        <f t="shared" si="557"/>
        <v>0</v>
      </c>
      <c r="CF262" s="50">
        <f t="shared" si="557"/>
        <v>0</v>
      </c>
      <c r="CG262" s="50">
        <f t="shared" si="557"/>
        <v>0</v>
      </c>
      <c r="CH262" s="50">
        <f t="shared" si="557"/>
        <v>0</v>
      </c>
      <c r="CI262" s="50">
        <f t="shared" si="557"/>
        <v>0</v>
      </c>
      <c r="CJ262" s="50">
        <f t="shared" si="557"/>
        <v>0</v>
      </c>
      <c r="CK262" s="50">
        <f t="shared" si="557"/>
        <v>0</v>
      </c>
      <c r="CL262" s="50">
        <f t="shared" si="557"/>
        <v>0</v>
      </c>
      <c r="CM262" s="50">
        <f t="shared" si="557"/>
        <v>0</v>
      </c>
      <c r="CN262" s="50">
        <f t="shared" si="557"/>
        <v>0</v>
      </c>
      <c r="CO262" s="50">
        <f t="shared" ref="CO262:EV262" si="558">CO263+CO266</f>
        <v>0</v>
      </c>
      <c r="CP262" s="50">
        <f t="shared" si="558"/>
        <v>0</v>
      </c>
      <c r="CQ262" s="50">
        <f t="shared" si="558"/>
        <v>0</v>
      </c>
      <c r="CR262" s="50">
        <f t="shared" si="558"/>
        <v>0</v>
      </c>
      <c r="CS262" s="50">
        <f t="shared" si="558"/>
        <v>0</v>
      </c>
      <c r="CT262" s="50">
        <f t="shared" si="558"/>
        <v>0</v>
      </c>
      <c r="CU262" s="50">
        <f t="shared" si="558"/>
        <v>0</v>
      </c>
      <c r="CV262" s="50">
        <f t="shared" si="558"/>
        <v>0</v>
      </c>
      <c r="CW262" s="50">
        <f t="shared" si="558"/>
        <v>0</v>
      </c>
      <c r="CX262" s="50">
        <f t="shared" si="558"/>
        <v>0</v>
      </c>
      <c r="CY262" s="50">
        <f t="shared" si="558"/>
        <v>0</v>
      </c>
      <c r="CZ262" s="50">
        <f t="shared" si="558"/>
        <v>0</v>
      </c>
      <c r="DA262" s="50">
        <f t="shared" si="558"/>
        <v>0</v>
      </c>
      <c r="DB262" s="50">
        <f t="shared" si="558"/>
        <v>0</v>
      </c>
      <c r="DC262" s="50">
        <f t="shared" si="558"/>
        <v>0</v>
      </c>
      <c r="DD262" s="50">
        <f t="shared" si="558"/>
        <v>0</v>
      </c>
      <c r="DE262" s="50">
        <f t="shared" si="558"/>
        <v>100000000</v>
      </c>
      <c r="DF262" s="50">
        <f t="shared" si="558"/>
        <v>300000000</v>
      </c>
      <c r="DG262" s="50">
        <f t="shared" si="558"/>
        <v>249546000</v>
      </c>
      <c r="DH262" s="50">
        <f t="shared" si="558"/>
        <v>249209000</v>
      </c>
      <c r="DI262" s="50">
        <f t="shared" si="558"/>
        <v>0</v>
      </c>
      <c r="DJ262" s="50">
        <f t="shared" si="558"/>
        <v>0</v>
      </c>
      <c r="DK262" s="50">
        <f t="shared" si="558"/>
        <v>0</v>
      </c>
      <c r="DL262" s="50">
        <f t="shared" si="558"/>
        <v>0</v>
      </c>
      <c r="DM262" s="50">
        <f t="shared" si="558"/>
        <v>0</v>
      </c>
      <c r="DN262" s="50">
        <f t="shared" si="558"/>
        <v>0</v>
      </c>
      <c r="DO262" s="50">
        <f t="shared" si="558"/>
        <v>0</v>
      </c>
      <c r="DP262" s="50">
        <f t="shared" si="558"/>
        <v>0</v>
      </c>
      <c r="DQ262" s="50">
        <f t="shared" si="558"/>
        <v>0</v>
      </c>
      <c r="DR262" s="50">
        <f t="shared" si="558"/>
        <v>0</v>
      </c>
      <c r="DS262" s="50">
        <f t="shared" si="558"/>
        <v>90000000</v>
      </c>
      <c r="DT262" s="50">
        <f t="shared" si="558"/>
        <v>89000000</v>
      </c>
      <c r="DU262" s="50">
        <f t="shared" si="558"/>
        <v>59776000</v>
      </c>
      <c r="DV262" s="50">
        <f t="shared" si="558"/>
        <v>59776000</v>
      </c>
      <c r="DW262" s="50">
        <f t="shared" si="558"/>
        <v>0</v>
      </c>
      <c r="DX262" s="50">
        <f t="shared" si="558"/>
        <v>0</v>
      </c>
      <c r="DY262" s="50">
        <f t="shared" si="558"/>
        <v>0</v>
      </c>
      <c r="DZ262" s="50">
        <f t="shared" si="558"/>
        <v>0</v>
      </c>
      <c r="EA262" s="50">
        <f t="shared" si="558"/>
        <v>0</v>
      </c>
      <c r="EB262" s="50">
        <f t="shared" si="558"/>
        <v>0</v>
      </c>
      <c r="EC262" s="50">
        <f t="shared" si="558"/>
        <v>0</v>
      </c>
      <c r="ED262" s="50">
        <f t="shared" si="558"/>
        <v>0</v>
      </c>
      <c r="EE262" s="50">
        <f t="shared" si="558"/>
        <v>0</v>
      </c>
      <c r="EF262" s="50">
        <f t="shared" si="558"/>
        <v>0</v>
      </c>
      <c r="EG262" s="50">
        <f t="shared" si="558"/>
        <v>0</v>
      </c>
      <c r="EH262" s="50">
        <f t="shared" si="558"/>
        <v>0</v>
      </c>
      <c r="EI262" s="50">
        <f t="shared" si="558"/>
        <v>0</v>
      </c>
      <c r="EJ262" s="50">
        <f t="shared" si="558"/>
        <v>0</v>
      </c>
      <c r="EK262" s="50">
        <f t="shared" si="558"/>
        <v>0</v>
      </c>
      <c r="EL262" s="50">
        <f t="shared" si="558"/>
        <v>0</v>
      </c>
      <c r="EM262" s="50">
        <f t="shared" si="558"/>
        <v>0</v>
      </c>
      <c r="EN262" s="50">
        <f t="shared" si="558"/>
        <v>0</v>
      </c>
      <c r="EO262" s="50">
        <f t="shared" si="558"/>
        <v>0</v>
      </c>
      <c r="EP262" s="50">
        <f t="shared" si="558"/>
        <v>0</v>
      </c>
      <c r="EQ262" s="50">
        <f t="shared" si="558"/>
        <v>0</v>
      </c>
      <c r="ER262" s="50">
        <f t="shared" si="558"/>
        <v>0</v>
      </c>
      <c r="ES262" s="50">
        <f t="shared" si="558"/>
        <v>0</v>
      </c>
      <c r="ET262" s="50">
        <f t="shared" si="558"/>
        <v>0</v>
      </c>
      <c r="EU262" s="50">
        <f t="shared" si="558"/>
        <v>0</v>
      </c>
      <c r="EV262" s="50">
        <f t="shared" si="558"/>
        <v>0</v>
      </c>
      <c r="EW262" s="50">
        <f t="shared" ref="EW262" si="559">EW263+EW266</f>
        <v>90000000</v>
      </c>
      <c r="EX262" s="50">
        <f t="shared" ref="EX262:GZ262" si="560">EX263+EX266</f>
        <v>89000000</v>
      </c>
      <c r="EY262" s="50">
        <f t="shared" si="560"/>
        <v>59776000</v>
      </c>
      <c r="EZ262" s="50">
        <f t="shared" si="560"/>
        <v>59776000</v>
      </c>
      <c r="FA262" s="50">
        <f t="shared" si="560"/>
        <v>0</v>
      </c>
      <c r="FB262" s="50">
        <f t="shared" si="560"/>
        <v>0</v>
      </c>
      <c r="FC262" s="50">
        <f t="shared" si="560"/>
        <v>0</v>
      </c>
      <c r="FD262" s="50">
        <f t="shared" si="560"/>
        <v>0</v>
      </c>
      <c r="FE262" s="50">
        <f t="shared" si="560"/>
        <v>0</v>
      </c>
      <c r="FF262" s="50">
        <f t="shared" si="560"/>
        <v>0</v>
      </c>
      <c r="FG262" s="50">
        <f t="shared" si="560"/>
        <v>0</v>
      </c>
      <c r="FH262" s="50">
        <f t="shared" si="560"/>
        <v>0</v>
      </c>
      <c r="FI262" s="50">
        <f t="shared" si="560"/>
        <v>0</v>
      </c>
      <c r="FJ262" s="50">
        <f t="shared" si="560"/>
        <v>0</v>
      </c>
      <c r="FK262" s="50">
        <f t="shared" si="560"/>
        <v>0</v>
      </c>
      <c r="FL262" s="50">
        <f t="shared" si="560"/>
        <v>90000000</v>
      </c>
      <c r="FM262" s="50">
        <f t="shared" si="560"/>
        <v>82867998</v>
      </c>
      <c r="FN262" s="50">
        <f t="shared" si="560"/>
        <v>61943275</v>
      </c>
      <c r="FO262" s="50">
        <f t="shared" si="560"/>
        <v>29106000</v>
      </c>
      <c r="FP262" s="50">
        <f t="shared" si="560"/>
        <v>0</v>
      </c>
      <c r="FQ262" s="50">
        <f t="shared" si="560"/>
        <v>0</v>
      </c>
      <c r="FR262" s="50">
        <f t="shared" si="560"/>
        <v>0</v>
      </c>
      <c r="FS262" s="50">
        <f t="shared" si="560"/>
        <v>0</v>
      </c>
      <c r="FT262" s="50">
        <f t="shared" si="560"/>
        <v>0</v>
      </c>
      <c r="FU262" s="50">
        <f t="shared" si="560"/>
        <v>0</v>
      </c>
      <c r="FV262" s="50">
        <f t="shared" si="560"/>
        <v>0</v>
      </c>
      <c r="FW262" s="50">
        <f t="shared" si="560"/>
        <v>0</v>
      </c>
      <c r="FX262" s="50">
        <f t="shared" si="560"/>
        <v>0</v>
      </c>
      <c r="FY262" s="50">
        <f t="shared" si="560"/>
        <v>0</v>
      </c>
      <c r="FZ262" s="50">
        <f t="shared" si="560"/>
        <v>0</v>
      </c>
      <c r="GA262" s="50">
        <f t="shared" si="560"/>
        <v>0</v>
      </c>
      <c r="GB262" s="50">
        <f t="shared" si="560"/>
        <v>0</v>
      </c>
      <c r="GC262" s="50">
        <f t="shared" si="560"/>
        <v>0</v>
      </c>
      <c r="GD262" s="50">
        <f t="shared" si="560"/>
        <v>0</v>
      </c>
      <c r="GE262" s="50">
        <f t="shared" si="560"/>
        <v>0</v>
      </c>
      <c r="GF262" s="50">
        <f t="shared" si="560"/>
        <v>0</v>
      </c>
      <c r="GG262" s="50">
        <f t="shared" si="560"/>
        <v>0</v>
      </c>
      <c r="GH262" s="50">
        <f t="shared" si="560"/>
        <v>0</v>
      </c>
      <c r="GI262" s="50">
        <f t="shared" si="560"/>
        <v>0</v>
      </c>
      <c r="GJ262" s="50">
        <f t="shared" si="560"/>
        <v>0</v>
      </c>
      <c r="GK262" s="50">
        <f t="shared" si="560"/>
        <v>0</v>
      </c>
      <c r="GL262" s="50">
        <f t="shared" si="560"/>
        <v>0</v>
      </c>
      <c r="GM262" s="50">
        <f t="shared" si="560"/>
        <v>0</v>
      </c>
      <c r="GN262" s="50">
        <f t="shared" si="560"/>
        <v>0</v>
      </c>
      <c r="GO262" s="50">
        <f t="shared" si="560"/>
        <v>0</v>
      </c>
      <c r="GP262" s="50">
        <f t="shared" si="560"/>
        <v>0</v>
      </c>
      <c r="GQ262" s="50">
        <f t="shared" si="560"/>
        <v>0</v>
      </c>
      <c r="GR262" s="50">
        <f t="shared" si="560"/>
        <v>0</v>
      </c>
      <c r="GS262" s="50">
        <f t="shared" si="560"/>
        <v>0</v>
      </c>
      <c r="GT262" s="50">
        <f t="shared" si="560"/>
        <v>0</v>
      </c>
      <c r="GU262" s="50">
        <f t="shared" si="560"/>
        <v>90000000</v>
      </c>
      <c r="GV262" s="50">
        <f t="shared" si="560"/>
        <v>82867998</v>
      </c>
      <c r="GW262" s="50">
        <f t="shared" si="560"/>
        <v>61943275</v>
      </c>
      <c r="GX262" s="50">
        <f t="shared" si="560"/>
        <v>29106000</v>
      </c>
      <c r="GY262" s="50">
        <f t="shared" si="560"/>
        <v>0</v>
      </c>
      <c r="GZ262" s="50">
        <f t="shared" si="560"/>
        <v>380000000</v>
      </c>
    </row>
    <row r="263" spans="1:208" ht="24.75" customHeight="1" x14ac:dyDescent="0.2">
      <c r="A263" s="326"/>
      <c r="B263" s="993"/>
      <c r="C263" s="246">
        <v>56</v>
      </c>
      <c r="D263" s="247" t="s">
        <v>633</v>
      </c>
      <c r="E263" s="250"/>
      <c r="F263" s="250"/>
      <c r="G263" s="249"/>
      <c r="H263" s="249"/>
      <c r="I263" s="249"/>
      <c r="J263" s="249"/>
      <c r="K263" s="249"/>
      <c r="L263" s="249"/>
      <c r="M263" s="249"/>
      <c r="N263" s="249"/>
      <c r="O263" s="249"/>
      <c r="P263" s="249"/>
      <c r="Q263" s="249"/>
      <c r="R263" s="249"/>
      <c r="S263" s="249"/>
      <c r="T263" s="249"/>
      <c r="U263" s="249"/>
      <c r="V263" s="249"/>
      <c r="W263" s="249"/>
      <c r="X263" s="249"/>
      <c r="Y263" s="296"/>
      <c r="Z263" s="249"/>
      <c r="AA263" s="249"/>
      <c r="AB263" s="249"/>
      <c r="AC263" s="51">
        <f t="shared" ref="AC263:BL263" si="561">SUM(AC264:AC265)</f>
        <v>0</v>
      </c>
      <c r="AD263" s="51">
        <f t="shared" si="561"/>
        <v>0</v>
      </c>
      <c r="AE263" s="51">
        <f t="shared" si="561"/>
        <v>0</v>
      </c>
      <c r="AF263" s="51">
        <f t="shared" si="561"/>
        <v>0</v>
      </c>
      <c r="AG263" s="51">
        <f t="shared" si="561"/>
        <v>0</v>
      </c>
      <c r="AH263" s="51">
        <f t="shared" si="561"/>
        <v>0</v>
      </c>
      <c r="AI263" s="51">
        <f t="shared" si="561"/>
        <v>0</v>
      </c>
      <c r="AJ263" s="51">
        <f t="shared" si="561"/>
        <v>0</v>
      </c>
      <c r="AK263" s="51">
        <f t="shared" si="561"/>
        <v>60000000</v>
      </c>
      <c r="AL263" s="51">
        <f t="shared" si="561"/>
        <v>60000000</v>
      </c>
      <c r="AM263" s="51">
        <f t="shared" si="561"/>
        <v>51070635</v>
      </c>
      <c r="AN263" s="51">
        <f t="shared" si="561"/>
        <v>51070635</v>
      </c>
      <c r="AO263" s="51">
        <f t="shared" si="561"/>
        <v>0</v>
      </c>
      <c r="AP263" s="51">
        <f t="shared" si="561"/>
        <v>0</v>
      </c>
      <c r="AQ263" s="51">
        <f t="shared" si="561"/>
        <v>0</v>
      </c>
      <c r="AR263" s="51">
        <f t="shared" si="561"/>
        <v>0</v>
      </c>
      <c r="AS263" s="51">
        <f t="shared" si="561"/>
        <v>0</v>
      </c>
      <c r="AT263" s="51">
        <f t="shared" si="561"/>
        <v>0</v>
      </c>
      <c r="AU263" s="51">
        <f t="shared" si="561"/>
        <v>0</v>
      </c>
      <c r="AV263" s="51">
        <f t="shared" si="561"/>
        <v>0</v>
      </c>
      <c r="AW263" s="51">
        <f t="shared" si="561"/>
        <v>0</v>
      </c>
      <c r="AX263" s="51">
        <f t="shared" si="561"/>
        <v>0</v>
      </c>
      <c r="AY263" s="51">
        <f t="shared" si="561"/>
        <v>0</v>
      </c>
      <c r="AZ263" s="51">
        <f t="shared" si="561"/>
        <v>0</v>
      </c>
      <c r="BA263" s="51">
        <f t="shared" si="561"/>
        <v>0</v>
      </c>
      <c r="BB263" s="51">
        <f t="shared" si="561"/>
        <v>0</v>
      </c>
      <c r="BC263" s="51">
        <f t="shared" si="561"/>
        <v>0</v>
      </c>
      <c r="BD263" s="51">
        <f t="shared" si="561"/>
        <v>0</v>
      </c>
      <c r="BE263" s="51">
        <f t="shared" si="561"/>
        <v>0</v>
      </c>
      <c r="BF263" s="51">
        <f t="shared" si="561"/>
        <v>0</v>
      </c>
      <c r="BG263" s="51">
        <f t="shared" si="561"/>
        <v>0</v>
      </c>
      <c r="BH263" s="51">
        <f t="shared" si="561"/>
        <v>0</v>
      </c>
      <c r="BI263" s="51">
        <f t="shared" si="561"/>
        <v>0</v>
      </c>
      <c r="BJ263" s="51">
        <f t="shared" si="561"/>
        <v>0</v>
      </c>
      <c r="BK263" s="51">
        <f t="shared" si="561"/>
        <v>0</v>
      </c>
      <c r="BL263" s="51">
        <f t="shared" si="561"/>
        <v>0</v>
      </c>
      <c r="BM263" s="51">
        <f t="shared" ref="BM263:DX263" si="562">SUM(BM264:BM265)</f>
        <v>60000000</v>
      </c>
      <c r="BN263" s="51">
        <f t="shared" si="562"/>
        <v>60000000</v>
      </c>
      <c r="BO263" s="51">
        <f t="shared" si="562"/>
        <v>51070635</v>
      </c>
      <c r="BP263" s="51">
        <f t="shared" si="562"/>
        <v>51070635</v>
      </c>
      <c r="BQ263" s="51">
        <f t="shared" si="562"/>
        <v>0</v>
      </c>
      <c r="BR263" s="51">
        <f t="shared" si="562"/>
        <v>0</v>
      </c>
      <c r="BS263" s="51">
        <f t="shared" si="562"/>
        <v>0</v>
      </c>
      <c r="BT263" s="51">
        <f t="shared" si="562"/>
        <v>0</v>
      </c>
      <c r="BU263" s="51">
        <f t="shared" si="562"/>
        <v>0</v>
      </c>
      <c r="BV263" s="51">
        <f t="shared" si="562"/>
        <v>200000000</v>
      </c>
      <c r="BW263" s="51">
        <f t="shared" si="562"/>
        <v>199750000</v>
      </c>
      <c r="BX263" s="51">
        <f t="shared" si="562"/>
        <v>199750000</v>
      </c>
      <c r="BY263" s="51">
        <f t="shared" si="562"/>
        <v>0</v>
      </c>
      <c r="BZ263" s="51">
        <f t="shared" si="562"/>
        <v>60000000</v>
      </c>
      <c r="CA263" s="51">
        <f t="shared" si="562"/>
        <v>60000000</v>
      </c>
      <c r="CB263" s="51">
        <f t="shared" si="562"/>
        <v>49796000</v>
      </c>
      <c r="CC263" s="51">
        <f t="shared" si="562"/>
        <v>49459000</v>
      </c>
      <c r="CD263" s="51">
        <f t="shared" si="562"/>
        <v>0</v>
      </c>
      <c r="CE263" s="51">
        <f t="shared" si="562"/>
        <v>0</v>
      </c>
      <c r="CF263" s="51">
        <f t="shared" si="562"/>
        <v>0</v>
      </c>
      <c r="CG263" s="51">
        <f t="shared" si="562"/>
        <v>0</v>
      </c>
      <c r="CH263" s="51">
        <f t="shared" si="562"/>
        <v>0</v>
      </c>
      <c r="CI263" s="51">
        <f t="shared" si="562"/>
        <v>0</v>
      </c>
      <c r="CJ263" s="51">
        <f t="shared" si="562"/>
        <v>0</v>
      </c>
      <c r="CK263" s="51">
        <f t="shared" si="562"/>
        <v>0</v>
      </c>
      <c r="CL263" s="51">
        <f t="shared" si="562"/>
        <v>0</v>
      </c>
      <c r="CM263" s="51">
        <f t="shared" si="562"/>
        <v>0</v>
      </c>
      <c r="CN263" s="51">
        <f t="shared" si="562"/>
        <v>0</v>
      </c>
      <c r="CO263" s="51">
        <f t="shared" si="562"/>
        <v>0</v>
      </c>
      <c r="CP263" s="51">
        <f t="shared" si="562"/>
        <v>0</v>
      </c>
      <c r="CQ263" s="51">
        <f t="shared" si="562"/>
        <v>0</v>
      </c>
      <c r="CR263" s="51">
        <f t="shared" si="562"/>
        <v>0</v>
      </c>
      <c r="CS263" s="51">
        <f t="shared" si="562"/>
        <v>0</v>
      </c>
      <c r="CT263" s="51">
        <f t="shared" si="562"/>
        <v>0</v>
      </c>
      <c r="CU263" s="51">
        <f t="shared" si="562"/>
        <v>0</v>
      </c>
      <c r="CV263" s="51">
        <f t="shared" si="562"/>
        <v>0</v>
      </c>
      <c r="CW263" s="51">
        <f t="shared" si="562"/>
        <v>0</v>
      </c>
      <c r="CX263" s="51">
        <f t="shared" si="562"/>
        <v>0</v>
      </c>
      <c r="CY263" s="51">
        <f t="shared" si="562"/>
        <v>0</v>
      </c>
      <c r="CZ263" s="51">
        <f t="shared" si="562"/>
        <v>0</v>
      </c>
      <c r="DA263" s="51">
        <f t="shared" si="562"/>
        <v>0</v>
      </c>
      <c r="DB263" s="51">
        <f t="shared" si="562"/>
        <v>0</v>
      </c>
      <c r="DC263" s="51">
        <f t="shared" si="562"/>
        <v>0</v>
      </c>
      <c r="DD263" s="51">
        <f t="shared" si="562"/>
        <v>0</v>
      </c>
      <c r="DE263" s="51">
        <f t="shared" si="562"/>
        <v>60000000</v>
      </c>
      <c r="DF263" s="51">
        <f t="shared" si="562"/>
        <v>260000000</v>
      </c>
      <c r="DG263" s="51">
        <f t="shared" si="562"/>
        <v>249546000</v>
      </c>
      <c r="DH263" s="51">
        <f t="shared" si="562"/>
        <v>249209000</v>
      </c>
      <c r="DI263" s="51">
        <f t="shared" si="562"/>
        <v>0</v>
      </c>
      <c r="DJ263" s="51">
        <f t="shared" si="562"/>
        <v>0</v>
      </c>
      <c r="DK263" s="51">
        <f t="shared" si="562"/>
        <v>0</v>
      </c>
      <c r="DL263" s="51">
        <f t="shared" si="562"/>
        <v>0</v>
      </c>
      <c r="DM263" s="51">
        <f t="shared" si="562"/>
        <v>0</v>
      </c>
      <c r="DN263" s="51">
        <f t="shared" si="562"/>
        <v>0</v>
      </c>
      <c r="DO263" s="51">
        <f t="shared" si="562"/>
        <v>0</v>
      </c>
      <c r="DP263" s="51">
        <f t="shared" si="562"/>
        <v>0</v>
      </c>
      <c r="DQ263" s="51">
        <f t="shared" si="562"/>
        <v>0</v>
      </c>
      <c r="DR263" s="51">
        <f t="shared" si="562"/>
        <v>0</v>
      </c>
      <c r="DS263" s="51">
        <f t="shared" si="562"/>
        <v>60000000</v>
      </c>
      <c r="DT263" s="51">
        <f t="shared" si="562"/>
        <v>60000000</v>
      </c>
      <c r="DU263" s="51">
        <f t="shared" si="562"/>
        <v>59776000</v>
      </c>
      <c r="DV263" s="51">
        <f t="shared" si="562"/>
        <v>59776000</v>
      </c>
      <c r="DW263" s="51">
        <f t="shared" si="562"/>
        <v>0</v>
      </c>
      <c r="DX263" s="51">
        <f t="shared" si="562"/>
        <v>0</v>
      </c>
      <c r="DY263" s="51">
        <f t="shared" ref="DY263:EW263" si="563">SUM(DY264:DY265)</f>
        <v>0</v>
      </c>
      <c r="DZ263" s="51">
        <f t="shared" si="563"/>
        <v>0</v>
      </c>
      <c r="EA263" s="51">
        <f t="shared" si="563"/>
        <v>0</v>
      </c>
      <c r="EB263" s="51">
        <f t="shared" si="563"/>
        <v>0</v>
      </c>
      <c r="EC263" s="51">
        <f t="shared" si="563"/>
        <v>0</v>
      </c>
      <c r="ED263" s="51">
        <f t="shared" si="563"/>
        <v>0</v>
      </c>
      <c r="EE263" s="51">
        <f t="shared" si="563"/>
        <v>0</v>
      </c>
      <c r="EF263" s="51">
        <f t="shared" si="563"/>
        <v>0</v>
      </c>
      <c r="EG263" s="51">
        <f t="shared" si="563"/>
        <v>0</v>
      </c>
      <c r="EH263" s="51">
        <f t="shared" si="563"/>
        <v>0</v>
      </c>
      <c r="EI263" s="51">
        <f t="shared" si="563"/>
        <v>0</v>
      </c>
      <c r="EJ263" s="51">
        <f t="shared" si="563"/>
        <v>0</v>
      </c>
      <c r="EK263" s="51">
        <f t="shared" si="563"/>
        <v>0</v>
      </c>
      <c r="EL263" s="51">
        <f t="shared" si="563"/>
        <v>0</v>
      </c>
      <c r="EM263" s="51">
        <f t="shared" si="563"/>
        <v>0</v>
      </c>
      <c r="EN263" s="51">
        <f t="shared" si="563"/>
        <v>0</v>
      </c>
      <c r="EO263" s="51">
        <f t="shared" si="563"/>
        <v>0</v>
      </c>
      <c r="EP263" s="51">
        <f t="shared" si="563"/>
        <v>0</v>
      </c>
      <c r="EQ263" s="51">
        <f t="shared" si="563"/>
        <v>0</v>
      </c>
      <c r="ER263" s="51">
        <f t="shared" si="563"/>
        <v>0</v>
      </c>
      <c r="ES263" s="51">
        <f t="shared" si="563"/>
        <v>0</v>
      </c>
      <c r="ET263" s="51">
        <f t="shared" si="563"/>
        <v>0</v>
      </c>
      <c r="EU263" s="51">
        <f t="shared" si="563"/>
        <v>0</v>
      </c>
      <c r="EV263" s="51">
        <f t="shared" si="563"/>
        <v>0</v>
      </c>
      <c r="EW263" s="51">
        <f t="shared" si="563"/>
        <v>60000000</v>
      </c>
      <c r="EX263" s="51">
        <f t="shared" ref="EX263:GZ263" si="564">SUM(EX264:EX265)</f>
        <v>60000000</v>
      </c>
      <c r="EY263" s="51">
        <f t="shared" si="564"/>
        <v>59776000</v>
      </c>
      <c r="EZ263" s="51">
        <f t="shared" si="564"/>
        <v>59776000</v>
      </c>
      <c r="FA263" s="51">
        <f t="shared" si="564"/>
        <v>0</v>
      </c>
      <c r="FB263" s="51">
        <f t="shared" si="564"/>
        <v>0</v>
      </c>
      <c r="FC263" s="51">
        <f t="shared" si="564"/>
        <v>0</v>
      </c>
      <c r="FD263" s="51">
        <f t="shared" si="564"/>
        <v>0</v>
      </c>
      <c r="FE263" s="51">
        <f t="shared" si="564"/>
        <v>0</v>
      </c>
      <c r="FF263" s="51">
        <f t="shared" si="564"/>
        <v>0</v>
      </c>
      <c r="FG263" s="51">
        <f t="shared" si="564"/>
        <v>0</v>
      </c>
      <c r="FH263" s="51">
        <f t="shared" si="564"/>
        <v>0</v>
      </c>
      <c r="FI263" s="51">
        <f t="shared" si="564"/>
        <v>0</v>
      </c>
      <c r="FJ263" s="51">
        <f t="shared" si="564"/>
        <v>0</v>
      </c>
      <c r="FK263" s="51">
        <f t="shared" si="564"/>
        <v>0</v>
      </c>
      <c r="FL263" s="51">
        <f t="shared" si="564"/>
        <v>60000000</v>
      </c>
      <c r="FM263" s="51">
        <f t="shared" si="564"/>
        <v>64050000</v>
      </c>
      <c r="FN263" s="51">
        <f t="shared" si="564"/>
        <v>50601275</v>
      </c>
      <c r="FO263" s="51">
        <f t="shared" si="564"/>
        <v>17764000</v>
      </c>
      <c r="FP263" s="51">
        <f t="shared" si="564"/>
        <v>0</v>
      </c>
      <c r="FQ263" s="51">
        <f t="shared" si="564"/>
        <v>0</v>
      </c>
      <c r="FR263" s="51">
        <f t="shared" si="564"/>
        <v>0</v>
      </c>
      <c r="FS263" s="51">
        <f t="shared" si="564"/>
        <v>0</v>
      </c>
      <c r="FT263" s="51">
        <f t="shared" si="564"/>
        <v>0</v>
      </c>
      <c r="FU263" s="51">
        <f t="shared" si="564"/>
        <v>0</v>
      </c>
      <c r="FV263" s="51">
        <f t="shared" si="564"/>
        <v>0</v>
      </c>
      <c r="FW263" s="51">
        <f t="shared" si="564"/>
        <v>0</v>
      </c>
      <c r="FX263" s="51">
        <f t="shared" si="564"/>
        <v>0</v>
      </c>
      <c r="FY263" s="51">
        <f t="shared" si="564"/>
        <v>0</v>
      </c>
      <c r="FZ263" s="51">
        <f t="shared" si="564"/>
        <v>0</v>
      </c>
      <c r="GA263" s="51">
        <f t="shared" si="564"/>
        <v>0</v>
      </c>
      <c r="GB263" s="51">
        <f t="shared" si="564"/>
        <v>0</v>
      </c>
      <c r="GC263" s="51">
        <f t="shared" si="564"/>
        <v>0</v>
      </c>
      <c r="GD263" s="51">
        <f t="shared" si="564"/>
        <v>0</v>
      </c>
      <c r="GE263" s="51">
        <f t="shared" si="564"/>
        <v>0</v>
      </c>
      <c r="GF263" s="51">
        <f t="shared" si="564"/>
        <v>0</v>
      </c>
      <c r="GG263" s="51">
        <f t="shared" si="564"/>
        <v>0</v>
      </c>
      <c r="GH263" s="51">
        <f t="shared" si="564"/>
        <v>0</v>
      </c>
      <c r="GI263" s="51">
        <f t="shared" si="564"/>
        <v>0</v>
      </c>
      <c r="GJ263" s="51">
        <f t="shared" si="564"/>
        <v>0</v>
      </c>
      <c r="GK263" s="51">
        <f t="shared" si="564"/>
        <v>0</v>
      </c>
      <c r="GL263" s="51">
        <f t="shared" si="564"/>
        <v>0</v>
      </c>
      <c r="GM263" s="51">
        <f t="shared" si="564"/>
        <v>0</v>
      </c>
      <c r="GN263" s="51">
        <f t="shared" si="564"/>
        <v>0</v>
      </c>
      <c r="GO263" s="51">
        <f t="shared" si="564"/>
        <v>0</v>
      </c>
      <c r="GP263" s="51">
        <f t="shared" si="564"/>
        <v>0</v>
      </c>
      <c r="GQ263" s="51">
        <f t="shared" si="564"/>
        <v>0</v>
      </c>
      <c r="GR263" s="51">
        <f t="shared" si="564"/>
        <v>0</v>
      </c>
      <c r="GS263" s="51">
        <f t="shared" si="564"/>
        <v>0</v>
      </c>
      <c r="GT263" s="51">
        <f t="shared" si="564"/>
        <v>0</v>
      </c>
      <c r="GU263" s="51">
        <f t="shared" si="564"/>
        <v>60000000</v>
      </c>
      <c r="GV263" s="51">
        <f t="shared" si="564"/>
        <v>64050000</v>
      </c>
      <c r="GW263" s="51">
        <f t="shared" si="564"/>
        <v>50601275</v>
      </c>
      <c r="GX263" s="51">
        <f t="shared" si="564"/>
        <v>17764000</v>
      </c>
      <c r="GY263" s="51">
        <f t="shared" si="564"/>
        <v>0</v>
      </c>
      <c r="GZ263" s="51">
        <f t="shared" si="564"/>
        <v>240000000</v>
      </c>
    </row>
    <row r="264" spans="1:208" ht="84.75" customHeight="1" x14ac:dyDescent="0.2">
      <c r="A264" s="326"/>
      <c r="B264" s="326"/>
      <c r="C264" s="288">
        <v>29</v>
      </c>
      <c r="D264" s="261" t="s">
        <v>545</v>
      </c>
      <c r="E264" s="259" t="s">
        <v>546</v>
      </c>
      <c r="F264" s="259" t="s">
        <v>546</v>
      </c>
      <c r="G264" s="265">
        <v>180</v>
      </c>
      <c r="H264" s="261" t="s">
        <v>634</v>
      </c>
      <c r="I264" s="258" t="s">
        <v>635</v>
      </c>
      <c r="J264" s="262" t="s">
        <v>636</v>
      </c>
      <c r="K264" s="262">
        <v>14</v>
      </c>
      <c r="L264" s="263" t="s">
        <v>58</v>
      </c>
      <c r="M264" s="264">
        <v>0</v>
      </c>
      <c r="N264" s="264">
        <v>1</v>
      </c>
      <c r="O264" s="265">
        <v>1</v>
      </c>
      <c r="P264" s="266">
        <v>1</v>
      </c>
      <c r="Q264" s="474">
        <v>1</v>
      </c>
      <c r="R264" s="268"/>
      <c r="S264" s="291">
        <v>1</v>
      </c>
      <c r="T264" s="264">
        <v>1</v>
      </c>
      <c r="U264" s="264"/>
      <c r="V264" s="270">
        <v>1</v>
      </c>
      <c r="W264" s="264">
        <v>1</v>
      </c>
      <c r="X264" s="263"/>
      <c r="Y264" s="271">
        <v>0.5</v>
      </c>
      <c r="Z264" s="371">
        <f>BM264/BM263</f>
        <v>0.79166666666666663</v>
      </c>
      <c r="AA264" s="264">
        <v>4</v>
      </c>
      <c r="AB264" s="263" t="s">
        <v>114</v>
      </c>
      <c r="AC264" s="60"/>
      <c r="AD264" s="59"/>
      <c r="AE264" s="59"/>
      <c r="AF264" s="59"/>
      <c r="AG264" s="60"/>
      <c r="AH264" s="59"/>
      <c r="AI264" s="59"/>
      <c r="AJ264" s="59"/>
      <c r="AK264" s="57">
        <v>47500000</v>
      </c>
      <c r="AL264" s="55">
        <v>47500000</v>
      </c>
      <c r="AM264" s="58">
        <v>42167302</v>
      </c>
      <c r="AN264" s="58">
        <v>42167302</v>
      </c>
      <c r="AO264" s="57"/>
      <c r="AP264" s="58"/>
      <c r="AQ264" s="58"/>
      <c r="AR264" s="59"/>
      <c r="AS264" s="60"/>
      <c r="AT264" s="59"/>
      <c r="AU264" s="59"/>
      <c r="AV264" s="59"/>
      <c r="AW264" s="60"/>
      <c r="AX264" s="59"/>
      <c r="AY264" s="59"/>
      <c r="AZ264" s="59"/>
      <c r="BA264" s="60"/>
      <c r="BB264" s="59"/>
      <c r="BC264" s="59"/>
      <c r="BD264" s="59"/>
      <c r="BE264" s="60"/>
      <c r="BF264" s="59"/>
      <c r="BG264" s="59"/>
      <c r="BH264" s="59"/>
      <c r="BI264" s="60"/>
      <c r="BJ264" s="59"/>
      <c r="BK264" s="59"/>
      <c r="BL264" s="59"/>
      <c r="BM264" s="53">
        <f>+AC264+AG264+AK264+AO264+AS264+AW264+BA264+BE264+BI264</f>
        <v>47500000</v>
      </c>
      <c r="BN264" s="54">
        <f t="shared" ref="BN264:BP265" si="565">AD264+AH264+AL264+AP264+AT264+AX264+BB264+BF264+BJ264</f>
        <v>47500000</v>
      </c>
      <c r="BO264" s="54">
        <f t="shared" si="565"/>
        <v>42167302</v>
      </c>
      <c r="BP264" s="54">
        <f t="shared" si="565"/>
        <v>42167302</v>
      </c>
      <c r="BQ264" s="83"/>
      <c r="BR264" s="83"/>
      <c r="BS264" s="83"/>
      <c r="BT264" s="83"/>
      <c r="BU264" s="83"/>
      <c r="BV264" s="83">
        <v>200000000</v>
      </c>
      <c r="BW264" s="83">
        <v>199750000</v>
      </c>
      <c r="BX264" s="83">
        <v>199750000</v>
      </c>
      <c r="BY264" s="83"/>
      <c r="BZ264" s="83">
        <v>47500000</v>
      </c>
      <c r="CA264" s="83">
        <v>47500000</v>
      </c>
      <c r="CB264" s="83">
        <v>37296000</v>
      </c>
      <c r="CC264" s="83">
        <v>36959000</v>
      </c>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1">
        <f t="shared" ref="DE264:DH265" si="566">BQ264+BU264+BZ264+CE264+CI264+CM264+CQ264+CV264+DA264</f>
        <v>47500000</v>
      </c>
      <c r="DF264" s="95">
        <f t="shared" si="566"/>
        <v>247500000</v>
      </c>
      <c r="DG264" s="95">
        <f t="shared" si="566"/>
        <v>237046000</v>
      </c>
      <c r="DH264" s="95">
        <f t="shared" si="566"/>
        <v>236709000</v>
      </c>
      <c r="DI264" s="95"/>
      <c r="DJ264" s="83"/>
      <c r="DK264" s="82"/>
      <c r="DL264" s="83"/>
      <c r="DM264" s="83"/>
      <c r="DN264" s="83"/>
      <c r="DO264" s="83"/>
      <c r="DP264" s="83"/>
      <c r="DQ264" s="83"/>
      <c r="DR264" s="83"/>
      <c r="DS264" s="83">
        <v>47500000</v>
      </c>
      <c r="DT264" s="83">
        <v>45000000</v>
      </c>
      <c r="DU264" s="83">
        <v>45000000</v>
      </c>
      <c r="DV264" s="83">
        <v>45000000</v>
      </c>
      <c r="DW264" s="83"/>
      <c r="DX264" s="83"/>
      <c r="DY264" s="83"/>
      <c r="DZ264" s="83"/>
      <c r="EA264" s="83"/>
      <c r="EB264" s="83"/>
      <c r="EC264" s="83"/>
      <c r="ED264" s="83"/>
      <c r="EE264" s="83"/>
      <c r="EF264" s="83"/>
      <c r="EG264" s="83"/>
      <c r="EH264" s="83"/>
      <c r="EI264" s="83"/>
      <c r="EJ264" s="83"/>
      <c r="EK264" s="83"/>
      <c r="EL264" s="83"/>
      <c r="EM264" s="83"/>
      <c r="EN264" s="83"/>
      <c r="EO264" s="83"/>
      <c r="EP264" s="83"/>
      <c r="EQ264" s="83"/>
      <c r="ER264" s="83"/>
      <c r="ES264" s="83"/>
      <c r="ET264" s="83"/>
      <c r="EU264" s="83"/>
      <c r="EV264" s="83"/>
      <c r="EW264" s="81">
        <f t="shared" ref="EW264:EX265" si="567">DJ264+DN264+DS264+DX264+EB264+EF264+EJ264+EN264+ES264</f>
        <v>47500000</v>
      </c>
      <c r="EX264" s="86">
        <f t="shared" si="567"/>
        <v>45000000</v>
      </c>
      <c r="EY264" s="86">
        <f t="shared" ref="EY264:EZ265" si="568">DL264+DP264+DU264+DZ264+ED264+EH264+EL264+EP264+EU264</f>
        <v>45000000</v>
      </c>
      <c r="EZ264" s="86">
        <f t="shared" si="568"/>
        <v>45000000</v>
      </c>
      <c r="FA264" s="176"/>
      <c r="FB264" s="83"/>
      <c r="FC264" s="84"/>
      <c r="FD264" s="84"/>
      <c r="FE264" s="84"/>
      <c r="FF264" s="140"/>
      <c r="FG264" s="83"/>
      <c r="FH264" s="83"/>
      <c r="FI264" s="83"/>
      <c r="FJ264" s="83"/>
      <c r="FK264" s="83"/>
      <c r="FL264" s="83">
        <v>47500000</v>
      </c>
      <c r="FM264" s="83">
        <v>44700000</v>
      </c>
      <c r="FN264" s="83">
        <v>34246275</v>
      </c>
      <c r="FO264" s="83">
        <v>6950000</v>
      </c>
      <c r="FP264" s="83"/>
      <c r="FQ264" s="83"/>
      <c r="FR264" s="83"/>
      <c r="FS264" s="83"/>
      <c r="FT264" s="83"/>
      <c r="FU264" s="83"/>
      <c r="FV264" s="83"/>
      <c r="FW264" s="83"/>
      <c r="FX264" s="83"/>
      <c r="FY264" s="83"/>
      <c r="FZ264" s="83"/>
      <c r="GA264" s="83"/>
      <c r="GB264" s="83"/>
      <c r="GC264" s="83"/>
      <c r="GD264" s="83"/>
      <c r="GE264" s="83"/>
      <c r="GF264" s="83"/>
      <c r="GG264" s="83"/>
      <c r="GH264" s="83"/>
      <c r="GI264" s="83"/>
      <c r="GJ264" s="83"/>
      <c r="GK264" s="83"/>
      <c r="GL264" s="83"/>
      <c r="GM264" s="83"/>
      <c r="GN264" s="83"/>
      <c r="GO264" s="83"/>
      <c r="GP264" s="83"/>
      <c r="GQ264" s="83"/>
      <c r="GR264" s="83"/>
      <c r="GS264" s="83"/>
      <c r="GT264" s="83"/>
      <c r="GU264" s="81">
        <f>FB264+FG264+FL264+FQ264+FV264+GA264+GF264+GK264+GP264</f>
        <v>47500000</v>
      </c>
      <c r="GV264" s="81">
        <f t="shared" ref="GV264:GY265" si="569">GQ264+GL264+GG264+GB264+FW264+FR264+FM264+FH264+FC264</f>
        <v>44700000</v>
      </c>
      <c r="GW264" s="81">
        <f t="shared" si="569"/>
        <v>34246275</v>
      </c>
      <c r="GX264" s="81">
        <f t="shared" si="569"/>
        <v>6950000</v>
      </c>
      <c r="GY264" s="673">
        <f t="shared" si="569"/>
        <v>0</v>
      </c>
      <c r="GZ264" s="67">
        <f>BM264+DE264+EW264+GU264</f>
        <v>190000000</v>
      </c>
    </row>
    <row r="265" spans="1:208" s="711" customFormat="1" ht="84.75" customHeight="1" x14ac:dyDescent="0.2">
      <c r="A265" s="703"/>
      <c r="B265" s="703"/>
      <c r="C265" s="822">
        <v>30</v>
      </c>
      <c r="D265" s="676" t="s">
        <v>549</v>
      </c>
      <c r="E265" s="684" t="s">
        <v>550</v>
      </c>
      <c r="F265" s="1007" t="s">
        <v>550</v>
      </c>
      <c r="G265" s="682">
        <v>181</v>
      </c>
      <c r="H265" s="676" t="s">
        <v>637</v>
      </c>
      <c r="I265" s="676" t="s">
        <v>638</v>
      </c>
      <c r="J265" s="813" t="s">
        <v>636</v>
      </c>
      <c r="K265" s="813">
        <v>14</v>
      </c>
      <c r="L265" s="813" t="s">
        <v>58</v>
      </c>
      <c r="M265" s="682">
        <v>6</v>
      </c>
      <c r="N265" s="682">
        <v>6</v>
      </c>
      <c r="O265" s="682">
        <v>6</v>
      </c>
      <c r="P265" s="810">
        <v>6</v>
      </c>
      <c r="Q265" s="903">
        <v>6</v>
      </c>
      <c r="R265" s="814"/>
      <c r="S265" s="1046">
        <v>6</v>
      </c>
      <c r="T265" s="682">
        <v>6</v>
      </c>
      <c r="U265" s="682"/>
      <c r="V265" s="810">
        <v>6</v>
      </c>
      <c r="W265" s="682">
        <v>6</v>
      </c>
      <c r="X265" s="813"/>
      <c r="Y265" s="630">
        <v>6</v>
      </c>
      <c r="Z265" s="809">
        <f>BM265/BM263</f>
        <v>0.20833333333333334</v>
      </c>
      <c r="AA265" s="682">
        <v>4</v>
      </c>
      <c r="AB265" s="813" t="s">
        <v>114</v>
      </c>
      <c r="AC265" s="817"/>
      <c r="AD265" s="818"/>
      <c r="AE265" s="818"/>
      <c r="AF265" s="818"/>
      <c r="AG265" s="817"/>
      <c r="AH265" s="818"/>
      <c r="AI265" s="818"/>
      <c r="AJ265" s="818"/>
      <c r="AK265" s="830">
        <v>12500000</v>
      </c>
      <c r="AL265" s="831">
        <v>12500000</v>
      </c>
      <c r="AM265" s="831">
        <v>8903333</v>
      </c>
      <c r="AN265" s="831">
        <v>8903333</v>
      </c>
      <c r="AO265" s="830"/>
      <c r="AP265" s="831"/>
      <c r="AQ265" s="831"/>
      <c r="AR265" s="818"/>
      <c r="AS265" s="817"/>
      <c r="AT265" s="818"/>
      <c r="AU265" s="818"/>
      <c r="AV265" s="818"/>
      <c r="AW265" s="817"/>
      <c r="AX265" s="818"/>
      <c r="AY265" s="818"/>
      <c r="AZ265" s="818"/>
      <c r="BA265" s="817"/>
      <c r="BB265" s="818"/>
      <c r="BC265" s="818"/>
      <c r="BD265" s="818"/>
      <c r="BE265" s="817"/>
      <c r="BF265" s="818"/>
      <c r="BG265" s="818"/>
      <c r="BH265" s="818"/>
      <c r="BI265" s="817"/>
      <c r="BJ265" s="818"/>
      <c r="BK265" s="818"/>
      <c r="BL265" s="818"/>
      <c r="BM265" s="817">
        <f>+AC265+AG265+AK265+AO265+AS265+AW265+BA265+BE265+BI265</f>
        <v>12500000</v>
      </c>
      <c r="BN265" s="818">
        <f t="shared" si="565"/>
        <v>12500000</v>
      </c>
      <c r="BO265" s="818">
        <f t="shared" si="565"/>
        <v>8903333</v>
      </c>
      <c r="BP265" s="818">
        <f t="shared" si="565"/>
        <v>8903333</v>
      </c>
      <c r="BQ265" s="667"/>
      <c r="BR265" s="667"/>
      <c r="BS265" s="667"/>
      <c r="BT265" s="667"/>
      <c r="BU265" s="667"/>
      <c r="BV265" s="667"/>
      <c r="BW265" s="667"/>
      <c r="BX265" s="667"/>
      <c r="BY265" s="667"/>
      <c r="BZ265" s="667">
        <v>12500000</v>
      </c>
      <c r="CA265" s="667">
        <v>12500000</v>
      </c>
      <c r="CB265" s="667">
        <v>12500000</v>
      </c>
      <c r="CC265" s="667">
        <v>12500000</v>
      </c>
      <c r="CD265" s="667"/>
      <c r="CE265" s="667"/>
      <c r="CF265" s="667"/>
      <c r="CG265" s="667"/>
      <c r="CH265" s="667"/>
      <c r="CI265" s="667"/>
      <c r="CJ265" s="667"/>
      <c r="CK265" s="667"/>
      <c r="CL265" s="667"/>
      <c r="CM265" s="667"/>
      <c r="CN265" s="667"/>
      <c r="CO265" s="667"/>
      <c r="CP265" s="667"/>
      <c r="CQ265" s="667"/>
      <c r="CR265" s="667"/>
      <c r="CS265" s="667"/>
      <c r="CT265" s="667"/>
      <c r="CU265" s="667"/>
      <c r="CV265" s="667"/>
      <c r="CW265" s="667"/>
      <c r="CX265" s="667"/>
      <c r="CY265" s="667"/>
      <c r="CZ265" s="667"/>
      <c r="DA265" s="667"/>
      <c r="DB265" s="667"/>
      <c r="DC265" s="667"/>
      <c r="DD265" s="667"/>
      <c r="DE265" s="708">
        <f t="shared" si="566"/>
        <v>12500000</v>
      </c>
      <c r="DF265" s="708">
        <f t="shared" si="566"/>
        <v>12500000</v>
      </c>
      <c r="DG265" s="708">
        <f t="shared" si="566"/>
        <v>12500000</v>
      </c>
      <c r="DH265" s="708">
        <f t="shared" si="566"/>
        <v>12500000</v>
      </c>
      <c r="DI265" s="708"/>
      <c r="DJ265" s="667"/>
      <c r="DK265" s="667"/>
      <c r="DL265" s="667"/>
      <c r="DM265" s="667"/>
      <c r="DN265" s="667"/>
      <c r="DO265" s="667"/>
      <c r="DP265" s="667"/>
      <c r="DQ265" s="667"/>
      <c r="DR265" s="667"/>
      <c r="DS265" s="667">
        <v>12500000</v>
      </c>
      <c r="DT265" s="667">
        <v>15000000</v>
      </c>
      <c r="DU265" s="667">
        <v>14776000</v>
      </c>
      <c r="DV265" s="667">
        <v>14776000</v>
      </c>
      <c r="DW265" s="667"/>
      <c r="DX265" s="667"/>
      <c r="DY265" s="667"/>
      <c r="DZ265" s="667"/>
      <c r="EA265" s="667"/>
      <c r="EB265" s="667"/>
      <c r="EC265" s="667"/>
      <c r="ED265" s="667"/>
      <c r="EE265" s="667"/>
      <c r="EF265" s="667"/>
      <c r="EG265" s="667"/>
      <c r="EH265" s="667"/>
      <c r="EI265" s="667"/>
      <c r="EJ265" s="667"/>
      <c r="EK265" s="667"/>
      <c r="EL265" s="667"/>
      <c r="EM265" s="667"/>
      <c r="EN265" s="667"/>
      <c r="EO265" s="667"/>
      <c r="EP265" s="667"/>
      <c r="EQ265" s="667"/>
      <c r="ER265" s="667"/>
      <c r="ES265" s="667"/>
      <c r="ET265" s="667"/>
      <c r="EU265" s="667"/>
      <c r="EV265" s="667"/>
      <c r="EW265" s="708">
        <f t="shared" si="567"/>
        <v>12500000</v>
      </c>
      <c r="EX265" s="819">
        <f t="shared" si="567"/>
        <v>15000000</v>
      </c>
      <c r="EY265" s="819">
        <f t="shared" si="568"/>
        <v>14776000</v>
      </c>
      <c r="EZ265" s="819">
        <f t="shared" si="568"/>
        <v>14776000</v>
      </c>
      <c r="FA265" s="820"/>
      <c r="FB265" s="667"/>
      <c r="FC265" s="706"/>
      <c r="FD265" s="706"/>
      <c r="FE265" s="706"/>
      <c r="FF265" s="707"/>
      <c r="FG265" s="667"/>
      <c r="FH265" s="667"/>
      <c r="FI265" s="667"/>
      <c r="FJ265" s="667"/>
      <c r="FK265" s="667"/>
      <c r="FL265" s="667">
        <v>12500000</v>
      </c>
      <c r="FM265" s="667">
        <v>19350000</v>
      </c>
      <c r="FN265" s="667">
        <v>16355000</v>
      </c>
      <c r="FO265" s="667">
        <v>10814000</v>
      </c>
      <c r="FP265" s="667"/>
      <c r="FQ265" s="667"/>
      <c r="FR265" s="667"/>
      <c r="FS265" s="667"/>
      <c r="FT265" s="667"/>
      <c r="FU265" s="667"/>
      <c r="FV265" s="667"/>
      <c r="FW265" s="667"/>
      <c r="FX265" s="667"/>
      <c r="FY265" s="667"/>
      <c r="FZ265" s="667"/>
      <c r="GA265" s="667"/>
      <c r="GB265" s="667"/>
      <c r="GC265" s="667"/>
      <c r="GD265" s="667"/>
      <c r="GE265" s="667"/>
      <c r="GF265" s="667"/>
      <c r="GG265" s="667"/>
      <c r="GH265" s="667"/>
      <c r="GI265" s="667"/>
      <c r="GJ265" s="667"/>
      <c r="GK265" s="667"/>
      <c r="GL265" s="667"/>
      <c r="GM265" s="667"/>
      <c r="GN265" s="667"/>
      <c r="GO265" s="667"/>
      <c r="GP265" s="667"/>
      <c r="GQ265" s="667"/>
      <c r="GR265" s="667"/>
      <c r="GS265" s="667"/>
      <c r="GT265" s="667"/>
      <c r="GU265" s="708">
        <f>FB265+FG265+FL265+FQ265+FV265+GA265+GF265+GK265+GP265</f>
        <v>12500000</v>
      </c>
      <c r="GV265" s="708">
        <f t="shared" si="569"/>
        <v>19350000</v>
      </c>
      <c r="GW265" s="708">
        <f t="shared" si="569"/>
        <v>16355000</v>
      </c>
      <c r="GX265" s="708">
        <f t="shared" si="569"/>
        <v>10814000</v>
      </c>
      <c r="GY265" s="709">
        <f t="shared" si="569"/>
        <v>0</v>
      </c>
      <c r="GZ265" s="710">
        <f>BM265+DE265+EW265+GU265</f>
        <v>50000000</v>
      </c>
    </row>
    <row r="266" spans="1:208" ht="24.75" customHeight="1" x14ac:dyDescent="0.2">
      <c r="A266" s="326"/>
      <c r="B266" s="326"/>
      <c r="C266" s="246">
        <v>57</v>
      </c>
      <c r="D266" s="247" t="s">
        <v>639</v>
      </c>
      <c r="E266" s="250"/>
      <c r="F266" s="250"/>
      <c r="G266" s="249"/>
      <c r="H266" s="249"/>
      <c r="I266" s="249"/>
      <c r="J266" s="249"/>
      <c r="K266" s="249"/>
      <c r="L266" s="249"/>
      <c r="M266" s="249"/>
      <c r="N266" s="249"/>
      <c r="O266" s="249"/>
      <c r="P266" s="249"/>
      <c r="Q266" s="249"/>
      <c r="R266" s="249"/>
      <c r="S266" s="249"/>
      <c r="T266" s="249"/>
      <c r="U266" s="249"/>
      <c r="V266" s="249"/>
      <c r="W266" s="249"/>
      <c r="X266" s="249"/>
      <c r="Y266" s="296"/>
      <c r="Z266" s="249"/>
      <c r="AA266" s="249"/>
      <c r="AB266" s="249"/>
      <c r="AC266" s="51">
        <f t="shared" ref="AC266:BL266" si="570">SUM(AC267)</f>
        <v>0</v>
      </c>
      <c r="AD266" s="51">
        <f t="shared" si="570"/>
        <v>0</v>
      </c>
      <c r="AE266" s="51">
        <f t="shared" si="570"/>
        <v>0</v>
      </c>
      <c r="AF266" s="51">
        <f t="shared" si="570"/>
        <v>0</v>
      </c>
      <c r="AG266" s="51">
        <f t="shared" si="570"/>
        <v>0</v>
      </c>
      <c r="AH266" s="51">
        <f t="shared" si="570"/>
        <v>0</v>
      </c>
      <c r="AI266" s="51">
        <f t="shared" si="570"/>
        <v>0</v>
      </c>
      <c r="AJ266" s="51">
        <f t="shared" si="570"/>
        <v>0</v>
      </c>
      <c r="AK266" s="51">
        <f t="shared" si="570"/>
        <v>40000000</v>
      </c>
      <c r="AL266" s="51">
        <f t="shared" si="570"/>
        <v>40000000</v>
      </c>
      <c r="AM266" s="51">
        <f t="shared" si="570"/>
        <v>0</v>
      </c>
      <c r="AN266" s="51">
        <f t="shared" si="570"/>
        <v>0</v>
      </c>
      <c r="AO266" s="51">
        <f t="shared" si="570"/>
        <v>0</v>
      </c>
      <c r="AP266" s="51">
        <f t="shared" si="570"/>
        <v>0</v>
      </c>
      <c r="AQ266" s="51">
        <f t="shared" si="570"/>
        <v>0</v>
      </c>
      <c r="AR266" s="51">
        <f t="shared" si="570"/>
        <v>0</v>
      </c>
      <c r="AS266" s="51">
        <f t="shared" si="570"/>
        <v>0</v>
      </c>
      <c r="AT266" s="51">
        <f t="shared" si="570"/>
        <v>0</v>
      </c>
      <c r="AU266" s="51">
        <f t="shared" si="570"/>
        <v>0</v>
      </c>
      <c r="AV266" s="51">
        <f t="shared" si="570"/>
        <v>0</v>
      </c>
      <c r="AW266" s="51">
        <f t="shared" si="570"/>
        <v>0</v>
      </c>
      <c r="AX266" s="51">
        <f t="shared" si="570"/>
        <v>0</v>
      </c>
      <c r="AY266" s="51">
        <f t="shared" si="570"/>
        <v>0</v>
      </c>
      <c r="AZ266" s="51">
        <f t="shared" si="570"/>
        <v>0</v>
      </c>
      <c r="BA266" s="51">
        <f t="shared" si="570"/>
        <v>0</v>
      </c>
      <c r="BB266" s="51">
        <f t="shared" si="570"/>
        <v>0</v>
      </c>
      <c r="BC266" s="51">
        <f t="shared" si="570"/>
        <v>0</v>
      </c>
      <c r="BD266" s="51">
        <f t="shared" si="570"/>
        <v>0</v>
      </c>
      <c r="BE266" s="51">
        <f t="shared" si="570"/>
        <v>0</v>
      </c>
      <c r="BF266" s="51">
        <f t="shared" si="570"/>
        <v>0</v>
      </c>
      <c r="BG266" s="51">
        <f t="shared" si="570"/>
        <v>0</v>
      </c>
      <c r="BH266" s="51">
        <f t="shared" si="570"/>
        <v>0</v>
      </c>
      <c r="BI266" s="51">
        <f t="shared" si="570"/>
        <v>0</v>
      </c>
      <c r="BJ266" s="51">
        <f t="shared" si="570"/>
        <v>0</v>
      </c>
      <c r="BK266" s="51">
        <f t="shared" si="570"/>
        <v>0</v>
      </c>
      <c r="BL266" s="51">
        <f t="shared" si="570"/>
        <v>0</v>
      </c>
      <c r="BM266" s="51">
        <f t="shared" ref="BM266:DX266" si="571">SUM(BM267)</f>
        <v>40000000</v>
      </c>
      <c r="BN266" s="51">
        <f t="shared" si="571"/>
        <v>40000000</v>
      </c>
      <c r="BO266" s="51">
        <f t="shared" si="571"/>
        <v>0</v>
      </c>
      <c r="BP266" s="51">
        <f t="shared" si="571"/>
        <v>0</v>
      </c>
      <c r="BQ266" s="51">
        <f t="shared" si="571"/>
        <v>0</v>
      </c>
      <c r="BR266" s="51">
        <f t="shared" si="571"/>
        <v>0</v>
      </c>
      <c r="BS266" s="51">
        <f t="shared" si="571"/>
        <v>0</v>
      </c>
      <c r="BT266" s="51">
        <f t="shared" si="571"/>
        <v>0</v>
      </c>
      <c r="BU266" s="51">
        <f t="shared" si="571"/>
        <v>0</v>
      </c>
      <c r="BV266" s="51">
        <f t="shared" si="571"/>
        <v>0</v>
      </c>
      <c r="BW266" s="51">
        <f t="shared" si="571"/>
        <v>0</v>
      </c>
      <c r="BX266" s="51">
        <f t="shared" si="571"/>
        <v>0</v>
      </c>
      <c r="BY266" s="51">
        <f t="shared" si="571"/>
        <v>0</v>
      </c>
      <c r="BZ266" s="51">
        <f t="shared" si="571"/>
        <v>40000000</v>
      </c>
      <c r="CA266" s="51">
        <f t="shared" si="571"/>
        <v>40000000</v>
      </c>
      <c r="CB266" s="51">
        <f t="shared" si="571"/>
        <v>0</v>
      </c>
      <c r="CC266" s="51">
        <f t="shared" si="571"/>
        <v>0</v>
      </c>
      <c r="CD266" s="51">
        <f t="shared" si="571"/>
        <v>0</v>
      </c>
      <c r="CE266" s="51">
        <f t="shared" si="571"/>
        <v>0</v>
      </c>
      <c r="CF266" s="51">
        <f t="shared" si="571"/>
        <v>0</v>
      </c>
      <c r="CG266" s="51">
        <f t="shared" si="571"/>
        <v>0</v>
      </c>
      <c r="CH266" s="51">
        <f t="shared" si="571"/>
        <v>0</v>
      </c>
      <c r="CI266" s="51">
        <f t="shared" si="571"/>
        <v>0</v>
      </c>
      <c r="CJ266" s="51">
        <f t="shared" si="571"/>
        <v>0</v>
      </c>
      <c r="CK266" s="51">
        <f t="shared" si="571"/>
        <v>0</v>
      </c>
      <c r="CL266" s="51">
        <f t="shared" si="571"/>
        <v>0</v>
      </c>
      <c r="CM266" s="51">
        <f t="shared" si="571"/>
        <v>0</v>
      </c>
      <c r="CN266" s="51">
        <f t="shared" si="571"/>
        <v>0</v>
      </c>
      <c r="CO266" s="51">
        <f t="shared" si="571"/>
        <v>0</v>
      </c>
      <c r="CP266" s="51">
        <f t="shared" si="571"/>
        <v>0</v>
      </c>
      <c r="CQ266" s="51">
        <f t="shared" si="571"/>
        <v>0</v>
      </c>
      <c r="CR266" s="51">
        <f t="shared" si="571"/>
        <v>0</v>
      </c>
      <c r="CS266" s="51">
        <f t="shared" si="571"/>
        <v>0</v>
      </c>
      <c r="CT266" s="51">
        <f t="shared" si="571"/>
        <v>0</v>
      </c>
      <c r="CU266" s="51">
        <f t="shared" si="571"/>
        <v>0</v>
      </c>
      <c r="CV266" s="51">
        <f t="shared" si="571"/>
        <v>0</v>
      </c>
      <c r="CW266" s="51">
        <f t="shared" si="571"/>
        <v>0</v>
      </c>
      <c r="CX266" s="51">
        <f t="shared" si="571"/>
        <v>0</v>
      </c>
      <c r="CY266" s="51">
        <f t="shared" si="571"/>
        <v>0</v>
      </c>
      <c r="CZ266" s="51">
        <f t="shared" si="571"/>
        <v>0</v>
      </c>
      <c r="DA266" s="51">
        <f t="shared" si="571"/>
        <v>0</v>
      </c>
      <c r="DB266" s="51">
        <f t="shared" si="571"/>
        <v>0</v>
      </c>
      <c r="DC266" s="51">
        <f t="shared" si="571"/>
        <v>0</v>
      </c>
      <c r="DD266" s="51">
        <f t="shared" si="571"/>
        <v>0</v>
      </c>
      <c r="DE266" s="51">
        <f t="shared" si="571"/>
        <v>40000000</v>
      </c>
      <c r="DF266" s="51">
        <f t="shared" si="571"/>
        <v>40000000</v>
      </c>
      <c r="DG266" s="51">
        <f t="shared" si="571"/>
        <v>0</v>
      </c>
      <c r="DH266" s="51">
        <f t="shared" si="571"/>
        <v>0</v>
      </c>
      <c r="DI266" s="51">
        <f t="shared" si="571"/>
        <v>0</v>
      </c>
      <c r="DJ266" s="51">
        <f t="shared" si="571"/>
        <v>0</v>
      </c>
      <c r="DK266" s="51">
        <f t="shared" si="571"/>
        <v>0</v>
      </c>
      <c r="DL266" s="51">
        <f t="shared" si="571"/>
        <v>0</v>
      </c>
      <c r="DM266" s="51">
        <f t="shared" si="571"/>
        <v>0</v>
      </c>
      <c r="DN266" s="51">
        <f t="shared" si="571"/>
        <v>0</v>
      </c>
      <c r="DO266" s="51">
        <f t="shared" si="571"/>
        <v>0</v>
      </c>
      <c r="DP266" s="51">
        <f t="shared" si="571"/>
        <v>0</v>
      </c>
      <c r="DQ266" s="51">
        <f t="shared" si="571"/>
        <v>0</v>
      </c>
      <c r="DR266" s="51">
        <f t="shared" si="571"/>
        <v>0</v>
      </c>
      <c r="DS266" s="51">
        <f t="shared" si="571"/>
        <v>30000000</v>
      </c>
      <c r="DT266" s="51">
        <f t="shared" si="571"/>
        <v>29000000</v>
      </c>
      <c r="DU266" s="51">
        <f t="shared" si="571"/>
        <v>0</v>
      </c>
      <c r="DV266" s="51">
        <f t="shared" si="571"/>
        <v>0</v>
      </c>
      <c r="DW266" s="51">
        <f t="shared" si="571"/>
        <v>0</v>
      </c>
      <c r="DX266" s="51">
        <f t="shared" si="571"/>
        <v>0</v>
      </c>
      <c r="DY266" s="51">
        <f t="shared" ref="DY266:EW266" si="572">SUM(DY267)</f>
        <v>0</v>
      </c>
      <c r="DZ266" s="51">
        <f t="shared" si="572"/>
        <v>0</v>
      </c>
      <c r="EA266" s="51">
        <f t="shared" si="572"/>
        <v>0</v>
      </c>
      <c r="EB266" s="51">
        <f t="shared" si="572"/>
        <v>0</v>
      </c>
      <c r="EC266" s="51">
        <f t="shared" si="572"/>
        <v>0</v>
      </c>
      <c r="ED266" s="51">
        <f t="shared" si="572"/>
        <v>0</v>
      </c>
      <c r="EE266" s="51">
        <f t="shared" si="572"/>
        <v>0</v>
      </c>
      <c r="EF266" s="51">
        <f t="shared" si="572"/>
        <v>0</v>
      </c>
      <c r="EG266" s="51">
        <f t="shared" si="572"/>
        <v>0</v>
      </c>
      <c r="EH266" s="51">
        <f t="shared" si="572"/>
        <v>0</v>
      </c>
      <c r="EI266" s="51">
        <f t="shared" si="572"/>
        <v>0</v>
      </c>
      <c r="EJ266" s="51">
        <f t="shared" si="572"/>
        <v>0</v>
      </c>
      <c r="EK266" s="51">
        <f t="shared" si="572"/>
        <v>0</v>
      </c>
      <c r="EL266" s="51">
        <f t="shared" si="572"/>
        <v>0</v>
      </c>
      <c r="EM266" s="51">
        <f t="shared" si="572"/>
        <v>0</v>
      </c>
      <c r="EN266" s="51">
        <f t="shared" si="572"/>
        <v>0</v>
      </c>
      <c r="EO266" s="51">
        <f t="shared" si="572"/>
        <v>0</v>
      </c>
      <c r="EP266" s="51">
        <f t="shared" si="572"/>
        <v>0</v>
      </c>
      <c r="EQ266" s="51">
        <f t="shared" si="572"/>
        <v>0</v>
      </c>
      <c r="ER266" s="51">
        <f t="shared" si="572"/>
        <v>0</v>
      </c>
      <c r="ES266" s="51">
        <f t="shared" si="572"/>
        <v>0</v>
      </c>
      <c r="ET266" s="51">
        <f t="shared" si="572"/>
        <v>0</v>
      </c>
      <c r="EU266" s="51">
        <f t="shared" si="572"/>
        <v>0</v>
      </c>
      <c r="EV266" s="51">
        <f t="shared" si="572"/>
        <v>0</v>
      </c>
      <c r="EW266" s="51">
        <f t="shared" si="572"/>
        <v>30000000</v>
      </c>
      <c r="EX266" s="51">
        <f t="shared" ref="EX266:GZ266" si="573">SUM(EX267)</f>
        <v>29000000</v>
      </c>
      <c r="EY266" s="51">
        <f t="shared" si="573"/>
        <v>0</v>
      </c>
      <c r="EZ266" s="51">
        <f t="shared" si="573"/>
        <v>0</v>
      </c>
      <c r="FA266" s="51">
        <f t="shared" si="573"/>
        <v>0</v>
      </c>
      <c r="FB266" s="51">
        <f t="shared" si="573"/>
        <v>0</v>
      </c>
      <c r="FC266" s="51">
        <f t="shared" si="573"/>
        <v>0</v>
      </c>
      <c r="FD266" s="51">
        <f t="shared" si="573"/>
        <v>0</v>
      </c>
      <c r="FE266" s="51">
        <f t="shared" si="573"/>
        <v>0</v>
      </c>
      <c r="FF266" s="51">
        <f t="shared" si="573"/>
        <v>0</v>
      </c>
      <c r="FG266" s="51">
        <f t="shared" si="573"/>
        <v>0</v>
      </c>
      <c r="FH266" s="51">
        <f t="shared" si="573"/>
        <v>0</v>
      </c>
      <c r="FI266" s="51">
        <f t="shared" si="573"/>
        <v>0</v>
      </c>
      <c r="FJ266" s="51">
        <f t="shared" si="573"/>
        <v>0</v>
      </c>
      <c r="FK266" s="51">
        <f t="shared" si="573"/>
        <v>0</v>
      </c>
      <c r="FL266" s="51">
        <f t="shared" si="573"/>
        <v>30000000</v>
      </c>
      <c r="FM266" s="51">
        <f t="shared" si="573"/>
        <v>18817998</v>
      </c>
      <c r="FN266" s="51">
        <f t="shared" si="573"/>
        <v>11342000</v>
      </c>
      <c r="FO266" s="51">
        <f t="shared" si="573"/>
        <v>11342000</v>
      </c>
      <c r="FP266" s="51">
        <f t="shared" si="573"/>
        <v>0</v>
      </c>
      <c r="FQ266" s="51">
        <f t="shared" si="573"/>
        <v>0</v>
      </c>
      <c r="FR266" s="51">
        <f t="shared" si="573"/>
        <v>0</v>
      </c>
      <c r="FS266" s="51">
        <f t="shared" si="573"/>
        <v>0</v>
      </c>
      <c r="FT266" s="51">
        <f t="shared" si="573"/>
        <v>0</v>
      </c>
      <c r="FU266" s="51">
        <f t="shared" si="573"/>
        <v>0</v>
      </c>
      <c r="FV266" s="51">
        <f t="shared" si="573"/>
        <v>0</v>
      </c>
      <c r="FW266" s="51">
        <f t="shared" si="573"/>
        <v>0</v>
      </c>
      <c r="FX266" s="51">
        <f t="shared" si="573"/>
        <v>0</v>
      </c>
      <c r="FY266" s="51">
        <f t="shared" si="573"/>
        <v>0</v>
      </c>
      <c r="FZ266" s="51">
        <f t="shared" si="573"/>
        <v>0</v>
      </c>
      <c r="GA266" s="51">
        <f t="shared" si="573"/>
        <v>0</v>
      </c>
      <c r="GB266" s="51">
        <f t="shared" si="573"/>
        <v>0</v>
      </c>
      <c r="GC266" s="51">
        <f t="shared" si="573"/>
        <v>0</v>
      </c>
      <c r="GD266" s="51">
        <f t="shared" si="573"/>
        <v>0</v>
      </c>
      <c r="GE266" s="51">
        <f t="shared" si="573"/>
        <v>0</v>
      </c>
      <c r="GF266" s="51">
        <f t="shared" si="573"/>
        <v>0</v>
      </c>
      <c r="GG266" s="51">
        <f t="shared" si="573"/>
        <v>0</v>
      </c>
      <c r="GH266" s="51">
        <f t="shared" si="573"/>
        <v>0</v>
      </c>
      <c r="GI266" s="51">
        <f t="shared" si="573"/>
        <v>0</v>
      </c>
      <c r="GJ266" s="51">
        <f t="shared" si="573"/>
        <v>0</v>
      </c>
      <c r="GK266" s="51">
        <f t="shared" si="573"/>
        <v>0</v>
      </c>
      <c r="GL266" s="51">
        <f t="shared" si="573"/>
        <v>0</v>
      </c>
      <c r="GM266" s="51">
        <f t="shared" si="573"/>
        <v>0</v>
      </c>
      <c r="GN266" s="51">
        <f t="shared" si="573"/>
        <v>0</v>
      </c>
      <c r="GO266" s="51">
        <f t="shared" si="573"/>
        <v>0</v>
      </c>
      <c r="GP266" s="51">
        <f t="shared" si="573"/>
        <v>0</v>
      </c>
      <c r="GQ266" s="51">
        <f t="shared" si="573"/>
        <v>0</v>
      </c>
      <c r="GR266" s="51">
        <f t="shared" si="573"/>
        <v>0</v>
      </c>
      <c r="GS266" s="51">
        <f t="shared" si="573"/>
        <v>0</v>
      </c>
      <c r="GT266" s="51">
        <f t="shared" si="573"/>
        <v>0</v>
      </c>
      <c r="GU266" s="51">
        <f t="shared" si="573"/>
        <v>30000000</v>
      </c>
      <c r="GV266" s="51">
        <f t="shared" si="573"/>
        <v>18817998</v>
      </c>
      <c r="GW266" s="51">
        <f t="shared" si="573"/>
        <v>11342000</v>
      </c>
      <c r="GX266" s="51">
        <f t="shared" si="573"/>
        <v>11342000</v>
      </c>
      <c r="GY266" s="51">
        <f t="shared" si="573"/>
        <v>0</v>
      </c>
      <c r="GZ266" s="51">
        <f t="shared" si="573"/>
        <v>140000000</v>
      </c>
    </row>
    <row r="267" spans="1:208" ht="64.5" customHeight="1" x14ac:dyDescent="0.2">
      <c r="A267" s="326"/>
      <c r="B267" s="372"/>
      <c r="C267" s="277">
        <v>14</v>
      </c>
      <c r="D267" s="258" t="s">
        <v>413</v>
      </c>
      <c r="E267" s="619" t="s">
        <v>275</v>
      </c>
      <c r="F267" s="439">
        <v>0.03</v>
      </c>
      <c r="G267" s="265">
        <v>182</v>
      </c>
      <c r="H267" s="261" t="s">
        <v>640</v>
      </c>
      <c r="I267" s="385" t="s">
        <v>544</v>
      </c>
      <c r="J267" s="386" t="s">
        <v>266</v>
      </c>
      <c r="K267" s="398">
        <v>1</v>
      </c>
      <c r="L267" s="304" t="s">
        <v>58</v>
      </c>
      <c r="M267" s="352">
        <v>1</v>
      </c>
      <c r="N267" s="352">
        <v>1</v>
      </c>
      <c r="O267" s="259">
        <v>1</v>
      </c>
      <c r="P267" s="387">
        <v>0</v>
      </c>
      <c r="Q267" s="401">
        <v>1</v>
      </c>
      <c r="R267" s="268"/>
      <c r="S267" s="388">
        <v>1</v>
      </c>
      <c r="T267" s="288">
        <v>1</v>
      </c>
      <c r="U267" s="288"/>
      <c r="V267" s="389">
        <v>1</v>
      </c>
      <c r="W267" s="288">
        <v>1</v>
      </c>
      <c r="X267" s="304"/>
      <c r="Y267" s="631">
        <v>0.5</v>
      </c>
      <c r="Z267" s="315">
        <f>BM267/BM266</f>
        <v>1</v>
      </c>
      <c r="AA267" s="264">
        <v>4</v>
      </c>
      <c r="AB267" s="263" t="s">
        <v>114</v>
      </c>
      <c r="AC267" s="53"/>
      <c r="AD267" s="54"/>
      <c r="AE267" s="54"/>
      <c r="AF267" s="54"/>
      <c r="AG267" s="53"/>
      <c r="AH267" s="54"/>
      <c r="AI267" s="54"/>
      <c r="AJ267" s="54"/>
      <c r="AK267" s="57">
        <v>40000000</v>
      </c>
      <c r="AL267" s="55">
        <v>40000000</v>
      </c>
      <c r="AM267" s="58"/>
      <c r="AN267" s="58"/>
      <c r="AO267" s="57"/>
      <c r="AP267" s="58"/>
      <c r="AQ267" s="58"/>
      <c r="AR267" s="54"/>
      <c r="AS267" s="53"/>
      <c r="AT267" s="54"/>
      <c r="AU267" s="54"/>
      <c r="AV267" s="54"/>
      <c r="AW267" s="53"/>
      <c r="AX267" s="54"/>
      <c r="AY267" s="54"/>
      <c r="AZ267" s="54"/>
      <c r="BA267" s="53"/>
      <c r="BB267" s="54"/>
      <c r="BC267" s="54"/>
      <c r="BD267" s="54"/>
      <c r="BE267" s="53"/>
      <c r="BF267" s="54"/>
      <c r="BG267" s="54"/>
      <c r="BH267" s="54"/>
      <c r="BI267" s="53"/>
      <c r="BJ267" s="54"/>
      <c r="BK267" s="54"/>
      <c r="BL267" s="54"/>
      <c r="BM267" s="53">
        <f>+AC267+AG267+AK267+AO267+AS267+AW267+BA267+BE267+BI267</f>
        <v>40000000</v>
      </c>
      <c r="BN267" s="54">
        <f>AD267+AH267+AL267+AP267+AT267+AX267+BB267+BF267+BJ267</f>
        <v>40000000</v>
      </c>
      <c r="BO267" s="54">
        <f>AE267+AI267+AM267+AQ267+AU267+AY267+BC267+BG267+BK267</f>
        <v>0</v>
      </c>
      <c r="BP267" s="54">
        <f>AF267+AJ267+AN267+AR267+AV267+AZ267+BD267+BH267+BL267</f>
        <v>0</v>
      </c>
      <c r="BQ267" s="83"/>
      <c r="BR267" s="83"/>
      <c r="BS267" s="83"/>
      <c r="BT267" s="83"/>
      <c r="BU267" s="83"/>
      <c r="BV267" s="83"/>
      <c r="BW267" s="83"/>
      <c r="BX267" s="83"/>
      <c r="BY267" s="83"/>
      <c r="BZ267" s="83">
        <v>40000000</v>
      </c>
      <c r="CA267" s="82">
        <v>40000000</v>
      </c>
      <c r="CB267" s="82"/>
      <c r="CC267" s="82"/>
      <c r="CD267" s="82"/>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1">
        <f>BQ267+BU267+BZ267+CE267+CI267+CM267+CQ267+CV267+DA267</f>
        <v>40000000</v>
      </c>
      <c r="DF267" s="95">
        <f>BR267+BV267+CA267+CF267+CJ267+CN267+CR267+CW267+DB267</f>
        <v>40000000</v>
      </c>
      <c r="DG267" s="95">
        <f>BS267+BW267+CB267+CG267+CK267+CO267+CS267+CX267+DC267</f>
        <v>0</v>
      </c>
      <c r="DH267" s="95">
        <f>BT267+BX267+CC267+CH267+CL267+CP267+CT267+CY267+DD267</f>
        <v>0</v>
      </c>
      <c r="DI267" s="95"/>
      <c r="DJ267" s="83"/>
      <c r="DK267" s="82"/>
      <c r="DL267" s="83"/>
      <c r="DM267" s="83"/>
      <c r="DN267" s="83"/>
      <c r="DO267" s="83"/>
      <c r="DP267" s="83"/>
      <c r="DQ267" s="83"/>
      <c r="DR267" s="83"/>
      <c r="DS267" s="84">
        <v>30000000</v>
      </c>
      <c r="DT267" s="83">
        <v>29000000</v>
      </c>
      <c r="DU267" s="83"/>
      <c r="DV267" s="83"/>
      <c r="DW267" s="83"/>
      <c r="DX267" s="83"/>
      <c r="DY267" s="83"/>
      <c r="DZ267" s="83"/>
      <c r="EA267" s="83"/>
      <c r="EB267" s="83"/>
      <c r="EC267" s="83"/>
      <c r="ED267" s="83"/>
      <c r="EE267" s="83"/>
      <c r="EF267" s="83"/>
      <c r="EG267" s="83"/>
      <c r="EH267" s="83"/>
      <c r="EI267" s="83"/>
      <c r="EJ267" s="83"/>
      <c r="EK267" s="83"/>
      <c r="EL267" s="83"/>
      <c r="EM267" s="83"/>
      <c r="EN267" s="83"/>
      <c r="EO267" s="83"/>
      <c r="EP267" s="83"/>
      <c r="EQ267" s="83"/>
      <c r="ER267" s="83"/>
      <c r="ES267" s="83"/>
      <c r="ET267" s="83"/>
      <c r="EU267" s="83"/>
      <c r="EV267" s="83"/>
      <c r="EW267" s="81">
        <f>DJ267+DN267+DS267+DX267+EB267+EF267+EJ267+EN267+ES267</f>
        <v>30000000</v>
      </c>
      <c r="EX267" s="86">
        <f>DK267+DO267+DT267+DY267+EC267+EG267+EK267+EO267+ET267</f>
        <v>29000000</v>
      </c>
      <c r="EY267" s="86">
        <f>DL267+DP267+DU267+DZ267+ED267+EH267+EL267+EP267+EU267</f>
        <v>0</v>
      </c>
      <c r="EZ267" s="86">
        <f>DM267+DQ267+DV267+EA267+EE267+EI267+EM267+EQ267+EV267</f>
        <v>0</v>
      </c>
      <c r="FA267" s="176"/>
      <c r="FB267" s="83"/>
      <c r="FC267" s="84"/>
      <c r="FD267" s="84"/>
      <c r="FE267" s="84"/>
      <c r="FF267" s="140"/>
      <c r="FG267" s="83"/>
      <c r="FH267" s="83"/>
      <c r="FI267" s="83"/>
      <c r="FJ267" s="83"/>
      <c r="FK267" s="83"/>
      <c r="FL267" s="83">
        <v>30000000</v>
      </c>
      <c r="FM267" s="83">
        <v>18817998</v>
      </c>
      <c r="FN267" s="83">
        <v>11342000</v>
      </c>
      <c r="FO267" s="83">
        <v>11342000</v>
      </c>
      <c r="FP267" s="83"/>
      <c r="FQ267" s="83"/>
      <c r="FR267" s="83"/>
      <c r="FS267" s="83"/>
      <c r="FT267" s="83"/>
      <c r="FU267" s="83"/>
      <c r="FV267" s="83"/>
      <c r="FW267" s="83"/>
      <c r="FX267" s="83"/>
      <c r="FY267" s="83"/>
      <c r="FZ267" s="83"/>
      <c r="GA267" s="83"/>
      <c r="GB267" s="83"/>
      <c r="GC267" s="83"/>
      <c r="GD267" s="83"/>
      <c r="GE267" s="83"/>
      <c r="GF267" s="83"/>
      <c r="GG267" s="83"/>
      <c r="GH267" s="83"/>
      <c r="GI267" s="83"/>
      <c r="GJ267" s="83"/>
      <c r="GK267" s="83"/>
      <c r="GL267" s="83"/>
      <c r="GM267" s="83"/>
      <c r="GN267" s="83"/>
      <c r="GO267" s="83"/>
      <c r="GP267" s="83"/>
      <c r="GQ267" s="83"/>
      <c r="GR267" s="83"/>
      <c r="GS267" s="83"/>
      <c r="GT267" s="83"/>
      <c r="GU267" s="81">
        <f>FB267+FG267+FL267+FQ267+FV267+GA267+GF267+GK267+GP267</f>
        <v>30000000</v>
      </c>
      <c r="GV267" s="81">
        <f>GQ267+GL267+GG267+GB267+FW267+FR267+FM267+FH267+FC267</f>
        <v>18817998</v>
      </c>
      <c r="GW267" s="81">
        <f>GR267+GM267+GH267+GC267+FX267+FS267+FN267+FI267+FD267</f>
        <v>11342000</v>
      </c>
      <c r="GX267" s="81">
        <f>GS267+GN267+GI267+GD267+FY267+FT267+FO267+FJ267+FE267</f>
        <v>11342000</v>
      </c>
      <c r="GY267" s="673">
        <f>GT267+GO267+GJ267+GE267+FZ267+FU267+FP267+FK267+FF267</f>
        <v>0</v>
      </c>
      <c r="GZ267" s="67">
        <f>BM267+DE267+EW267+GU267</f>
        <v>140000000</v>
      </c>
    </row>
    <row r="268" spans="1:208" ht="24.75" customHeight="1" x14ac:dyDescent="0.2">
      <c r="A268" s="326"/>
      <c r="B268" s="234">
        <v>17</v>
      </c>
      <c r="C268" s="324" t="s">
        <v>641</v>
      </c>
      <c r="D268" s="236"/>
      <c r="E268" s="237"/>
      <c r="F268" s="236"/>
      <c r="G268" s="238"/>
      <c r="H268" s="238"/>
      <c r="I268" s="238"/>
      <c r="J268" s="238"/>
      <c r="K268" s="238"/>
      <c r="L268" s="238"/>
      <c r="M268" s="238"/>
      <c r="N268" s="238"/>
      <c r="O268" s="238"/>
      <c r="P268" s="238"/>
      <c r="Q268" s="238"/>
      <c r="R268" s="238"/>
      <c r="S268" s="238"/>
      <c r="T268" s="238"/>
      <c r="U268" s="238"/>
      <c r="V268" s="238"/>
      <c r="W268" s="238"/>
      <c r="X268" s="238"/>
      <c r="Y268" s="241"/>
      <c r="Z268" s="238"/>
      <c r="AA268" s="238"/>
      <c r="AB268" s="238"/>
      <c r="AC268" s="50">
        <f t="shared" ref="AC268:CN268" si="574">AC269+AC271+AC275+AC279</f>
        <v>0</v>
      </c>
      <c r="AD268" s="50">
        <f t="shared" si="574"/>
        <v>0</v>
      </c>
      <c r="AE268" s="50">
        <f t="shared" si="574"/>
        <v>0</v>
      </c>
      <c r="AF268" s="50">
        <f t="shared" si="574"/>
        <v>0</v>
      </c>
      <c r="AG268" s="50">
        <f t="shared" si="574"/>
        <v>0</v>
      </c>
      <c r="AH268" s="50">
        <f t="shared" si="574"/>
        <v>0</v>
      </c>
      <c r="AI268" s="50">
        <f t="shared" si="574"/>
        <v>0</v>
      </c>
      <c r="AJ268" s="50">
        <f t="shared" si="574"/>
        <v>0</v>
      </c>
      <c r="AK268" s="50">
        <f t="shared" si="574"/>
        <v>440000000</v>
      </c>
      <c r="AL268" s="50">
        <f t="shared" si="574"/>
        <v>715000000</v>
      </c>
      <c r="AM268" s="50">
        <f t="shared" si="574"/>
        <v>538627807</v>
      </c>
      <c r="AN268" s="50">
        <f t="shared" si="574"/>
        <v>538627807</v>
      </c>
      <c r="AO268" s="50">
        <f t="shared" si="574"/>
        <v>0</v>
      </c>
      <c r="AP268" s="50">
        <f t="shared" si="574"/>
        <v>0</v>
      </c>
      <c r="AQ268" s="50">
        <f t="shared" si="574"/>
        <v>0</v>
      </c>
      <c r="AR268" s="50">
        <f t="shared" si="574"/>
        <v>0</v>
      </c>
      <c r="AS268" s="50">
        <f t="shared" si="574"/>
        <v>0</v>
      </c>
      <c r="AT268" s="50">
        <f t="shared" si="574"/>
        <v>0</v>
      </c>
      <c r="AU268" s="50">
        <f t="shared" si="574"/>
        <v>0</v>
      </c>
      <c r="AV268" s="50">
        <f t="shared" si="574"/>
        <v>0</v>
      </c>
      <c r="AW268" s="50">
        <f t="shared" si="574"/>
        <v>0</v>
      </c>
      <c r="AX268" s="50">
        <f t="shared" si="574"/>
        <v>0</v>
      </c>
      <c r="AY268" s="50">
        <f t="shared" si="574"/>
        <v>0</v>
      </c>
      <c r="AZ268" s="50">
        <f t="shared" si="574"/>
        <v>0</v>
      </c>
      <c r="BA268" s="50">
        <f t="shared" si="574"/>
        <v>0</v>
      </c>
      <c r="BB268" s="50">
        <f t="shared" si="574"/>
        <v>0</v>
      </c>
      <c r="BC268" s="50">
        <f t="shared" si="574"/>
        <v>0</v>
      </c>
      <c r="BD268" s="50">
        <f t="shared" si="574"/>
        <v>0</v>
      </c>
      <c r="BE268" s="50">
        <f t="shared" si="574"/>
        <v>0</v>
      </c>
      <c r="BF268" s="50">
        <f t="shared" si="574"/>
        <v>0</v>
      </c>
      <c r="BG268" s="50">
        <f t="shared" si="574"/>
        <v>0</v>
      </c>
      <c r="BH268" s="50">
        <f t="shared" si="574"/>
        <v>0</v>
      </c>
      <c r="BI268" s="50">
        <f t="shared" si="574"/>
        <v>0</v>
      </c>
      <c r="BJ268" s="50">
        <f t="shared" si="574"/>
        <v>0</v>
      </c>
      <c r="BK268" s="50">
        <f t="shared" si="574"/>
        <v>0</v>
      </c>
      <c r="BL268" s="50">
        <f t="shared" si="574"/>
        <v>0</v>
      </c>
      <c r="BM268" s="50">
        <f t="shared" si="574"/>
        <v>440000000</v>
      </c>
      <c r="BN268" s="50">
        <f t="shared" si="574"/>
        <v>715000000</v>
      </c>
      <c r="BO268" s="50">
        <f t="shared" si="574"/>
        <v>538627807</v>
      </c>
      <c r="BP268" s="50">
        <f t="shared" si="574"/>
        <v>538627807</v>
      </c>
      <c r="BQ268" s="50">
        <f t="shared" si="574"/>
        <v>0</v>
      </c>
      <c r="BR268" s="50">
        <f t="shared" si="574"/>
        <v>0</v>
      </c>
      <c r="BS268" s="50">
        <f t="shared" si="574"/>
        <v>0</v>
      </c>
      <c r="BT268" s="50">
        <f t="shared" si="574"/>
        <v>0</v>
      </c>
      <c r="BU268" s="50">
        <f t="shared" si="574"/>
        <v>0</v>
      </c>
      <c r="BV268" s="50">
        <f t="shared" si="574"/>
        <v>360000000</v>
      </c>
      <c r="BW268" s="50">
        <f t="shared" si="574"/>
        <v>359990789.88</v>
      </c>
      <c r="BX268" s="50">
        <f t="shared" si="574"/>
        <v>359990789.88</v>
      </c>
      <c r="BY268" s="50">
        <f t="shared" si="574"/>
        <v>0</v>
      </c>
      <c r="BZ268" s="50">
        <f t="shared" si="574"/>
        <v>440000000</v>
      </c>
      <c r="CA268" s="50">
        <f t="shared" si="574"/>
        <v>640000000</v>
      </c>
      <c r="CB268" s="50">
        <f t="shared" si="574"/>
        <v>619515297</v>
      </c>
      <c r="CC268" s="50">
        <f t="shared" si="574"/>
        <v>509931620</v>
      </c>
      <c r="CD268" s="50">
        <f t="shared" si="574"/>
        <v>0</v>
      </c>
      <c r="CE268" s="50">
        <f t="shared" si="574"/>
        <v>0</v>
      </c>
      <c r="CF268" s="50">
        <f t="shared" si="574"/>
        <v>0</v>
      </c>
      <c r="CG268" s="50">
        <f t="shared" si="574"/>
        <v>0</v>
      </c>
      <c r="CH268" s="50">
        <f t="shared" si="574"/>
        <v>0</v>
      </c>
      <c r="CI268" s="50">
        <f t="shared" si="574"/>
        <v>0</v>
      </c>
      <c r="CJ268" s="50">
        <f t="shared" si="574"/>
        <v>0</v>
      </c>
      <c r="CK268" s="50">
        <f t="shared" si="574"/>
        <v>0</v>
      </c>
      <c r="CL268" s="50">
        <f t="shared" si="574"/>
        <v>0</v>
      </c>
      <c r="CM268" s="50">
        <f t="shared" si="574"/>
        <v>0</v>
      </c>
      <c r="CN268" s="50">
        <f t="shared" si="574"/>
        <v>0</v>
      </c>
      <c r="CO268" s="50">
        <f t="shared" ref="CO268:EV268" si="575">CO269+CO271+CO275+CO279</f>
        <v>0</v>
      </c>
      <c r="CP268" s="50">
        <f t="shared" si="575"/>
        <v>0</v>
      </c>
      <c r="CQ268" s="50">
        <f t="shared" si="575"/>
        <v>0</v>
      </c>
      <c r="CR268" s="50">
        <f t="shared" si="575"/>
        <v>0</v>
      </c>
      <c r="CS268" s="50">
        <f t="shared" si="575"/>
        <v>0</v>
      </c>
      <c r="CT268" s="50">
        <f t="shared" si="575"/>
        <v>0</v>
      </c>
      <c r="CU268" s="50">
        <f t="shared" si="575"/>
        <v>0</v>
      </c>
      <c r="CV268" s="50">
        <f t="shared" si="575"/>
        <v>0</v>
      </c>
      <c r="CW268" s="50">
        <f t="shared" si="575"/>
        <v>0</v>
      </c>
      <c r="CX268" s="50">
        <f t="shared" si="575"/>
        <v>0</v>
      </c>
      <c r="CY268" s="50">
        <f t="shared" si="575"/>
        <v>0</v>
      </c>
      <c r="CZ268" s="50">
        <f t="shared" si="575"/>
        <v>0</v>
      </c>
      <c r="DA268" s="50">
        <f t="shared" si="575"/>
        <v>0</v>
      </c>
      <c r="DB268" s="50">
        <f t="shared" si="575"/>
        <v>0</v>
      </c>
      <c r="DC268" s="50">
        <f t="shared" si="575"/>
        <v>0</v>
      </c>
      <c r="DD268" s="50">
        <f t="shared" si="575"/>
        <v>0</v>
      </c>
      <c r="DE268" s="50">
        <f t="shared" si="575"/>
        <v>440000000</v>
      </c>
      <c r="DF268" s="50">
        <f t="shared" si="575"/>
        <v>1000000000</v>
      </c>
      <c r="DG268" s="50">
        <f t="shared" si="575"/>
        <v>979506086.88</v>
      </c>
      <c r="DH268" s="50">
        <f t="shared" si="575"/>
        <v>869922409.88</v>
      </c>
      <c r="DI268" s="50">
        <f t="shared" si="575"/>
        <v>0</v>
      </c>
      <c r="DJ268" s="50">
        <f t="shared" si="575"/>
        <v>0</v>
      </c>
      <c r="DK268" s="50">
        <f t="shared" si="575"/>
        <v>0</v>
      </c>
      <c r="DL268" s="50">
        <f t="shared" si="575"/>
        <v>0</v>
      </c>
      <c r="DM268" s="50">
        <f t="shared" si="575"/>
        <v>0</v>
      </c>
      <c r="DN268" s="50">
        <f t="shared" si="575"/>
        <v>0</v>
      </c>
      <c r="DO268" s="50">
        <f t="shared" si="575"/>
        <v>350000000</v>
      </c>
      <c r="DP268" s="50">
        <f t="shared" si="575"/>
        <v>349999995</v>
      </c>
      <c r="DQ268" s="50">
        <f t="shared" si="575"/>
        <v>349999995</v>
      </c>
      <c r="DR268" s="50">
        <f t="shared" si="575"/>
        <v>0</v>
      </c>
      <c r="DS268" s="50">
        <f t="shared" si="575"/>
        <v>420000000</v>
      </c>
      <c r="DT268" s="50">
        <f t="shared" si="575"/>
        <v>646000000</v>
      </c>
      <c r="DU268" s="50">
        <f t="shared" si="575"/>
        <v>578888340.35000002</v>
      </c>
      <c r="DV268" s="50">
        <f t="shared" si="575"/>
        <v>565911588</v>
      </c>
      <c r="DW268" s="50">
        <f t="shared" si="575"/>
        <v>0</v>
      </c>
      <c r="DX268" s="50">
        <f t="shared" si="575"/>
        <v>0</v>
      </c>
      <c r="DY268" s="50">
        <f t="shared" si="575"/>
        <v>0</v>
      </c>
      <c r="DZ268" s="50">
        <f t="shared" si="575"/>
        <v>0</v>
      </c>
      <c r="EA268" s="50">
        <f t="shared" si="575"/>
        <v>0</v>
      </c>
      <c r="EB268" s="50">
        <f t="shared" si="575"/>
        <v>0</v>
      </c>
      <c r="EC268" s="50">
        <f t="shared" si="575"/>
        <v>0</v>
      </c>
      <c r="ED268" s="50">
        <f t="shared" si="575"/>
        <v>0</v>
      </c>
      <c r="EE268" s="50">
        <f t="shared" si="575"/>
        <v>0</v>
      </c>
      <c r="EF268" s="50">
        <f t="shared" si="575"/>
        <v>0</v>
      </c>
      <c r="EG268" s="50">
        <f t="shared" si="575"/>
        <v>0</v>
      </c>
      <c r="EH268" s="50">
        <f t="shared" si="575"/>
        <v>0</v>
      </c>
      <c r="EI268" s="50">
        <f t="shared" si="575"/>
        <v>0</v>
      </c>
      <c r="EJ268" s="50">
        <f t="shared" si="575"/>
        <v>0</v>
      </c>
      <c r="EK268" s="50">
        <f t="shared" si="575"/>
        <v>0</v>
      </c>
      <c r="EL268" s="50">
        <f t="shared" si="575"/>
        <v>0</v>
      </c>
      <c r="EM268" s="50">
        <f t="shared" si="575"/>
        <v>0</v>
      </c>
      <c r="EN268" s="50">
        <f t="shared" si="575"/>
        <v>0</v>
      </c>
      <c r="EO268" s="50">
        <f t="shared" si="575"/>
        <v>0</v>
      </c>
      <c r="EP268" s="50">
        <f t="shared" si="575"/>
        <v>0</v>
      </c>
      <c r="EQ268" s="50">
        <f t="shared" si="575"/>
        <v>0</v>
      </c>
      <c r="ER268" s="50">
        <f t="shared" si="575"/>
        <v>0</v>
      </c>
      <c r="ES268" s="50">
        <f t="shared" si="575"/>
        <v>0</v>
      </c>
      <c r="ET268" s="50">
        <f t="shared" si="575"/>
        <v>0</v>
      </c>
      <c r="EU268" s="50">
        <f t="shared" si="575"/>
        <v>0</v>
      </c>
      <c r="EV268" s="50">
        <f t="shared" si="575"/>
        <v>0</v>
      </c>
      <c r="EW268" s="50">
        <f t="shared" ref="EW268" si="576">EW269+EW271+EW275+EW279</f>
        <v>420000000</v>
      </c>
      <c r="EX268" s="50">
        <f t="shared" ref="EX268:GZ268" si="577">EX269+EX271+EX275+EX279</f>
        <v>996000000</v>
      </c>
      <c r="EY268" s="50">
        <f t="shared" si="577"/>
        <v>928888335.35000002</v>
      </c>
      <c r="EZ268" s="50">
        <f t="shared" si="577"/>
        <v>915911583</v>
      </c>
      <c r="FA268" s="50">
        <f t="shared" si="577"/>
        <v>0</v>
      </c>
      <c r="FB268" s="50">
        <f t="shared" si="577"/>
        <v>0</v>
      </c>
      <c r="FC268" s="50">
        <f t="shared" si="577"/>
        <v>0</v>
      </c>
      <c r="FD268" s="50">
        <f t="shared" si="577"/>
        <v>0</v>
      </c>
      <c r="FE268" s="50">
        <f t="shared" si="577"/>
        <v>0</v>
      </c>
      <c r="FF268" s="50">
        <f t="shared" si="577"/>
        <v>0</v>
      </c>
      <c r="FG268" s="50">
        <f t="shared" si="577"/>
        <v>0</v>
      </c>
      <c r="FH268" s="50">
        <f t="shared" si="577"/>
        <v>0</v>
      </c>
      <c r="FI268" s="50">
        <f t="shared" si="577"/>
        <v>0</v>
      </c>
      <c r="FJ268" s="50">
        <f t="shared" si="577"/>
        <v>0</v>
      </c>
      <c r="FK268" s="50">
        <f t="shared" si="577"/>
        <v>0</v>
      </c>
      <c r="FL268" s="50">
        <f t="shared" si="577"/>
        <v>410000000</v>
      </c>
      <c r="FM268" s="50">
        <f t="shared" si="577"/>
        <v>658250000</v>
      </c>
      <c r="FN268" s="50">
        <f t="shared" si="577"/>
        <v>431936575</v>
      </c>
      <c r="FO268" s="50">
        <f t="shared" si="577"/>
        <v>186896500</v>
      </c>
      <c r="FP268" s="50">
        <f t="shared" si="577"/>
        <v>4144109.3500000015</v>
      </c>
      <c r="FQ268" s="50">
        <f t="shared" si="577"/>
        <v>0</v>
      </c>
      <c r="FR268" s="50">
        <f t="shared" si="577"/>
        <v>0</v>
      </c>
      <c r="FS268" s="50">
        <f t="shared" si="577"/>
        <v>0</v>
      </c>
      <c r="FT268" s="50">
        <f t="shared" si="577"/>
        <v>0</v>
      </c>
      <c r="FU268" s="50">
        <f t="shared" si="577"/>
        <v>0</v>
      </c>
      <c r="FV268" s="50">
        <f t="shared" si="577"/>
        <v>0</v>
      </c>
      <c r="FW268" s="50">
        <f t="shared" si="577"/>
        <v>0</v>
      </c>
      <c r="FX268" s="50">
        <f t="shared" si="577"/>
        <v>0</v>
      </c>
      <c r="FY268" s="50">
        <f t="shared" si="577"/>
        <v>0</v>
      </c>
      <c r="FZ268" s="50">
        <f t="shared" si="577"/>
        <v>0</v>
      </c>
      <c r="GA268" s="50">
        <f t="shared" si="577"/>
        <v>0</v>
      </c>
      <c r="GB268" s="50">
        <f t="shared" si="577"/>
        <v>0</v>
      </c>
      <c r="GC268" s="50">
        <f t="shared" si="577"/>
        <v>0</v>
      </c>
      <c r="GD268" s="50">
        <f t="shared" si="577"/>
        <v>0</v>
      </c>
      <c r="GE268" s="50">
        <f t="shared" si="577"/>
        <v>0</v>
      </c>
      <c r="GF268" s="50">
        <f t="shared" si="577"/>
        <v>0</v>
      </c>
      <c r="GG268" s="50">
        <f t="shared" si="577"/>
        <v>0</v>
      </c>
      <c r="GH268" s="50">
        <f t="shared" si="577"/>
        <v>0</v>
      </c>
      <c r="GI268" s="50">
        <f t="shared" si="577"/>
        <v>0</v>
      </c>
      <c r="GJ268" s="50">
        <f t="shared" si="577"/>
        <v>0</v>
      </c>
      <c r="GK268" s="50">
        <f t="shared" si="577"/>
        <v>0</v>
      </c>
      <c r="GL268" s="50">
        <f t="shared" si="577"/>
        <v>0</v>
      </c>
      <c r="GM268" s="50">
        <f t="shared" si="577"/>
        <v>0</v>
      </c>
      <c r="GN268" s="50">
        <f t="shared" si="577"/>
        <v>0</v>
      </c>
      <c r="GO268" s="50">
        <f t="shared" si="577"/>
        <v>0</v>
      </c>
      <c r="GP268" s="50">
        <f t="shared" si="577"/>
        <v>0</v>
      </c>
      <c r="GQ268" s="50">
        <f t="shared" si="577"/>
        <v>0</v>
      </c>
      <c r="GR268" s="50">
        <f t="shared" si="577"/>
        <v>0</v>
      </c>
      <c r="GS268" s="50">
        <f t="shared" si="577"/>
        <v>0</v>
      </c>
      <c r="GT268" s="50">
        <f t="shared" si="577"/>
        <v>0</v>
      </c>
      <c r="GU268" s="50">
        <f t="shared" si="577"/>
        <v>410000000</v>
      </c>
      <c r="GV268" s="50">
        <f t="shared" si="577"/>
        <v>658250000</v>
      </c>
      <c r="GW268" s="50">
        <f t="shared" si="577"/>
        <v>431936575</v>
      </c>
      <c r="GX268" s="50">
        <f t="shared" si="577"/>
        <v>186896500</v>
      </c>
      <c r="GY268" s="50">
        <f t="shared" si="577"/>
        <v>4144109.3500000015</v>
      </c>
      <c r="GZ268" s="50">
        <f t="shared" si="577"/>
        <v>1710000000</v>
      </c>
    </row>
    <row r="269" spans="1:208" ht="24.75" customHeight="1" x14ac:dyDescent="0.2">
      <c r="A269" s="326"/>
      <c r="B269" s="993"/>
      <c r="C269" s="246">
        <v>58</v>
      </c>
      <c r="D269" s="247" t="s">
        <v>642</v>
      </c>
      <c r="E269" s="250"/>
      <c r="F269" s="250"/>
      <c r="G269" s="249"/>
      <c r="H269" s="249"/>
      <c r="I269" s="249"/>
      <c r="J269" s="249"/>
      <c r="K269" s="249"/>
      <c r="L269" s="249"/>
      <c r="M269" s="249"/>
      <c r="N269" s="249"/>
      <c r="O269" s="249"/>
      <c r="P269" s="249"/>
      <c r="Q269" s="249"/>
      <c r="R269" s="249"/>
      <c r="S269" s="249"/>
      <c r="T269" s="249"/>
      <c r="U269" s="249"/>
      <c r="V269" s="249"/>
      <c r="W269" s="249"/>
      <c r="X269" s="249"/>
      <c r="Y269" s="296"/>
      <c r="Z269" s="249"/>
      <c r="AA269" s="249"/>
      <c r="AB269" s="249"/>
      <c r="AC269" s="51">
        <f t="shared" ref="AC269:BL269" si="578">SUM(AC270)</f>
        <v>0</v>
      </c>
      <c r="AD269" s="51">
        <f t="shared" si="578"/>
        <v>0</v>
      </c>
      <c r="AE269" s="51">
        <f t="shared" si="578"/>
        <v>0</v>
      </c>
      <c r="AF269" s="51">
        <f t="shared" si="578"/>
        <v>0</v>
      </c>
      <c r="AG269" s="51">
        <f t="shared" si="578"/>
        <v>0</v>
      </c>
      <c r="AH269" s="51">
        <f t="shared" si="578"/>
        <v>0</v>
      </c>
      <c r="AI269" s="51">
        <f t="shared" si="578"/>
        <v>0</v>
      </c>
      <c r="AJ269" s="51">
        <f t="shared" si="578"/>
        <v>0</v>
      </c>
      <c r="AK269" s="51">
        <f t="shared" si="578"/>
        <v>90000000</v>
      </c>
      <c r="AL269" s="51">
        <f t="shared" si="578"/>
        <v>90000000</v>
      </c>
      <c r="AM269" s="51">
        <f t="shared" si="578"/>
        <v>27316666</v>
      </c>
      <c r="AN269" s="51">
        <f t="shared" si="578"/>
        <v>27316666</v>
      </c>
      <c r="AO269" s="51">
        <f t="shared" si="578"/>
        <v>0</v>
      </c>
      <c r="AP269" s="51">
        <f t="shared" si="578"/>
        <v>0</v>
      </c>
      <c r="AQ269" s="51">
        <f t="shared" si="578"/>
        <v>0</v>
      </c>
      <c r="AR269" s="51">
        <f t="shared" si="578"/>
        <v>0</v>
      </c>
      <c r="AS269" s="51">
        <f t="shared" si="578"/>
        <v>0</v>
      </c>
      <c r="AT269" s="51">
        <f t="shared" si="578"/>
        <v>0</v>
      </c>
      <c r="AU269" s="51">
        <f t="shared" si="578"/>
        <v>0</v>
      </c>
      <c r="AV269" s="51">
        <f t="shared" si="578"/>
        <v>0</v>
      </c>
      <c r="AW269" s="51">
        <f t="shared" si="578"/>
        <v>0</v>
      </c>
      <c r="AX269" s="51">
        <f t="shared" si="578"/>
        <v>0</v>
      </c>
      <c r="AY269" s="51">
        <f t="shared" si="578"/>
        <v>0</v>
      </c>
      <c r="AZ269" s="51">
        <f t="shared" si="578"/>
        <v>0</v>
      </c>
      <c r="BA269" s="51">
        <f t="shared" si="578"/>
        <v>0</v>
      </c>
      <c r="BB269" s="51">
        <f t="shared" si="578"/>
        <v>0</v>
      </c>
      <c r="BC269" s="51">
        <f t="shared" si="578"/>
        <v>0</v>
      </c>
      <c r="BD269" s="51">
        <f t="shared" si="578"/>
        <v>0</v>
      </c>
      <c r="BE269" s="51">
        <f t="shared" si="578"/>
        <v>0</v>
      </c>
      <c r="BF269" s="51">
        <f t="shared" si="578"/>
        <v>0</v>
      </c>
      <c r="BG269" s="51">
        <f t="shared" si="578"/>
        <v>0</v>
      </c>
      <c r="BH269" s="51">
        <f t="shared" si="578"/>
        <v>0</v>
      </c>
      <c r="BI269" s="51">
        <f t="shared" si="578"/>
        <v>0</v>
      </c>
      <c r="BJ269" s="51">
        <f t="shared" si="578"/>
        <v>0</v>
      </c>
      <c r="BK269" s="51">
        <f t="shared" si="578"/>
        <v>0</v>
      </c>
      <c r="BL269" s="51">
        <f t="shared" si="578"/>
        <v>0</v>
      </c>
      <c r="BM269" s="51">
        <f t="shared" ref="BM269:DX269" si="579">SUM(BM270)</f>
        <v>90000000</v>
      </c>
      <c r="BN269" s="51">
        <f t="shared" si="579"/>
        <v>90000000</v>
      </c>
      <c r="BO269" s="51">
        <f t="shared" si="579"/>
        <v>27316666</v>
      </c>
      <c r="BP269" s="51">
        <f t="shared" si="579"/>
        <v>27316666</v>
      </c>
      <c r="BQ269" s="51">
        <f t="shared" si="579"/>
        <v>0</v>
      </c>
      <c r="BR269" s="51">
        <f t="shared" si="579"/>
        <v>0</v>
      </c>
      <c r="BS269" s="51">
        <f t="shared" si="579"/>
        <v>0</v>
      </c>
      <c r="BT269" s="51">
        <f t="shared" si="579"/>
        <v>0</v>
      </c>
      <c r="BU269" s="51">
        <f t="shared" si="579"/>
        <v>0</v>
      </c>
      <c r="BV269" s="51">
        <f t="shared" si="579"/>
        <v>0</v>
      </c>
      <c r="BW269" s="51">
        <f t="shared" si="579"/>
        <v>0</v>
      </c>
      <c r="BX269" s="51">
        <f t="shared" si="579"/>
        <v>0</v>
      </c>
      <c r="BY269" s="51">
        <f t="shared" si="579"/>
        <v>0</v>
      </c>
      <c r="BZ269" s="51">
        <f t="shared" si="579"/>
        <v>80000000</v>
      </c>
      <c r="CA269" s="51">
        <f t="shared" si="579"/>
        <v>180000000</v>
      </c>
      <c r="CB269" s="51">
        <f t="shared" si="579"/>
        <v>180000000</v>
      </c>
      <c r="CC269" s="51">
        <f t="shared" si="579"/>
        <v>74000000</v>
      </c>
      <c r="CD269" s="51">
        <f t="shared" si="579"/>
        <v>0</v>
      </c>
      <c r="CE269" s="51">
        <f t="shared" si="579"/>
        <v>0</v>
      </c>
      <c r="CF269" s="51">
        <f t="shared" si="579"/>
        <v>0</v>
      </c>
      <c r="CG269" s="51">
        <f t="shared" si="579"/>
        <v>0</v>
      </c>
      <c r="CH269" s="51">
        <f t="shared" si="579"/>
        <v>0</v>
      </c>
      <c r="CI269" s="51">
        <f t="shared" si="579"/>
        <v>0</v>
      </c>
      <c r="CJ269" s="51">
        <f t="shared" si="579"/>
        <v>0</v>
      </c>
      <c r="CK269" s="51">
        <f t="shared" si="579"/>
        <v>0</v>
      </c>
      <c r="CL269" s="51">
        <f t="shared" si="579"/>
        <v>0</v>
      </c>
      <c r="CM269" s="51">
        <f t="shared" si="579"/>
        <v>0</v>
      </c>
      <c r="CN269" s="51">
        <f t="shared" si="579"/>
        <v>0</v>
      </c>
      <c r="CO269" s="51">
        <f t="shared" si="579"/>
        <v>0</v>
      </c>
      <c r="CP269" s="51">
        <f t="shared" si="579"/>
        <v>0</v>
      </c>
      <c r="CQ269" s="51">
        <f t="shared" si="579"/>
        <v>0</v>
      </c>
      <c r="CR269" s="51">
        <f t="shared" si="579"/>
        <v>0</v>
      </c>
      <c r="CS269" s="51">
        <f t="shared" si="579"/>
        <v>0</v>
      </c>
      <c r="CT269" s="51">
        <f t="shared" si="579"/>
        <v>0</v>
      </c>
      <c r="CU269" s="51">
        <f t="shared" si="579"/>
        <v>0</v>
      </c>
      <c r="CV269" s="51">
        <f t="shared" si="579"/>
        <v>0</v>
      </c>
      <c r="CW269" s="51">
        <f t="shared" si="579"/>
        <v>0</v>
      </c>
      <c r="CX269" s="51">
        <f t="shared" si="579"/>
        <v>0</v>
      </c>
      <c r="CY269" s="51">
        <f t="shared" si="579"/>
        <v>0</v>
      </c>
      <c r="CZ269" s="51">
        <f t="shared" si="579"/>
        <v>0</v>
      </c>
      <c r="DA269" s="51">
        <f t="shared" si="579"/>
        <v>0</v>
      </c>
      <c r="DB269" s="51">
        <f t="shared" si="579"/>
        <v>0</v>
      </c>
      <c r="DC269" s="51">
        <f t="shared" si="579"/>
        <v>0</v>
      </c>
      <c r="DD269" s="51">
        <f t="shared" si="579"/>
        <v>0</v>
      </c>
      <c r="DE269" s="51">
        <f t="shared" si="579"/>
        <v>80000000</v>
      </c>
      <c r="DF269" s="51">
        <f t="shared" si="579"/>
        <v>180000000</v>
      </c>
      <c r="DG269" s="51">
        <f t="shared" si="579"/>
        <v>180000000</v>
      </c>
      <c r="DH269" s="51">
        <f t="shared" si="579"/>
        <v>74000000</v>
      </c>
      <c r="DI269" s="51">
        <f t="shared" si="579"/>
        <v>0</v>
      </c>
      <c r="DJ269" s="51">
        <f t="shared" si="579"/>
        <v>0</v>
      </c>
      <c r="DK269" s="51">
        <f t="shared" si="579"/>
        <v>0</v>
      </c>
      <c r="DL269" s="51">
        <f t="shared" si="579"/>
        <v>0</v>
      </c>
      <c r="DM269" s="51">
        <f t="shared" si="579"/>
        <v>0</v>
      </c>
      <c r="DN269" s="51">
        <f t="shared" si="579"/>
        <v>0</v>
      </c>
      <c r="DO269" s="51">
        <f t="shared" si="579"/>
        <v>0</v>
      </c>
      <c r="DP269" s="51">
        <f t="shared" si="579"/>
        <v>0</v>
      </c>
      <c r="DQ269" s="51">
        <f t="shared" si="579"/>
        <v>0</v>
      </c>
      <c r="DR269" s="51">
        <f t="shared" si="579"/>
        <v>0</v>
      </c>
      <c r="DS269" s="51">
        <f t="shared" si="579"/>
        <v>70000000</v>
      </c>
      <c r="DT269" s="51">
        <f t="shared" si="579"/>
        <v>185000000</v>
      </c>
      <c r="DU269" s="51">
        <f t="shared" si="579"/>
        <v>149597799</v>
      </c>
      <c r="DV269" s="51">
        <f t="shared" si="579"/>
        <v>144022049</v>
      </c>
      <c r="DW269" s="51">
        <f t="shared" si="579"/>
        <v>0</v>
      </c>
      <c r="DX269" s="51">
        <f t="shared" si="579"/>
        <v>0</v>
      </c>
      <c r="DY269" s="51">
        <f t="shared" ref="DY269:EW269" si="580">SUM(DY270)</f>
        <v>0</v>
      </c>
      <c r="DZ269" s="51">
        <f t="shared" si="580"/>
        <v>0</v>
      </c>
      <c r="EA269" s="51">
        <f t="shared" si="580"/>
        <v>0</v>
      </c>
      <c r="EB269" s="51">
        <f t="shared" si="580"/>
        <v>0</v>
      </c>
      <c r="EC269" s="51">
        <f t="shared" si="580"/>
        <v>0</v>
      </c>
      <c r="ED269" s="51">
        <f t="shared" si="580"/>
        <v>0</v>
      </c>
      <c r="EE269" s="51">
        <f t="shared" si="580"/>
        <v>0</v>
      </c>
      <c r="EF269" s="51">
        <f t="shared" si="580"/>
        <v>0</v>
      </c>
      <c r="EG269" s="51">
        <f t="shared" si="580"/>
        <v>0</v>
      </c>
      <c r="EH269" s="51">
        <f t="shared" si="580"/>
        <v>0</v>
      </c>
      <c r="EI269" s="51">
        <f t="shared" si="580"/>
        <v>0</v>
      </c>
      <c r="EJ269" s="51">
        <f t="shared" si="580"/>
        <v>0</v>
      </c>
      <c r="EK269" s="51">
        <f t="shared" si="580"/>
        <v>0</v>
      </c>
      <c r="EL269" s="51">
        <f t="shared" si="580"/>
        <v>0</v>
      </c>
      <c r="EM269" s="51">
        <f t="shared" si="580"/>
        <v>0</v>
      </c>
      <c r="EN269" s="51">
        <f t="shared" si="580"/>
        <v>0</v>
      </c>
      <c r="EO269" s="51">
        <f t="shared" si="580"/>
        <v>0</v>
      </c>
      <c r="EP269" s="51">
        <f t="shared" si="580"/>
        <v>0</v>
      </c>
      <c r="EQ269" s="51">
        <f t="shared" si="580"/>
        <v>0</v>
      </c>
      <c r="ER269" s="51">
        <f t="shared" si="580"/>
        <v>0</v>
      </c>
      <c r="ES269" s="51">
        <f t="shared" si="580"/>
        <v>0</v>
      </c>
      <c r="ET269" s="51">
        <f t="shared" si="580"/>
        <v>0</v>
      </c>
      <c r="EU269" s="51">
        <f t="shared" si="580"/>
        <v>0</v>
      </c>
      <c r="EV269" s="51">
        <f t="shared" si="580"/>
        <v>0</v>
      </c>
      <c r="EW269" s="51">
        <f t="shared" si="580"/>
        <v>70000000</v>
      </c>
      <c r="EX269" s="51">
        <f t="shared" ref="EX269:GZ269" si="581">SUM(EX270)</f>
        <v>185000000</v>
      </c>
      <c r="EY269" s="51">
        <f t="shared" si="581"/>
        <v>149597799</v>
      </c>
      <c r="EZ269" s="51">
        <f t="shared" si="581"/>
        <v>144022049</v>
      </c>
      <c r="FA269" s="51">
        <f t="shared" si="581"/>
        <v>0</v>
      </c>
      <c r="FB269" s="51">
        <f t="shared" si="581"/>
        <v>0</v>
      </c>
      <c r="FC269" s="51">
        <f t="shared" si="581"/>
        <v>0</v>
      </c>
      <c r="FD269" s="51">
        <f t="shared" si="581"/>
        <v>0</v>
      </c>
      <c r="FE269" s="51">
        <f t="shared" si="581"/>
        <v>0</v>
      </c>
      <c r="FF269" s="51">
        <f t="shared" si="581"/>
        <v>0</v>
      </c>
      <c r="FG269" s="51">
        <f t="shared" si="581"/>
        <v>0</v>
      </c>
      <c r="FH269" s="51">
        <f t="shared" si="581"/>
        <v>0</v>
      </c>
      <c r="FI269" s="51">
        <f t="shared" si="581"/>
        <v>0</v>
      </c>
      <c r="FJ269" s="51">
        <f t="shared" si="581"/>
        <v>0</v>
      </c>
      <c r="FK269" s="51">
        <f t="shared" si="581"/>
        <v>0</v>
      </c>
      <c r="FL269" s="51">
        <f t="shared" si="581"/>
        <v>60000000</v>
      </c>
      <c r="FM269" s="51">
        <f t="shared" si="581"/>
        <v>178850000</v>
      </c>
      <c r="FN269" s="51">
        <f t="shared" si="581"/>
        <v>131072850</v>
      </c>
      <c r="FO269" s="51">
        <f t="shared" si="581"/>
        <v>69365500</v>
      </c>
      <c r="FP269" s="51">
        <f t="shared" si="581"/>
        <v>0</v>
      </c>
      <c r="FQ269" s="51">
        <f t="shared" si="581"/>
        <v>0</v>
      </c>
      <c r="FR269" s="51">
        <f t="shared" si="581"/>
        <v>0</v>
      </c>
      <c r="FS269" s="51">
        <f t="shared" si="581"/>
        <v>0</v>
      </c>
      <c r="FT269" s="51">
        <f t="shared" si="581"/>
        <v>0</v>
      </c>
      <c r="FU269" s="51">
        <f t="shared" si="581"/>
        <v>0</v>
      </c>
      <c r="FV269" s="51">
        <f t="shared" si="581"/>
        <v>0</v>
      </c>
      <c r="FW269" s="51">
        <f t="shared" si="581"/>
        <v>0</v>
      </c>
      <c r="FX269" s="51">
        <f t="shared" si="581"/>
        <v>0</v>
      </c>
      <c r="FY269" s="51">
        <f t="shared" si="581"/>
        <v>0</v>
      </c>
      <c r="FZ269" s="51">
        <f t="shared" si="581"/>
        <v>0</v>
      </c>
      <c r="GA269" s="51">
        <f t="shared" si="581"/>
        <v>0</v>
      </c>
      <c r="GB269" s="51">
        <f t="shared" si="581"/>
        <v>0</v>
      </c>
      <c r="GC269" s="51">
        <f t="shared" si="581"/>
        <v>0</v>
      </c>
      <c r="GD269" s="51">
        <f t="shared" si="581"/>
        <v>0</v>
      </c>
      <c r="GE269" s="51">
        <f t="shared" si="581"/>
        <v>0</v>
      </c>
      <c r="GF269" s="51">
        <f t="shared" si="581"/>
        <v>0</v>
      </c>
      <c r="GG269" s="51">
        <f t="shared" si="581"/>
        <v>0</v>
      </c>
      <c r="GH269" s="51">
        <f t="shared" si="581"/>
        <v>0</v>
      </c>
      <c r="GI269" s="51">
        <f t="shared" si="581"/>
        <v>0</v>
      </c>
      <c r="GJ269" s="51">
        <f t="shared" si="581"/>
        <v>0</v>
      </c>
      <c r="GK269" s="51">
        <f t="shared" si="581"/>
        <v>0</v>
      </c>
      <c r="GL269" s="51">
        <f t="shared" si="581"/>
        <v>0</v>
      </c>
      <c r="GM269" s="51">
        <f t="shared" si="581"/>
        <v>0</v>
      </c>
      <c r="GN269" s="51">
        <f t="shared" si="581"/>
        <v>0</v>
      </c>
      <c r="GO269" s="51">
        <f t="shared" si="581"/>
        <v>0</v>
      </c>
      <c r="GP269" s="51">
        <f t="shared" si="581"/>
        <v>0</v>
      </c>
      <c r="GQ269" s="51">
        <f t="shared" si="581"/>
        <v>0</v>
      </c>
      <c r="GR269" s="51">
        <f t="shared" si="581"/>
        <v>0</v>
      </c>
      <c r="GS269" s="51">
        <f t="shared" si="581"/>
        <v>0</v>
      </c>
      <c r="GT269" s="51">
        <f t="shared" si="581"/>
        <v>0</v>
      </c>
      <c r="GU269" s="51">
        <f t="shared" si="581"/>
        <v>60000000</v>
      </c>
      <c r="GV269" s="51">
        <f t="shared" si="581"/>
        <v>178850000</v>
      </c>
      <c r="GW269" s="51">
        <f t="shared" si="581"/>
        <v>131072850</v>
      </c>
      <c r="GX269" s="51">
        <f t="shared" si="581"/>
        <v>69365500</v>
      </c>
      <c r="GY269" s="51">
        <f t="shared" si="581"/>
        <v>0</v>
      </c>
      <c r="GZ269" s="51">
        <f t="shared" si="581"/>
        <v>300000000</v>
      </c>
    </row>
    <row r="270" spans="1:208" ht="93.75" customHeight="1" x14ac:dyDescent="0.2">
      <c r="A270" s="326"/>
      <c r="B270" s="326"/>
      <c r="C270" s="288">
        <v>22</v>
      </c>
      <c r="D270" s="501" t="s">
        <v>242</v>
      </c>
      <c r="E270" s="1021" t="s">
        <v>243</v>
      </c>
      <c r="F270" s="361" t="s">
        <v>247</v>
      </c>
      <c r="G270" s="265">
        <v>183</v>
      </c>
      <c r="H270" s="358" t="s">
        <v>643</v>
      </c>
      <c r="I270" s="275" t="s">
        <v>644</v>
      </c>
      <c r="J270" s="262" t="s">
        <v>636</v>
      </c>
      <c r="K270" s="262">
        <v>14</v>
      </c>
      <c r="L270" s="304" t="s">
        <v>58</v>
      </c>
      <c r="M270" s="288">
        <v>0</v>
      </c>
      <c r="N270" s="288">
        <v>1</v>
      </c>
      <c r="O270" s="259">
        <v>1</v>
      </c>
      <c r="P270" s="523">
        <v>0.3</v>
      </c>
      <c r="Q270" s="462">
        <v>1</v>
      </c>
      <c r="R270" s="268"/>
      <c r="S270" s="389">
        <v>1</v>
      </c>
      <c r="T270" s="288">
        <v>1</v>
      </c>
      <c r="U270" s="288"/>
      <c r="V270" s="389">
        <v>0.9</v>
      </c>
      <c r="W270" s="288">
        <v>1</v>
      </c>
      <c r="X270" s="304"/>
      <c r="Y270" s="631">
        <v>0.5</v>
      </c>
      <c r="Z270" s="390">
        <f>BM267/BM266</f>
        <v>1</v>
      </c>
      <c r="AA270" s="264">
        <v>10</v>
      </c>
      <c r="AB270" s="263" t="s">
        <v>389</v>
      </c>
      <c r="AC270" s="56"/>
      <c r="AD270" s="55"/>
      <c r="AE270" s="54"/>
      <c r="AF270" s="54"/>
      <c r="AG270" s="56"/>
      <c r="AH270" s="55"/>
      <c r="AI270" s="55"/>
      <c r="AJ270" s="55"/>
      <c r="AK270" s="57">
        <f>73000000+17000000</f>
        <v>90000000</v>
      </c>
      <c r="AL270" s="58">
        <v>90000000</v>
      </c>
      <c r="AM270" s="55">
        <v>27316666</v>
      </c>
      <c r="AN270" s="55">
        <v>27316666</v>
      </c>
      <c r="AO270" s="57"/>
      <c r="AP270" s="58"/>
      <c r="AQ270" s="58"/>
      <c r="AR270" s="55"/>
      <c r="AS270" s="56"/>
      <c r="AT270" s="55"/>
      <c r="AU270" s="54"/>
      <c r="AV270" s="54"/>
      <c r="AW270" s="56"/>
      <c r="AX270" s="55"/>
      <c r="AY270" s="55"/>
      <c r="AZ270" s="55"/>
      <c r="BA270" s="56"/>
      <c r="BB270" s="55"/>
      <c r="BC270" s="55"/>
      <c r="BD270" s="55"/>
      <c r="BE270" s="56"/>
      <c r="BF270" s="55"/>
      <c r="BG270" s="54"/>
      <c r="BH270" s="54"/>
      <c r="BI270" s="56"/>
      <c r="BJ270" s="55"/>
      <c r="BK270" s="55"/>
      <c r="BL270" s="55"/>
      <c r="BM270" s="53">
        <f>+AC270+AG270+AK270+AO270+AS270+AW270+BA270+BE270+BI270</f>
        <v>90000000</v>
      </c>
      <c r="BN270" s="54">
        <f>AD270+AH270+AL270+AP270+AT270+AX270+BB270+BF270+BJ270</f>
        <v>90000000</v>
      </c>
      <c r="BO270" s="54">
        <f>AE270+AI270+AM270+AQ270+AU270+AY270+BC270+BG270+BK270</f>
        <v>27316666</v>
      </c>
      <c r="BP270" s="54">
        <f>AF270+AJ270+AN270+AR270+AV270+AZ270+BD270+BH270+BL270</f>
        <v>27316666</v>
      </c>
      <c r="BQ270" s="83"/>
      <c r="BR270" s="83"/>
      <c r="BS270" s="83"/>
      <c r="BT270" s="83"/>
      <c r="BU270" s="83"/>
      <c r="BV270" s="83"/>
      <c r="BW270" s="83"/>
      <c r="BX270" s="83"/>
      <c r="BY270" s="83"/>
      <c r="BZ270" s="84">
        <v>80000000</v>
      </c>
      <c r="CA270" s="83">
        <v>180000000</v>
      </c>
      <c r="CB270" s="83">
        <v>180000000</v>
      </c>
      <c r="CC270" s="83">
        <v>74000000</v>
      </c>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1">
        <f>BQ270+BU270+BZ270+CE270+CI270+CM270+CQ270+CV270+DA270</f>
        <v>80000000</v>
      </c>
      <c r="DF270" s="95">
        <f>BR270+BV270+CA270+CF270+CJ270+CN270+CR270+CW270+DB270</f>
        <v>180000000</v>
      </c>
      <c r="DG270" s="95">
        <f>BS270+BW270+CB270+CG270+CK270+CO270+CS270+CX270+DC270</f>
        <v>180000000</v>
      </c>
      <c r="DH270" s="95">
        <f>BT270+BX270+CC270+CH270+CL270+CP270+CT270+CY270+DD270</f>
        <v>74000000</v>
      </c>
      <c r="DI270" s="95"/>
      <c r="DJ270" s="84"/>
      <c r="DK270" s="65"/>
      <c r="DL270" s="84"/>
      <c r="DM270" s="84"/>
      <c r="DN270" s="84"/>
      <c r="DO270" s="84"/>
      <c r="DP270" s="84"/>
      <c r="DQ270" s="84"/>
      <c r="DR270" s="84"/>
      <c r="DS270" s="84">
        <v>70000000</v>
      </c>
      <c r="DT270" s="84">
        <v>185000000</v>
      </c>
      <c r="DU270" s="84">
        <v>149597799</v>
      </c>
      <c r="DV270" s="84">
        <v>144022049</v>
      </c>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3"/>
      <c r="EU270" s="83"/>
      <c r="EV270" s="83"/>
      <c r="EW270" s="81">
        <f>DJ270+DN270+DS270+DX270+EB270+EF270+EJ270+EN270+ES270</f>
        <v>70000000</v>
      </c>
      <c r="EX270" s="86">
        <f>DK270+DO270+DT270+DY270+EC270+EG270+EK270+EO270+ET270</f>
        <v>185000000</v>
      </c>
      <c r="EY270" s="86">
        <f>DL270+DP270+DU270+DZ270+ED270+EH270+EL270+EP270+EU270</f>
        <v>149597799</v>
      </c>
      <c r="EZ270" s="86">
        <f>DM270+DQ270+DV270+EA270+EE270+EI270+EM270+EQ270+EV270</f>
        <v>144022049</v>
      </c>
      <c r="FA270" s="176"/>
      <c r="FB270" s="83"/>
      <c r="FC270" s="84"/>
      <c r="FD270" s="84"/>
      <c r="FE270" s="84"/>
      <c r="FF270" s="140"/>
      <c r="FG270" s="83"/>
      <c r="FH270" s="83"/>
      <c r="FI270" s="83"/>
      <c r="FJ270" s="83"/>
      <c r="FK270" s="83"/>
      <c r="FL270" s="83">
        <v>60000000</v>
      </c>
      <c r="FM270" s="83">
        <v>178850000</v>
      </c>
      <c r="FN270" s="83">
        <v>131072850</v>
      </c>
      <c r="FO270" s="83">
        <v>69365500</v>
      </c>
      <c r="FP270" s="83"/>
      <c r="FQ270" s="83"/>
      <c r="FR270" s="83"/>
      <c r="FS270" s="83"/>
      <c r="FT270" s="83"/>
      <c r="FU270" s="83"/>
      <c r="FV270" s="83"/>
      <c r="FW270" s="83"/>
      <c r="FX270" s="83"/>
      <c r="FY270" s="83"/>
      <c r="FZ270" s="83"/>
      <c r="GA270" s="83"/>
      <c r="GB270" s="83"/>
      <c r="GC270" s="83"/>
      <c r="GD270" s="83"/>
      <c r="GE270" s="83"/>
      <c r="GF270" s="83"/>
      <c r="GG270" s="83"/>
      <c r="GH270" s="83"/>
      <c r="GI270" s="83"/>
      <c r="GJ270" s="83"/>
      <c r="GK270" s="83"/>
      <c r="GL270" s="83"/>
      <c r="GM270" s="83"/>
      <c r="GN270" s="83"/>
      <c r="GO270" s="83"/>
      <c r="GP270" s="83"/>
      <c r="GQ270" s="83"/>
      <c r="GR270" s="83"/>
      <c r="GS270" s="83"/>
      <c r="GT270" s="83"/>
      <c r="GU270" s="81">
        <f>FB270+FG270+FL270+FQ270+FV270+GA270+GF270+GK270+GP270</f>
        <v>60000000</v>
      </c>
      <c r="GV270" s="81">
        <f>GQ270+GL270+GG270+GB270+FW270+FR270+FM270+FH270+FC270</f>
        <v>178850000</v>
      </c>
      <c r="GW270" s="81">
        <f>GR270+GM270+GH270+GC270+FX270+FS270+FN270+FI270+FD270</f>
        <v>131072850</v>
      </c>
      <c r="GX270" s="81">
        <f>GS270+GN270+GI270+GD270+FY270+FT270+FO270+FJ270+FE270</f>
        <v>69365500</v>
      </c>
      <c r="GY270" s="673">
        <f>GT270+GO270+GJ270+GE270+FZ270+FU270+FP270+FK270+FF270</f>
        <v>0</v>
      </c>
      <c r="GZ270" s="67">
        <f>BM270+DE270+EW270+GU270</f>
        <v>300000000</v>
      </c>
    </row>
    <row r="271" spans="1:208" ht="24.75" customHeight="1" x14ac:dyDescent="0.2">
      <c r="A271" s="326"/>
      <c r="B271" s="326"/>
      <c r="C271" s="246">
        <v>59</v>
      </c>
      <c r="D271" s="1027" t="s">
        <v>645</v>
      </c>
      <c r="E271" s="1027"/>
      <c r="F271" s="1020"/>
      <c r="G271" s="249"/>
      <c r="H271" s="249"/>
      <c r="I271" s="249"/>
      <c r="J271" s="249"/>
      <c r="K271" s="249"/>
      <c r="L271" s="249"/>
      <c r="M271" s="249"/>
      <c r="N271" s="249"/>
      <c r="O271" s="249"/>
      <c r="P271" s="249"/>
      <c r="Q271" s="249"/>
      <c r="R271" s="249"/>
      <c r="S271" s="249"/>
      <c r="T271" s="249"/>
      <c r="U271" s="249"/>
      <c r="V271" s="249"/>
      <c r="W271" s="249"/>
      <c r="X271" s="249"/>
      <c r="Y271" s="296"/>
      <c r="Z271" s="249"/>
      <c r="AA271" s="249"/>
      <c r="AB271" s="249"/>
      <c r="AC271" s="51">
        <f t="shared" ref="AC271:BL271" si="582">SUM(AC272:AC274)</f>
        <v>0</v>
      </c>
      <c r="AD271" s="51">
        <f t="shared" si="582"/>
        <v>0</v>
      </c>
      <c r="AE271" s="51">
        <f t="shared" si="582"/>
        <v>0</v>
      </c>
      <c r="AF271" s="51">
        <f t="shared" si="582"/>
        <v>0</v>
      </c>
      <c r="AG271" s="51">
        <f t="shared" si="582"/>
        <v>0</v>
      </c>
      <c r="AH271" s="51">
        <f t="shared" si="582"/>
        <v>0</v>
      </c>
      <c r="AI271" s="51">
        <f t="shared" si="582"/>
        <v>0</v>
      </c>
      <c r="AJ271" s="51">
        <f t="shared" si="582"/>
        <v>0</v>
      </c>
      <c r="AK271" s="51">
        <f t="shared" si="582"/>
        <v>70000000</v>
      </c>
      <c r="AL271" s="51">
        <f t="shared" si="582"/>
        <v>270000000</v>
      </c>
      <c r="AM271" s="51">
        <f t="shared" si="582"/>
        <v>266665817</v>
      </c>
      <c r="AN271" s="51">
        <f t="shared" si="582"/>
        <v>266665817</v>
      </c>
      <c r="AO271" s="51">
        <f t="shared" si="582"/>
        <v>0</v>
      </c>
      <c r="AP271" s="51">
        <f t="shared" si="582"/>
        <v>0</v>
      </c>
      <c r="AQ271" s="51">
        <f t="shared" si="582"/>
        <v>0</v>
      </c>
      <c r="AR271" s="51">
        <f t="shared" si="582"/>
        <v>0</v>
      </c>
      <c r="AS271" s="51">
        <f t="shared" si="582"/>
        <v>0</v>
      </c>
      <c r="AT271" s="51">
        <f t="shared" si="582"/>
        <v>0</v>
      </c>
      <c r="AU271" s="51">
        <f t="shared" si="582"/>
        <v>0</v>
      </c>
      <c r="AV271" s="51">
        <f t="shared" si="582"/>
        <v>0</v>
      </c>
      <c r="AW271" s="51">
        <f t="shared" si="582"/>
        <v>0</v>
      </c>
      <c r="AX271" s="51">
        <f t="shared" si="582"/>
        <v>0</v>
      </c>
      <c r="AY271" s="51">
        <f t="shared" si="582"/>
        <v>0</v>
      </c>
      <c r="AZ271" s="51">
        <f t="shared" si="582"/>
        <v>0</v>
      </c>
      <c r="BA271" s="51">
        <f t="shared" si="582"/>
        <v>0</v>
      </c>
      <c r="BB271" s="51">
        <f t="shared" si="582"/>
        <v>0</v>
      </c>
      <c r="BC271" s="51">
        <f t="shared" si="582"/>
        <v>0</v>
      </c>
      <c r="BD271" s="51">
        <f t="shared" si="582"/>
        <v>0</v>
      </c>
      <c r="BE271" s="51">
        <f t="shared" si="582"/>
        <v>0</v>
      </c>
      <c r="BF271" s="51">
        <f t="shared" si="582"/>
        <v>0</v>
      </c>
      <c r="BG271" s="51">
        <f t="shared" si="582"/>
        <v>0</v>
      </c>
      <c r="BH271" s="51">
        <f t="shared" si="582"/>
        <v>0</v>
      </c>
      <c r="BI271" s="51">
        <f t="shared" si="582"/>
        <v>0</v>
      </c>
      <c r="BJ271" s="51">
        <f t="shared" si="582"/>
        <v>0</v>
      </c>
      <c r="BK271" s="51">
        <f t="shared" si="582"/>
        <v>0</v>
      </c>
      <c r="BL271" s="51">
        <f t="shared" si="582"/>
        <v>0</v>
      </c>
      <c r="BM271" s="51">
        <f t="shared" ref="BM271:DX271" si="583">SUM(BM272:BM274)</f>
        <v>70000000</v>
      </c>
      <c r="BN271" s="51">
        <f t="shared" si="583"/>
        <v>270000000</v>
      </c>
      <c r="BO271" s="51">
        <f t="shared" si="583"/>
        <v>266665817</v>
      </c>
      <c r="BP271" s="51">
        <f t="shared" si="583"/>
        <v>266665817</v>
      </c>
      <c r="BQ271" s="51">
        <f t="shared" si="583"/>
        <v>0</v>
      </c>
      <c r="BR271" s="51">
        <f t="shared" si="583"/>
        <v>0</v>
      </c>
      <c r="BS271" s="51">
        <f t="shared" si="583"/>
        <v>0</v>
      </c>
      <c r="BT271" s="51">
        <f t="shared" si="583"/>
        <v>0</v>
      </c>
      <c r="BU271" s="51">
        <f t="shared" si="583"/>
        <v>0</v>
      </c>
      <c r="BV271" s="51">
        <f t="shared" si="583"/>
        <v>300000000</v>
      </c>
      <c r="BW271" s="51">
        <f t="shared" si="583"/>
        <v>299990789.88</v>
      </c>
      <c r="BX271" s="51">
        <f t="shared" si="583"/>
        <v>299990789.88</v>
      </c>
      <c r="BY271" s="51">
        <f t="shared" si="583"/>
        <v>0</v>
      </c>
      <c r="BZ271" s="51">
        <f t="shared" si="583"/>
        <v>70000000</v>
      </c>
      <c r="CA271" s="51">
        <f t="shared" si="583"/>
        <v>170000000</v>
      </c>
      <c r="CB271" s="51">
        <f t="shared" si="583"/>
        <v>164734663</v>
      </c>
      <c r="CC271" s="51">
        <f t="shared" si="583"/>
        <v>164733863</v>
      </c>
      <c r="CD271" s="51">
        <f t="shared" si="583"/>
        <v>0</v>
      </c>
      <c r="CE271" s="51">
        <f t="shared" si="583"/>
        <v>0</v>
      </c>
      <c r="CF271" s="51">
        <f t="shared" si="583"/>
        <v>0</v>
      </c>
      <c r="CG271" s="51">
        <f t="shared" si="583"/>
        <v>0</v>
      </c>
      <c r="CH271" s="51">
        <f t="shared" si="583"/>
        <v>0</v>
      </c>
      <c r="CI271" s="51">
        <f t="shared" si="583"/>
        <v>0</v>
      </c>
      <c r="CJ271" s="51">
        <f t="shared" si="583"/>
        <v>0</v>
      </c>
      <c r="CK271" s="51">
        <f t="shared" si="583"/>
        <v>0</v>
      </c>
      <c r="CL271" s="51">
        <f t="shared" si="583"/>
        <v>0</v>
      </c>
      <c r="CM271" s="51">
        <f t="shared" si="583"/>
        <v>0</v>
      </c>
      <c r="CN271" s="51">
        <f t="shared" si="583"/>
        <v>0</v>
      </c>
      <c r="CO271" s="51">
        <f t="shared" si="583"/>
        <v>0</v>
      </c>
      <c r="CP271" s="51">
        <f t="shared" si="583"/>
        <v>0</v>
      </c>
      <c r="CQ271" s="51">
        <f t="shared" si="583"/>
        <v>0</v>
      </c>
      <c r="CR271" s="51">
        <f t="shared" si="583"/>
        <v>0</v>
      </c>
      <c r="CS271" s="51">
        <f t="shared" si="583"/>
        <v>0</v>
      </c>
      <c r="CT271" s="51">
        <f t="shared" si="583"/>
        <v>0</v>
      </c>
      <c r="CU271" s="51">
        <f t="shared" si="583"/>
        <v>0</v>
      </c>
      <c r="CV271" s="51">
        <f t="shared" si="583"/>
        <v>0</v>
      </c>
      <c r="CW271" s="51">
        <f t="shared" si="583"/>
        <v>0</v>
      </c>
      <c r="CX271" s="51">
        <f t="shared" si="583"/>
        <v>0</v>
      </c>
      <c r="CY271" s="51">
        <f t="shared" si="583"/>
        <v>0</v>
      </c>
      <c r="CZ271" s="51">
        <f t="shared" si="583"/>
        <v>0</v>
      </c>
      <c r="DA271" s="51">
        <f t="shared" si="583"/>
        <v>0</v>
      </c>
      <c r="DB271" s="51">
        <f t="shared" si="583"/>
        <v>0</v>
      </c>
      <c r="DC271" s="51">
        <f t="shared" si="583"/>
        <v>0</v>
      </c>
      <c r="DD271" s="51">
        <f t="shared" si="583"/>
        <v>0</v>
      </c>
      <c r="DE271" s="51">
        <f t="shared" si="583"/>
        <v>70000000</v>
      </c>
      <c r="DF271" s="51">
        <f t="shared" si="583"/>
        <v>470000000</v>
      </c>
      <c r="DG271" s="51">
        <f t="shared" si="583"/>
        <v>464725452.88</v>
      </c>
      <c r="DH271" s="51">
        <f t="shared" si="583"/>
        <v>464724652.88</v>
      </c>
      <c r="DI271" s="51">
        <f t="shared" si="583"/>
        <v>0</v>
      </c>
      <c r="DJ271" s="51">
        <f t="shared" si="583"/>
        <v>0</v>
      </c>
      <c r="DK271" s="51">
        <f t="shared" si="583"/>
        <v>0</v>
      </c>
      <c r="DL271" s="51">
        <f t="shared" si="583"/>
        <v>0</v>
      </c>
      <c r="DM271" s="51">
        <f t="shared" si="583"/>
        <v>0</v>
      </c>
      <c r="DN271" s="51">
        <f t="shared" si="583"/>
        <v>0</v>
      </c>
      <c r="DO271" s="51">
        <f t="shared" si="583"/>
        <v>350000000</v>
      </c>
      <c r="DP271" s="51">
        <f t="shared" si="583"/>
        <v>349999995</v>
      </c>
      <c r="DQ271" s="51">
        <f t="shared" si="583"/>
        <v>349999995</v>
      </c>
      <c r="DR271" s="51">
        <f t="shared" si="583"/>
        <v>0</v>
      </c>
      <c r="DS271" s="51">
        <f t="shared" si="583"/>
        <v>70000000</v>
      </c>
      <c r="DT271" s="51">
        <f t="shared" si="583"/>
        <v>170000000</v>
      </c>
      <c r="DU271" s="51">
        <f t="shared" si="583"/>
        <v>169911600</v>
      </c>
      <c r="DV271" s="51">
        <f t="shared" si="583"/>
        <v>168911600</v>
      </c>
      <c r="DW271" s="51">
        <f t="shared" si="583"/>
        <v>0</v>
      </c>
      <c r="DX271" s="51">
        <f t="shared" si="583"/>
        <v>0</v>
      </c>
      <c r="DY271" s="51">
        <f t="shared" ref="DY271:EW271" si="584">SUM(DY272:DY274)</f>
        <v>0</v>
      </c>
      <c r="DZ271" s="51">
        <f t="shared" si="584"/>
        <v>0</v>
      </c>
      <c r="EA271" s="51">
        <f t="shared" si="584"/>
        <v>0</v>
      </c>
      <c r="EB271" s="51">
        <f t="shared" si="584"/>
        <v>0</v>
      </c>
      <c r="EC271" s="51">
        <f t="shared" si="584"/>
        <v>0</v>
      </c>
      <c r="ED271" s="51">
        <f t="shared" si="584"/>
        <v>0</v>
      </c>
      <c r="EE271" s="51">
        <f t="shared" si="584"/>
        <v>0</v>
      </c>
      <c r="EF271" s="51">
        <f t="shared" si="584"/>
        <v>0</v>
      </c>
      <c r="EG271" s="51">
        <f t="shared" si="584"/>
        <v>0</v>
      </c>
      <c r="EH271" s="51">
        <f t="shared" si="584"/>
        <v>0</v>
      </c>
      <c r="EI271" s="51">
        <f t="shared" si="584"/>
        <v>0</v>
      </c>
      <c r="EJ271" s="51">
        <f t="shared" si="584"/>
        <v>0</v>
      </c>
      <c r="EK271" s="51">
        <f t="shared" si="584"/>
        <v>0</v>
      </c>
      <c r="EL271" s="51">
        <f t="shared" si="584"/>
        <v>0</v>
      </c>
      <c r="EM271" s="51">
        <f t="shared" si="584"/>
        <v>0</v>
      </c>
      <c r="EN271" s="51">
        <f t="shared" si="584"/>
        <v>0</v>
      </c>
      <c r="EO271" s="51">
        <f t="shared" si="584"/>
        <v>0</v>
      </c>
      <c r="EP271" s="51">
        <f t="shared" si="584"/>
        <v>0</v>
      </c>
      <c r="EQ271" s="51">
        <f t="shared" si="584"/>
        <v>0</v>
      </c>
      <c r="ER271" s="51">
        <f t="shared" si="584"/>
        <v>0</v>
      </c>
      <c r="ES271" s="51">
        <f t="shared" si="584"/>
        <v>0</v>
      </c>
      <c r="ET271" s="51">
        <f t="shared" si="584"/>
        <v>0</v>
      </c>
      <c r="EU271" s="51">
        <f t="shared" si="584"/>
        <v>0</v>
      </c>
      <c r="EV271" s="51">
        <f t="shared" si="584"/>
        <v>0</v>
      </c>
      <c r="EW271" s="51">
        <f t="shared" si="584"/>
        <v>70000000</v>
      </c>
      <c r="EX271" s="51">
        <f t="shared" ref="EX271:GZ271" si="585">SUM(EX272:EX274)</f>
        <v>520000000</v>
      </c>
      <c r="EY271" s="51">
        <f t="shared" si="585"/>
        <v>519911595</v>
      </c>
      <c r="EZ271" s="51">
        <f t="shared" si="585"/>
        <v>518911595</v>
      </c>
      <c r="FA271" s="51">
        <f t="shared" si="585"/>
        <v>0</v>
      </c>
      <c r="FB271" s="51">
        <f t="shared" si="585"/>
        <v>0</v>
      </c>
      <c r="FC271" s="51">
        <f t="shared" si="585"/>
        <v>0</v>
      </c>
      <c r="FD271" s="51">
        <f t="shared" si="585"/>
        <v>0</v>
      </c>
      <c r="FE271" s="51">
        <f t="shared" si="585"/>
        <v>0</v>
      </c>
      <c r="FF271" s="51">
        <f t="shared" si="585"/>
        <v>0</v>
      </c>
      <c r="FG271" s="51">
        <f t="shared" si="585"/>
        <v>0</v>
      </c>
      <c r="FH271" s="51">
        <f t="shared" si="585"/>
        <v>0</v>
      </c>
      <c r="FI271" s="51">
        <f t="shared" si="585"/>
        <v>0</v>
      </c>
      <c r="FJ271" s="51">
        <f t="shared" si="585"/>
        <v>0</v>
      </c>
      <c r="FK271" s="51">
        <f t="shared" si="585"/>
        <v>0</v>
      </c>
      <c r="FL271" s="51">
        <f t="shared" si="585"/>
        <v>70000000</v>
      </c>
      <c r="FM271" s="51">
        <f t="shared" si="585"/>
        <v>169400000</v>
      </c>
      <c r="FN271" s="51">
        <f t="shared" si="585"/>
        <v>138137500</v>
      </c>
      <c r="FO271" s="51">
        <f t="shared" si="585"/>
        <v>45895000</v>
      </c>
      <c r="FP271" s="51">
        <f t="shared" si="585"/>
        <v>0</v>
      </c>
      <c r="FQ271" s="51">
        <f t="shared" si="585"/>
        <v>0</v>
      </c>
      <c r="FR271" s="51">
        <f t="shared" si="585"/>
        <v>0</v>
      </c>
      <c r="FS271" s="51">
        <f t="shared" si="585"/>
        <v>0</v>
      </c>
      <c r="FT271" s="51">
        <f t="shared" si="585"/>
        <v>0</v>
      </c>
      <c r="FU271" s="51">
        <f t="shared" si="585"/>
        <v>0</v>
      </c>
      <c r="FV271" s="51">
        <f t="shared" si="585"/>
        <v>0</v>
      </c>
      <c r="FW271" s="51">
        <f t="shared" si="585"/>
        <v>0</v>
      </c>
      <c r="FX271" s="51">
        <f t="shared" si="585"/>
        <v>0</v>
      </c>
      <c r="FY271" s="51">
        <f t="shared" si="585"/>
        <v>0</v>
      </c>
      <c r="FZ271" s="51">
        <f t="shared" si="585"/>
        <v>0</v>
      </c>
      <c r="GA271" s="51">
        <f t="shared" si="585"/>
        <v>0</v>
      </c>
      <c r="GB271" s="51">
        <f t="shared" si="585"/>
        <v>0</v>
      </c>
      <c r="GC271" s="51">
        <f t="shared" si="585"/>
        <v>0</v>
      </c>
      <c r="GD271" s="51">
        <f t="shared" si="585"/>
        <v>0</v>
      </c>
      <c r="GE271" s="51">
        <f t="shared" si="585"/>
        <v>0</v>
      </c>
      <c r="GF271" s="51">
        <f t="shared" si="585"/>
        <v>0</v>
      </c>
      <c r="GG271" s="51">
        <f t="shared" si="585"/>
        <v>0</v>
      </c>
      <c r="GH271" s="51">
        <f t="shared" si="585"/>
        <v>0</v>
      </c>
      <c r="GI271" s="51">
        <f t="shared" si="585"/>
        <v>0</v>
      </c>
      <c r="GJ271" s="51">
        <f t="shared" si="585"/>
        <v>0</v>
      </c>
      <c r="GK271" s="51">
        <f t="shared" si="585"/>
        <v>0</v>
      </c>
      <c r="GL271" s="51">
        <f t="shared" si="585"/>
        <v>0</v>
      </c>
      <c r="GM271" s="51">
        <f t="shared" si="585"/>
        <v>0</v>
      </c>
      <c r="GN271" s="51">
        <f t="shared" si="585"/>
        <v>0</v>
      </c>
      <c r="GO271" s="51">
        <f t="shared" si="585"/>
        <v>0</v>
      </c>
      <c r="GP271" s="51">
        <f t="shared" si="585"/>
        <v>0</v>
      </c>
      <c r="GQ271" s="51">
        <f t="shared" si="585"/>
        <v>0</v>
      </c>
      <c r="GR271" s="51">
        <f t="shared" si="585"/>
        <v>0</v>
      </c>
      <c r="GS271" s="51">
        <f t="shared" si="585"/>
        <v>0</v>
      </c>
      <c r="GT271" s="51">
        <f t="shared" si="585"/>
        <v>0</v>
      </c>
      <c r="GU271" s="51">
        <f t="shared" si="585"/>
        <v>70000000</v>
      </c>
      <c r="GV271" s="51">
        <f t="shared" si="585"/>
        <v>169400000</v>
      </c>
      <c r="GW271" s="51">
        <f t="shared" si="585"/>
        <v>138137500</v>
      </c>
      <c r="GX271" s="51">
        <f t="shared" si="585"/>
        <v>45895000</v>
      </c>
      <c r="GY271" s="51">
        <f t="shared" si="585"/>
        <v>0</v>
      </c>
      <c r="GZ271" s="51">
        <f t="shared" si="585"/>
        <v>280000000</v>
      </c>
    </row>
    <row r="272" spans="1:208" ht="93.75" customHeight="1" x14ac:dyDescent="0.2">
      <c r="A272" s="326"/>
      <c r="B272" s="326"/>
      <c r="C272" s="458"/>
      <c r="D272" s="993"/>
      <c r="E272" s="1047"/>
      <c r="F272" s="993"/>
      <c r="G272" s="265">
        <v>184</v>
      </c>
      <c r="H272" s="358" t="s">
        <v>646</v>
      </c>
      <c r="I272" s="275" t="s">
        <v>647</v>
      </c>
      <c r="J272" s="262" t="s">
        <v>636</v>
      </c>
      <c r="K272" s="262">
        <v>14</v>
      </c>
      <c r="L272" s="304" t="s">
        <v>58</v>
      </c>
      <c r="M272" s="288">
        <v>1</v>
      </c>
      <c r="N272" s="288">
        <v>1</v>
      </c>
      <c r="O272" s="259">
        <v>1</v>
      </c>
      <c r="P272" s="387">
        <v>1</v>
      </c>
      <c r="Q272" s="462">
        <v>1</v>
      </c>
      <c r="R272" s="268"/>
      <c r="S272" s="389">
        <v>1</v>
      </c>
      <c r="T272" s="288">
        <v>1</v>
      </c>
      <c r="U272" s="288"/>
      <c r="V272" s="389">
        <v>1</v>
      </c>
      <c r="W272" s="288">
        <v>1</v>
      </c>
      <c r="X272" s="304"/>
      <c r="Y272" s="631">
        <v>0.5</v>
      </c>
      <c r="Z272" s="390">
        <f>BM272/$BM$271</f>
        <v>0.35714285714285715</v>
      </c>
      <c r="AA272" s="264">
        <v>16</v>
      </c>
      <c r="AB272" s="263" t="s">
        <v>376</v>
      </c>
      <c r="AC272" s="56"/>
      <c r="AD272" s="55"/>
      <c r="AE272" s="54"/>
      <c r="AF272" s="54"/>
      <c r="AG272" s="56"/>
      <c r="AH272" s="55"/>
      <c r="AI272" s="55"/>
      <c r="AJ272" s="55"/>
      <c r="AK272" s="57">
        <f>6500000+6000000+12500000</f>
        <v>25000000</v>
      </c>
      <c r="AL272" s="58">
        <v>234942593</v>
      </c>
      <c r="AM272" s="55">
        <v>234942593</v>
      </c>
      <c r="AN272" s="55">
        <v>234942593</v>
      </c>
      <c r="AO272" s="57"/>
      <c r="AP272" s="58"/>
      <c r="AQ272" s="58"/>
      <c r="AR272" s="55"/>
      <c r="AS272" s="56"/>
      <c r="AT272" s="55"/>
      <c r="AU272" s="54"/>
      <c r="AV272" s="54"/>
      <c r="AW272" s="56"/>
      <c r="AX272" s="55"/>
      <c r="AY272" s="55"/>
      <c r="AZ272" s="55"/>
      <c r="BA272" s="56"/>
      <c r="BB272" s="55"/>
      <c r="BC272" s="55"/>
      <c r="BD272" s="55"/>
      <c r="BE272" s="56"/>
      <c r="BF272" s="55"/>
      <c r="BG272" s="54"/>
      <c r="BH272" s="54"/>
      <c r="BI272" s="56"/>
      <c r="BJ272" s="55"/>
      <c r="BK272" s="55"/>
      <c r="BL272" s="55"/>
      <c r="BM272" s="53">
        <f>+AC272+AG272+AK272+AO272+AS272+AW272+BA272+BE272+BI272</f>
        <v>25000000</v>
      </c>
      <c r="BN272" s="54">
        <f t="shared" ref="BN272:BP274" si="586">AD272+AH272+AL272+AP272+AT272+AX272+BB272+BF272+BJ272</f>
        <v>234942593</v>
      </c>
      <c r="BO272" s="54">
        <f t="shared" si="586"/>
        <v>234942593</v>
      </c>
      <c r="BP272" s="54">
        <f t="shared" si="586"/>
        <v>234942593</v>
      </c>
      <c r="BQ272" s="83"/>
      <c r="BR272" s="83"/>
      <c r="BS272" s="83"/>
      <c r="BT272" s="83"/>
      <c r="BU272" s="83"/>
      <c r="BV272" s="524">
        <v>300000000</v>
      </c>
      <c r="BW272" s="83">
        <v>299990789.88</v>
      </c>
      <c r="BX272" s="83">
        <v>299990789.88</v>
      </c>
      <c r="BY272" s="83"/>
      <c r="BZ272" s="83">
        <v>25000000</v>
      </c>
      <c r="CA272" s="83">
        <v>125000000</v>
      </c>
      <c r="CB272" s="83">
        <v>121083463</v>
      </c>
      <c r="CC272" s="83">
        <v>121082663</v>
      </c>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1">
        <f t="shared" ref="DE272:DH274" si="587">BQ272+BU272+BZ272+CE272+CI272+CM272+CQ272+CV272+DA272</f>
        <v>25000000</v>
      </c>
      <c r="DF272" s="95">
        <f t="shared" si="587"/>
        <v>425000000</v>
      </c>
      <c r="DG272" s="95">
        <f t="shared" si="587"/>
        <v>421074252.88</v>
      </c>
      <c r="DH272" s="95">
        <f t="shared" si="587"/>
        <v>421073452.88</v>
      </c>
      <c r="DI272" s="95"/>
      <c r="DJ272" s="83"/>
      <c r="DK272" s="82"/>
      <c r="DL272" s="83"/>
      <c r="DM272" s="83"/>
      <c r="DN272" s="83"/>
      <c r="DO272" s="83">
        <v>350000000</v>
      </c>
      <c r="DP272" s="83">
        <v>349999995</v>
      </c>
      <c r="DQ272" s="83">
        <v>349999995</v>
      </c>
      <c r="DR272" s="83"/>
      <c r="DS272" s="83">
        <v>25000000</v>
      </c>
      <c r="DT272" s="83">
        <v>90000000</v>
      </c>
      <c r="DU272" s="83">
        <v>89922000</v>
      </c>
      <c r="DV272" s="83">
        <v>88922000</v>
      </c>
      <c r="DW272" s="83"/>
      <c r="DX272" s="83"/>
      <c r="DY272" s="83"/>
      <c r="DZ272" s="83"/>
      <c r="EA272" s="83"/>
      <c r="EB272" s="83"/>
      <c r="EC272" s="83"/>
      <c r="ED272" s="83"/>
      <c r="EE272" s="83"/>
      <c r="EF272" s="83"/>
      <c r="EG272" s="83"/>
      <c r="EH272" s="83"/>
      <c r="EI272" s="83"/>
      <c r="EJ272" s="83"/>
      <c r="EK272" s="83"/>
      <c r="EL272" s="83"/>
      <c r="EM272" s="83"/>
      <c r="EN272" s="83"/>
      <c r="EO272" s="83"/>
      <c r="EP272" s="83"/>
      <c r="EQ272" s="83"/>
      <c r="ER272" s="83"/>
      <c r="ES272" s="83"/>
      <c r="ET272" s="83"/>
      <c r="EU272" s="83"/>
      <c r="EV272" s="83"/>
      <c r="EW272" s="81">
        <f t="shared" ref="EW272:EX274" si="588">DJ272+DN272+DS272+DX272+EB272+EF272+EJ272+EN272+ES272</f>
        <v>25000000</v>
      </c>
      <c r="EX272" s="86">
        <f t="shared" si="588"/>
        <v>440000000</v>
      </c>
      <c r="EY272" s="86">
        <f t="shared" ref="EY272:EZ274" si="589">DL272+DP272+DU272+DZ272+ED272+EH272+EL272+EP272+EU272</f>
        <v>439921995</v>
      </c>
      <c r="EZ272" s="86">
        <f t="shared" si="589"/>
        <v>438921995</v>
      </c>
      <c r="FA272" s="176"/>
      <c r="FB272" s="83"/>
      <c r="FC272" s="84"/>
      <c r="FD272" s="84"/>
      <c r="FE272" s="84"/>
      <c r="FF272" s="140"/>
      <c r="FG272" s="83"/>
      <c r="FH272" s="83"/>
      <c r="FI272" s="83"/>
      <c r="FJ272" s="83"/>
      <c r="FK272" s="83"/>
      <c r="FL272" s="83">
        <v>25000000</v>
      </c>
      <c r="FM272" s="83">
        <v>89400000</v>
      </c>
      <c r="FN272" s="83">
        <v>79127050</v>
      </c>
      <c r="FO272" s="83">
        <v>38285000</v>
      </c>
      <c r="FP272" s="83"/>
      <c r="FQ272" s="83"/>
      <c r="FR272" s="83"/>
      <c r="FS272" s="83"/>
      <c r="FT272" s="83"/>
      <c r="FU272" s="83"/>
      <c r="FV272" s="83"/>
      <c r="FW272" s="83"/>
      <c r="FX272" s="83"/>
      <c r="FY272" s="83"/>
      <c r="FZ272" s="83"/>
      <c r="GA272" s="83"/>
      <c r="GB272" s="83"/>
      <c r="GC272" s="83"/>
      <c r="GD272" s="83"/>
      <c r="GE272" s="83"/>
      <c r="GF272" s="83"/>
      <c r="GG272" s="83"/>
      <c r="GH272" s="83"/>
      <c r="GI272" s="83"/>
      <c r="GJ272" s="83"/>
      <c r="GK272" s="83"/>
      <c r="GL272" s="83"/>
      <c r="GM272" s="83"/>
      <c r="GN272" s="83"/>
      <c r="GO272" s="83"/>
      <c r="GP272" s="83"/>
      <c r="GQ272" s="83"/>
      <c r="GR272" s="83"/>
      <c r="GS272" s="83"/>
      <c r="GT272" s="83"/>
      <c r="GU272" s="81">
        <f>FB272+FG272+FL272+FQ272+FV272+GA272+GF272+GK272+GP272</f>
        <v>25000000</v>
      </c>
      <c r="GV272" s="81">
        <f t="shared" ref="GV272:GY274" si="590">GQ272+GL272+GG272+GB272+FW272+FR272+FM272+FH272+FC272</f>
        <v>89400000</v>
      </c>
      <c r="GW272" s="81">
        <f t="shared" si="590"/>
        <v>79127050</v>
      </c>
      <c r="GX272" s="81">
        <f t="shared" si="590"/>
        <v>38285000</v>
      </c>
      <c r="GY272" s="673">
        <f t="shared" si="590"/>
        <v>0</v>
      </c>
      <c r="GZ272" s="67">
        <f>BM272+DE272+EW272+GU272</f>
        <v>100000000</v>
      </c>
    </row>
    <row r="273" spans="1:208" ht="93.75" customHeight="1" x14ac:dyDescent="0.2">
      <c r="A273" s="326"/>
      <c r="B273" s="326"/>
      <c r="C273" s="279">
        <v>31</v>
      </c>
      <c r="D273" s="722" t="s">
        <v>648</v>
      </c>
      <c r="E273" s="306" t="s">
        <v>460</v>
      </c>
      <c r="F273" s="353">
        <v>0.2</v>
      </c>
      <c r="G273" s="265">
        <v>185</v>
      </c>
      <c r="H273" s="358" t="s">
        <v>649</v>
      </c>
      <c r="I273" s="275" t="s">
        <v>650</v>
      </c>
      <c r="J273" s="262" t="s">
        <v>636</v>
      </c>
      <c r="K273" s="262">
        <v>14</v>
      </c>
      <c r="L273" s="304" t="s">
        <v>58</v>
      </c>
      <c r="M273" s="288" t="s">
        <v>53</v>
      </c>
      <c r="N273" s="288">
        <v>1</v>
      </c>
      <c r="O273" s="259">
        <v>1</v>
      </c>
      <c r="P273" s="387">
        <v>0.7</v>
      </c>
      <c r="Q273" s="462">
        <v>1</v>
      </c>
      <c r="R273" s="268"/>
      <c r="S273" s="389">
        <v>1</v>
      </c>
      <c r="T273" s="288">
        <v>1</v>
      </c>
      <c r="U273" s="288"/>
      <c r="V273" s="389">
        <v>1</v>
      </c>
      <c r="W273" s="288">
        <v>1</v>
      </c>
      <c r="X273" s="304"/>
      <c r="Y273" s="631">
        <v>0.5</v>
      </c>
      <c r="Z273" s="390">
        <f>BM273/$BM$271</f>
        <v>0.23571428571428571</v>
      </c>
      <c r="AA273" s="264">
        <v>3</v>
      </c>
      <c r="AB273" s="263" t="s">
        <v>455</v>
      </c>
      <c r="AC273" s="56"/>
      <c r="AD273" s="55"/>
      <c r="AE273" s="54"/>
      <c r="AF273" s="54"/>
      <c r="AG273" s="56"/>
      <c r="AH273" s="55"/>
      <c r="AI273" s="55"/>
      <c r="AJ273" s="55"/>
      <c r="AK273" s="57">
        <v>16500000</v>
      </c>
      <c r="AL273" s="55">
        <v>8007407</v>
      </c>
      <c r="AM273" s="58">
        <v>4673224</v>
      </c>
      <c r="AN273" s="58">
        <v>4673224</v>
      </c>
      <c r="AO273" s="57"/>
      <c r="AP273" s="58"/>
      <c r="AQ273" s="58"/>
      <c r="AR273" s="55"/>
      <c r="AS273" s="56"/>
      <c r="AT273" s="55"/>
      <c r="AU273" s="54"/>
      <c r="AV273" s="54"/>
      <c r="AW273" s="56"/>
      <c r="AX273" s="55"/>
      <c r="AY273" s="55"/>
      <c r="AZ273" s="55"/>
      <c r="BA273" s="56"/>
      <c r="BB273" s="55"/>
      <c r="BC273" s="55"/>
      <c r="BD273" s="55"/>
      <c r="BE273" s="56"/>
      <c r="BF273" s="55"/>
      <c r="BG273" s="54"/>
      <c r="BH273" s="54"/>
      <c r="BI273" s="56"/>
      <c r="BJ273" s="55"/>
      <c r="BK273" s="55"/>
      <c r="BL273" s="55"/>
      <c r="BM273" s="53">
        <f>+AC273+AG273+AK273+AO273+AS273+AW273+BA273+BE273+BI273</f>
        <v>16500000</v>
      </c>
      <c r="BN273" s="54">
        <f t="shared" si="586"/>
        <v>8007407</v>
      </c>
      <c r="BO273" s="54">
        <f t="shared" si="586"/>
        <v>4673224</v>
      </c>
      <c r="BP273" s="54">
        <f t="shared" si="586"/>
        <v>4673224</v>
      </c>
      <c r="BQ273" s="83"/>
      <c r="BR273" s="83"/>
      <c r="BS273" s="83"/>
      <c r="BT273" s="83"/>
      <c r="BU273" s="83"/>
      <c r="BV273" s="83"/>
      <c r="BW273" s="83"/>
      <c r="BX273" s="83"/>
      <c r="BY273" s="83"/>
      <c r="BZ273" s="83">
        <v>16500000</v>
      </c>
      <c r="CA273" s="83">
        <v>16500000</v>
      </c>
      <c r="CB273" s="83">
        <v>16500000</v>
      </c>
      <c r="CC273" s="83">
        <v>16500000</v>
      </c>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1">
        <f t="shared" si="587"/>
        <v>16500000</v>
      </c>
      <c r="DF273" s="95">
        <f t="shared" si="587"/>
        <v>16500000</v>
      </c>
      <c r="DG273" s="95">
        <f t="shared" si="587"/>
        <v>16500000</v>
      </c>
      <c r="DH273" s="95">
        <f t="shared" si="587"/>
        <v>16500000</v>
      </c>
      <c r="DI273" s="95"/>
      <c r="DJ273" s="83"/>
      <c r="DK273" s="82"/>
      <c r="DL273" s="83"/>
      <c r="DM273" s="83"/>
      <c r="DN273" s="83"/>
      <c r="DO273" s="83"/>
      <c r="DP273" s="83"/>
      <c r="DQ273" s="83"/>
      <c r="DR273" s="83"/>
      <c r="DS273" s="83">
        <v>16500000</v>
      </c>
      <c r="DT273" s="83">
        <v>40000000</v>
      </c>
      <c r="DU273" s="83">
        <v>39989600</v>
      </c>
      <c r="DV273" s="83">
        <v>39989600</v>
      </c>
      <c r="DW273" s="83"/>
      <c r="DX273" s="83"/>
      <c r="DY273" s="83"/>
      <c r="DZ273" s="83"/>
      <c r="EA273" s="83"/>
      <c r="EB273" s="83"/>
      <c r="EC273" s="83"/>
      <c r="ED273" s="83"/>
      <c r="EE273" s="83"/>
      <c r="EF273" s="83"/>
      <c r="EG273" s="83"/>
      <c r="EH273" s="83"/>
      <c r="EI273" s="83"/>
      <c r="EJ273" s="83"/>
      <c r="EK273" s="83"/>
      <c r="EL273" s="83"/>
      <c r="EM273" s="83"/>
      <c r="EN273" s="83"/>
      <c r="EO273" s="83"/>
      <c r="EP273" s="83"/>
      <c r="EQ273" s="83"/>
      <c r="ER273" s="83"/>
      <c r="ES273" s="83"/>
      <c r="ET273" s="83"/>
      <c r="EU273" s="83"/>
      <c r="EV273" s="83"/>
      <c r="EW273" s="81">
        <f t="shared" si="588"/>
        <v>16500000</v>
      </c>
      <c r="EX273" s="86">
        <f t="shared" si="588"/>
        <v>40000000</v>
      </c>
      <c r="EY273" s="86">
        <f t="shared" si="589"/>
        <v>39989600</v>
      </c>
      <c r="EZ273" s="86">
        <f t="shared" si="589"/>
        <v>39989600</v>
      </c>
      <c r="FA273" s="176"/>
      <c r="FB273" s="83"/>
      <c r="FC273" s="84"/>
      <c r="FD273" s="84"/>
      <c r="FE273" s="84"/>
      <c r="FF273" s="140"/>
      <c r="FG273" s="83"/>
      <c r="FH273" s="83"/>
      <c r="FI273" s="83"/>
      <c r="FJ273" s="83"/>
      <c r="FK273" s="83"/>
      <c r="FL273" s="83">
        <v>16500000</v>
      </c>
      <c r="FM273" s="83">
        <v>40000000</v>
      </c>
      <c r="FN273" s="83">
        <v>32253450</v>
      </c>
      <c r="FO273" s="83">
        <v>5450000</v>
      </c>
      <c r="FP273" s="83"/>
      <c r="FQ273" s="83"/>
      <c r="FR273" s="83"/>
      <c r="FS273" s="83"/>
      <c r="FT273" s="83"/>
      <c r="FU273" s="83"/>
      <c r="FV273" s="83"/>
      <c r="FW273" s="83"/>
      <c r="FX273" s="83"/>
      <c r="FY273" s="83"/>
      <c r="FZ273" s="83"/>
      <c r="GA273" s="83"/>
      <c r="GB273" s="83"/>
      <c r="GC273" s="83"/>
      <c r="GD273" s="83"/>
      <c r="GE273" s="83"/>
      <c r="GF273" s="83"/>
      <c r="GG273" s="83"/>
      <c r="GH273" s="83"/>
      <c r="GI273" s="83"/>
      <c r="GJ273" s="83"/>
      <c r="GK273" s="83"/>
      <c r="GL273" s="83"/>
      <c r="GM273" s="83"/>
      <c r="GN273" s="83"/>
      <c r="GO273" s="83"/>
      <c r="GP273" s="83"/>
      <c r="GQ273" s="83"/>
      <c r="GR273" s="83"/>
      <c r="GS273" s="83"/>
      <c r="GT273" s="83"/>
      <c r="GU273" s="81">
        <f>FB273+FG273+FL273+FQ273+FV273+GA273+GF273+GK273+GP273</f>
        <v>16500000</v>
      </c>
      <c r="GV273" s="81">
        <f t="shared" si="590"/>
        <v>40000000</v>
      </c>
      <c r="GW273" s="81">
        <f t="shared" si="590"/>
        <v>32253450</v>
      </c>
      <c r="GX273" s="81">
        <f t="shared" si="590"/>
        <v>5450000</v>
      </c>
      <c r="GY273" s="673">
        <f t="shared" si="590"/>
        <v>0</v>
      </c>
      <c r="GZ273" s="67">
        <f>BM273+DE273+EW273+GU273</f>
        <v>66000000</v>
      </c>
    </row>
    <row r="274" spans="1:208" ht="93.75" customHeight="1" x14ac:dyDescent="0.2">
      <c r="A274" s="326"/>
      <c r="B274" s="326"/>
      <c r="C274" s="277"/>
      <c r="D274" s="723"/>
      <c r="E274" s="284"/>
      <c r="F274" s="375"/>
      <c r="G274" s="265">
        <v>186</v>
      </c>
      <c r="H274" s="358" t="s">
        <v>651</v>
      </c>
      <c r="I274" s="275" t="s">
        <v>652</v>
      </c>
      <c r="J274" s="262" t="s">
        <v>636</v>
      </c>
      <c r="K274" s="262">
        <v>14</v>
      </c>
      <c r="L274" s="415" t="s">
        <v>58</v>
      </c>
      <c r="M274" s="259" t="s">
        <v>53</v>
      </c>
      <c r="N274" s="259">
        <v>1</v>
      </c>
      <c r="O274" s="259">
        <v>1</v>
      </c>
      <c r="P274" s="394">
        <v>1</v>
      </c>
      <c r="Q274" s="461">
        <v>1</v>
      </c>
      <c r="R274" s="268"/>
      <c r="S274" s="387">
        <v>1</v>
      </c>
      <c r="T274" s="288">
        <v>1</v>
      </c>
      <c r="U274" s="288"/>
      <c r="V274" s="389">
        <v>1</v>
      </c>
      <c r="W274" s="288">
        <v>1</v>
      </c>
      <c r="X274" s="304"/>
      <c r="Y274" s="631">
        <v>0.5</v>
      </c>
      <c r="Z274" s="390">
        <f>BM274/$BM$271</f>
        <v>0.40714285714285714</v>
      </c>
      <c r="AA274" s="264">
        <v>8</v>
      </c>
      <c r="AB274" s="263" t="s">
        <v>135</v>
      </c>
      <c r="AC274" s="56"/>
      <c r="AD274" s="55"/>
      <c r="AE274" s="54"/>
      <c r="AF274" s="54"/>
      <c r="AG274" s="56"/>
      <c r="AH274" s="55"/>
      <c r="AI274" s="55"/>
      <c r="AJ274" s="55"/>
      <c r="AK274" s="55">
        <v>28500000</v>
      </c>
      <c r="AL274" s="54">
        <v>27050000</v>
      </c>
      <c r="AM274" s="55">
        <v>27050000</v>
      </c>
      <c r="AN274" s="55">
        <v>27050000</v>
      </c>
      <c r="AO274" s="57"/>
      <c r="AP274" s="58"/>
      <c r="AQ274" s="58"/>
      <c r="AR274" s="55"/>
      <c r="AS274" s="56"/>
      <c r="AT274" s="55"/>
      <c r="AU274" s="54"/>
      <c r="AV274" s="54"/>
      <c r="AW274" s="56"/>
      <c r="AX274" s="55"/>
      <c r="AY274" s="55"/>
      <c r="AZ274" s="55"/>
      <c r="BA274" s="56"/>
      <c r="BB274" s="55"/>
      <c r="BC274" s="55"/>
      <c r="BD274" s="55"/>
      <c r="BE274" s="56"/>
      <c r="BF274" s="55"/>
      <c r="BG274" s="54"/>
      <c r="BH274" s="54"/>
      <c r="BI274" s="56"/>
      <c r="BJ274" s="55"/>
      <c r="BK274" s="55"/>
      <c r="BL274" s="55"/>
      <c r="BM274" s="53">
        <f>+AC274+AG274+AK274+AO274+AS274+AW274+BA274+BE274+BI274</f>
        <v>28500000</v>
      </c>
      <c r="BN274" s="54">
        <f t="shared" si="586"/>
        <v>27050000</v>
      </c>
      <c r="BO274" s="54">
        <f t="shared" si="586"/>
        <v>27050000</v>
      </c>
      <c r="BP274" s="54">
        <f t="shared" si="586"/>
        <v>27050000</v>
      </c>
      <c r="BQ274" s="83"/>
      <c r="BR274" s="83"/>
      <c r="BS274" s="83"/>
      <c r="BT274" s="83"/>
      <c r="BU274" s="83"/>
      <c r="BV274" s="83"/>
      <c r="BW274" s="83"/>
      <c r="BX274" s="83"/>
      <c r="BY274" s="83"/>
      <c r="BZ274" s="83">
        <v>28500000</v>
      </c>
      <c r="CA274" s="83">
        <v>28500000</v>
      </c>
      <c r="CB274" s="83">
        <v>27151200</v>
      </c>
      <c r="CC274" s="83">
        <v>27151200</v>
      </c>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1">
        <f t="shared" si="587"/>
        <v>28500000</v>
      </c>
      <c r="DF274" s="95">
        <f t="shared" si="587"/>
        <v>28500000</v>
      </c>
      <c r="DG274" s="95">
        <f t="shared" si="587"/>
        <v>27151200</v>
      </c>
      <c r="DH274" s="95">
        <f t="shared" si="587"/>
        <v>27151200</v>
      </c>
      <c r="DI274" s="95"/>
      <c r="DJ274" s="83"/>
      <c r="DK274" s="82"/>
      <c r="DL274" s="83"/>
      <c r="DM274" s="83"/>
      <c r="DN274" s="83"/>
      <c r="DO274" s="83"/>
      <c r="DP274" s="83"/>
      <c r="DQ274" s="83"/>
      <c r="DR274" s="83"/>
      <c r="DS274" s="83">
        <v>28500000</v>
      </c>
      <c r="DT274" s="83">
        <v>40000000</v>
      </c>
      <c r="DU274" s="83">
        <v>40000000</v>
      </c>
      <c r="DV274" s="83">
        <v>40000000</v>
      </c>
      <c r="DW274" s="83"/>
      <c r="DX274" s="83"/>
      <c r="DY274" s="83"/>
      <c r="DZ274" s="83"/>
      <c r="EA274" s="83"/>
      <c r="EB274" s="83"/>
      <c r="EC274" s="83"/>
      <c r="ED274" s="83"/>
      <c r="EE274" s="83"/>
      <c r="EF274" s="83"/>
      <c r="EG274" s="83"/>
      <c r="EH274" s="83"/>
      <c r="EI274" s="83"/>
      <c r="EJ274" s="83"/>
      <c r="EK274" s="83"/>
      <c r="EL274" s="83"/>
      <c r="EM274" s="83"/>
      <c r="EN274" s="83"/>
      <c r="EO274" s="83"/>
      <c r="EP274" s="83"/>
      <c r="EQ274" s="83"/>
      <c r="ER274" s="83"/>
      <c r="ES274" s="83"/>
      <c r="ET274" s="83"/>
      <c r="EU274" s="83"/>
      <c r="EV274" s="83"/>
      <c r="EW274" s="81">
        <f t="shared" si="588"/>
        <v>28500000</v>
      </c>
      <c r="EX274" s="86">
        <f t="shared" si="588"/>
        <v>40000000</v>
      </c>
      <c r="EY274" s="86">
        <f t="shared" si="589"/>
        <v>40000000</v>
      </c>
      <c r="EZ274" s="86">
        <f t="shared" si="589"/>
        <v>40000000</v>
      </c>
      <c r="FA274" s="176"/>
      <c r="FB274" s="83"/>
      <c r="FC274" s="84"/>
      <c r="FD274" s="84"/>
      <c r="FE274" s="84"/>
      <c r="FF274" s="140"/>
      <c r="FG274" s="83"/>
      <c r="FH274" s="83"/>
      <c r="FI274" s="83"/>
      <c r="FJ274" s="83"/>
      <c r="FK274" s="83"/>
      <c r="FL274" s="83">
        <v>28500000</v>
      </c>
      <c r="FM274" s="83">
        <v>40000000</v>
      </c>
      <c r="FN274" s="83">
        <v>26757000</v>
      </c>
      <c r="FO274" s="83">
        <v>2160000</v>
      </c>
      <c r="FP274" s="83"/>
      <c r="FQ274" s="83"/>
      <c r="FR274" s="83"/>
      <c r="FS274" s="83"/>
      <c r="FT274" s="83"/>
      <c r="FU274" s="83"/>
      <c r="FV274" s="83"/>
      <c r="FW274" s="83"/>
      <c r="FX274" s="83"/>
      <c r="FY274" s="83"/>
      <c r="FZ274" s="83"/>
      <c r="GA274" s="83"/>
      <c r="GB274" s="83"/>
      <c r="GC274" s="83"/>
      <c r="GD274" s="83"/>
      <c r="GE274" s="83"/>
      <c r="GF274" s="83"/>
      <c r="GG274" s="83"/>
      <c r="GH274" s="83"/>
      <c r="GI274" s="83"/>
      <c r="GJ274" s="83"/>
      <c r="GK274" s="83"/>
      <c r="GL274" s="83"/>
      <c r="GM274" s="83"/>
      <c r="GN274" s="83"/>
      <c r="GO274" s="83"/>
      <c r="GP274" s="83"/>
      <c r="GQ274" s="83"/>
      <c r="GR274" s="83"/>
      <c r="GS274" s="83"/>
      <c r="GT274" s="83"/>
      <c r="GU274" s="81">
        <f>FB274+FG274+FL274+FQ274+FV274+GA274+GF274+GK274+GP274</f>
        <v>28500000</v>
      </c>
      <c r="GV274" s="81">
        <f t="shared" si="590"/>
        <v>40000000</v>
      </c>
      <c r="GW274" s="81">
        <f t="shared" si="590"/>
        <v>26757000</v>
      </c>
      <c r="GX274" s="81">
        <f t="shared" si="590"/>
        <v>2160000</v>
      </c>
      <c r="GY274" s="673">
        <f t="shared" si="590"/>
        <v>0</v>
      </c>
      <c r="GZ274" s="67">
        <f>BM274+DE274+EW274+GU274</f>
        <v>114000000</v>
      </c>
    </row>
    <row r="275" spans="1:208" ht="24.75" customHeight="1" x14ac:dyDescent="0.2">
      <c r="A275" s="326"/>
      <c r="B275" s="326"/>
      <c r="C275" s="246">
        <v>60</v>
      </c>
      <c r="D275" s="247" t="s">
        <v>653</v>
      </c>
      <c r="E275" s="250"/>
      <c r="F275" s="250"/>
      <c r="G275" s="249"/>
      <c r="H275" s="249"/>
      <c r="I275" s="249"/>
      <c r="J275" s="249"/>
      <c r="K275" s="249"/>
      <c r="L275" s="249"/>
      <c r="M275" s="249"/>
      <c r="N275" s="249"/>
      <c r="O275" s="249"/>
      <c r="P275" s="249"/>
      <c r="Q275" s="249"/>
      <c r="R275" s="249"/>
      <c r="S275" s="249"/>
      <c r="T275" s="249"/>
      <c r="U275" s="249"/>
      <c r="V275" s="249"/>
      <c r="W275" s="249"/>
      <c r="X275" s="249"/>
      <c r="Y275" s="296"/>
      <c r="Z275" s="249"/>
      <c r="AA275" s="249"/>
      <c r="AB275" s="249"/>
      <c r="AC275" s="201">
        <f t="shared" ref="AC275:BL275" si="591">SUM(AC276:AC278)</f>
        <v>0</v>
      </c>
      <c r="AD275" s="201">
        <f t="shared" si="591"/>
        <v>0</v>
      </c>
      <c r="AE275" s="201">
        <f t="shared" si="591"/>
        <v>0</v>
      </c>
      <c r="AF275" s="201">
        <f t="shared" si="591"/>
        <v>0</v>
      </c>
      <c r="AG275" s="201">
        <f t="shared" si="591"/>
        <v>0</v>
      </c>
      <c r="AH275" s="201">
        <f t="shared" si="591"/>
        <v>0</v>
      </c>
      <c r="AI275" s="201">
        <f t="shared" si="591"/>
        <v>0</v>
      </c>
      <c r="AJ275" s="201">
        <f t="shared" si="591"/>
        <v>0</v>
      </c>
      <c r="AK275" s="201">
        <f t="shared" si="591"/>
        <v>100000000</v>
      </c>
      <c r="AL275" s="201">
        <f t="shared" si="591"/>
        <v>175000000</v>
      </c>
      <c r="AM275" s="201">
        <f t="shared" si="591"/>
        <v>140428251</v>
      </c>
      <c r="AN275" s="201">
        <f t="shared" si="591"/>
        <v>140428251</v>
      </c>
      <c r="AO275" s="201">
        <f t="shared" si="591"/>
        <v>0</v>
      </c>
      <c r="AP275" s="201">
        <f t="shared" si="591"/>
        <v>0</v>
      </c>
      <c r="AQ275" s="201">
        <f t="shared" si="591"/>
        <v>0</v>
      </c>
      <c r="AR275" s="201">
        <f t="shared" si="591"/>
        <v>0</v>
      </c>
      <c r="AS275" s="201">
        <f t="shared" si="591"/>
        <v>0</v>
      </c>
      <c r="AT275" s="201">
        <f t="shared" si="591"/>
        <v>0</v>
      </c>
      <c r="AU275" s="201">
        <f t="shared" si="591"/>
        <v>0</v>
      </c>
      <c r="AV275" s="201">
        <f t="shared" si="591"/>
        <v>0</v>
      </c>
      <c r="AW275" s="201">
        <f t="shared" si="591"/>
        <v>0</v>
      </c>
      <c r="AX275" s="201">
        <f t="shared" si="591"/>
        <v>0</v>
      </c>
      <c r="AY275" s="201">
        <f t="shared" si="591"/>
        <v>0</v>
      </c>
      <c r="AZ275" s="201">
        <f t="shared" si="591"/>
        <v>0</v>
      </c>
      <c r="BA275" s="201">
        <f t="shared" si="591"/>
        <v>0</v>
      </c>
      <c r="BB275" s="201">
        <f t="shared" si="591"/>
        <v>0</v>
      </c>
      <c r="BC275" s="201">
        <f t="shared" si="591"/>
        <v>0</v>
      </c>
      <c r="BD275" s="201">
        <f t="shared" si="591"/>
        <v>0</v>
      </c>
      <c r="BE275" s="201">
        <f t="shared" si="591"/>
        <v>0</v>
      </c>
      <c r="BF275" s="201">
        <f t="shared" si="591"/>
        <v>0</v>
      </c>
      <c r="BG275" s="201">
        <f t="shared" si="591"/>
        <v>0</v>
      </c>
      <c r="BH275" s="201">
        <f t="shared" si="591"/>
        <v>0</v>
      </c>
      <c r="BI275" s="201">
        <f t="shared" si="591"/>
        <v>0</v>
      </c>
      <c r="BJ275" s="201">
        <f t="shared" si="591"/>
        <v>0</v>
      </c>
      <c r="BK275" s="201">
        <f t="shared" si="591"/>
        <v>0</v>
      </c>
      <c r="BL275" s="201">
        <f t="shared" si="591"/>
        <v>0</v>
      </c>
      <c r="BM275" s="201">
        <f t="shared" ref="BM275:DX275" si="592">SUM(BM276:BM278)</f>
        <v>100000000</v>
      </c>
      <c r="BN275" s="201">
        <f t="shared" si="592"/>
        <v>175000000</v>
      </c>
      <c r="BO275" s="201">
        <f t="shared" si="592"/>
        <v>140428251</v>
      </c>
      <c r="BP275" s="201">
        <f t="shared" si="592"/>
        <v>140428251</v>
      </c>
      <c r="BQ275" s="201">
        <f t="shared" si="592"/>
        <v>0</v>
      </c>
      <c r="BR275" s="201">
        <f t="shared" si="592"/>
        <v>0</v>
      </c>
      <c r="BS275" s="201">
        <f t="shared" si="592"/>
        <v>0</v>
      </c>
      <c r="BT275" s="201">
        <f t="shared" si="592"/>
        <v>0</v>
      </c>
      <c r="BU275" s="201">
        <f t="shared" si="592"/>
        <v>0</v>
      </c>
      <c r="BV275" s="201">
        <f t="shared" si="592"/>
        <v>60000000</v>
      </c>
      <c r="BW275" s="201">
        <f t="shared" si="592"/>
        <v>60000000</v>
      </c>
      <c r="BX275" s="201">
        <f t="shared" si="592"/>
        <v>60000000</v>
      </c>
      <c r="BY275" s="201">
        <f t="shared" si="592"/>
        <v>0</v>
      </c>
      <c r="BZ275" s="201">
        <f t="shared" si="592"/>
        <v>100000000</v>
      </c>
      <c r="CA275" s="201">
        <f t="shared" si="592"/>
        <v>100000000</v>
      </c>
      <c r="CB275" s="201">
        <f t="shared" si="592"/>
        <v>91573916</v>
      </c>
      <c r="CC275" s="201">
        <f t="shared" si="592"/>
        <v>88673906</v>
      </c>
      <c r="CD275" s="201">
        <f t="shared" si="592"/>
        <v>0</v>
      </c>
      <c r="CE275" s="201">
        <f t="shared" si="592"/>
        <v>0</v>
      </c>
      <c r="CF275" s="201">
        <f t="shared" si="592"/>
        <v>0</v>
      </c>
      <c r="CG275" s="201">
        <f t="shared" si="592"/>
        <v>0</v>
      </c>
      <c r="CH275" s="201">
        <f t="shared" si="592"/>
        <v>0</v>
      </c>
      <c r="CI275" s="201">
        <f t="shared" si="592"/>
        <v>0</v>
      </c>
      <c r="CJ275" s="201">
        <f t="shared" si="592"/>
        <v>0</v>
      </c>
      <c r="CK275" s="201">
        <f t="shared" si="592"/>
        <v>0</v>
      </c>
      <c r="CL275" s="201">
        <f t="shared" si="592"/>
        <v>0</v>
      </c>
      <c r="CM275" s="201">
        <f t="shared" si="592"/>
        <v>0</v>
      </c>
      <c r="CN275" s="201">
        <f t="shared" si="592"/>
        <v>0</v>
      </c>
      <c r="CO275" s="201">
        <f t="shared" si="592"/>
        <v>0</v>
      </c>
      <c r="CP275" s="201">
        <f t="shared" si="592"/>
        <v>0</v>
      </c>
      <c r="CQ275" s="201">
        <f t="shared" si="592"/>
        <v>0</v>
      </c>
      <c r="CR275" s="201">
        <f t="shared" si="592"/>
        <v>0</v>
      </c>
      <c r="CS275" s="201">
        <f t="shared" si="592"/>
        <v>0</v>
      </c>
      <c r="CT275" s="201">
        <f t="shared" si="592"/>
        <v>0</v>
      </c>
      <c r="CU275" s="201">
        <f t="shared" si="592"/>
        <v>0</v>
      </c>
      <c r="CV275" s="201">
        <f t="shared" si="592"/>
        <v>0</v>
      </c>
      <c r="CW275" s="201">
        <f t="shared" si="592"/>
        <v>0</v>
      </c>
      <c r="CX275" s="201">
        <f t="shared" si="592"/>
        <v>0</v>
      </c>
      <c r="CY275" s="201">
        <f t="shared" si="592"/>
        <v>0</v>
      </c>
      <c r="CZ275" s="201">
        <f t="shared" si="592"/>
        <v>0</v>
      </c>
      <c r="DA275" s="201">
        <f t="shared" si="592"/>
        <v>0</v>
      </c>
      <c r="DB275" s="201">
        <f t="shared" si="592"/>
        <v>0</v>
      </c>
      <c r="DC275" s="201">
        <f t="shared" si="592"/>
        <v>0</v>
      </c>
      <c r="DD275" s="201">
        <f t="shared" si="592"/>
        <v>0</v>
      </c>
      <c r="DE275" s="201">
        <f t="shared" si="592"/>
        <v>100000000</v>
      </c>
      <c r="DF275" s="201">
        <f t="shared" si="592"/>
        <v>160000000</v>
      </c>
      <c r="DG275" s="201">
        <f t="shared" si="592"/>
        <v>151573916</v>
      </c>
      <c r="DH275" s="201">
        <f t="shared" si="592"/>
        <v>148673906</v>
      </c>
      <c r="DI275" s="201">
        <f t="shared" si="592"/>
        <v>0</v>
      </c>
      <c r="DJ275" s="201">
        <f t="shared" si="592"/>
        <v>0</v>
      </c>
      <c r="DK275" s="201">
        <f t="shared" si="592"/>
        <v>0</v>
      </c>
      <c r="DL275" s="201">
        <f t="shared" si="592"/>
        <v>0</v>
      </c>
      <c r="DM275" s="201">
        <f t="shared" si="592"/>
        <v>0</v>
      </c>
      <c r="DN275" s="201">
        <f t="shared" si="592"/>
        <v>0</v>
      </c>
      <c r="DO275" s="201">
        <f t="shared" si="592"/>
        <v>0</v>
      </c>
      <c r="DP275" s="201">
        <f t="shared" si="592"/>
        <v>0</v>
      </c>
      <c r="DQ275" s="201">
        <f t="shared" si="592"/>
        <v>0</v>
      </c>
      <c r="DR275" s="201">
        <f t="shared" si="592"/>
        <v>0</v>
      </c>
      <c r="DS275" s="201">
        <f t="shared" si="592"/>
        <v>100000000</v>
      </c>
      <c r="DT275" s="201">
        <f t="shared" si="592"/>
        <v>101000000</v>
      </c>
      <c r="DU275" s="201">
        <f t="shared" si="592"/>
        <v>94754775.349999994</v>
      </c>
      <c r="DV275" s="201">
        <f t="shared" si="592"/>
        <v>89101548</v>
      </c>
      <c r="DW275" s="201">
        <f t="shared" si="592"/>
        <v>0</v>
      </c>
      <c r="DX275" s="201">
        <f t="shared" si="592"/>
        <v>0</v>
      </c>
      <c r="DY275" s="201">
        <f t="shared" ref="DY275:EW275" si="593">SUM(DY276:DY278)</f>
        <v>0</v>
      </c>
      <c r="DZ275" s="201">
        <f t="shared" si="593"/>
        <v>0</v>
      </c>
      <c r="EA275" s="201">
        <f t="shared" si="593"/>
        <v>0</v>
      </c>
      <c r="EB275" s="201">
        <f t="shared" si="593"/>
        <v>0</v>
      </c>
      <c r="EC275" s="201">
        <f t="shared" si="593"/>
        <v>0</v>
      </c>
      <c r="ED275" s="201">
        <f t="shared" si="593"/>
        <v>0</v>
      </c>
      <c r="EE275" s="201">
        <f t="shared" si="593"/>
        <v>0</v>
      </c>
      <c r="EF275" s="201">
        <f t="shared" si="593"/>
        <v>0</v>
      </c>
      <c r="EG275" s="201">
        <f t="shared" si="593"/>
        <v>0</v>
      </c>
      <c r="EH275" s="201">
        <f t="shared" si="593"/>
        <v>0</v>
      </c>
      <c r="EI275" s="201">
        <f t="shared" si="593"/>
        <v>0</v>
      </c>
      <c r="EJ275" s="201">
        <f t="shared" si="593"/>
        <v>0</v>
      </c>
      <c r="EK275" s="201">
        <f t="shared" si="593"/>
        <v>0</v>
      </c>
      <c r="EL275" s="201">
        <f t="shared" si="593"/>
        <v>0</v>
      </c>
      <c r="EM275" s="201">
        <f t="shared" si="593"/>
        <v>0</v>
      </c>
      <c r="EN275" s="201">
        <f t="shared" si="593"/>
        <v>0</v>
      </c>
      <c r="EO275" s="201">
        <f t="shared" si="593"/>
        <v>0</v>
      </c>
      <c r="EP275" s="201">
        <f t="shared" si="593"/>
        <v>0</v>
      </c>
      <c r="EQ275" s="201">
        <f t="shared" si="593"/>
        <v>0</v>
      </c>
      <c r="ER275" s="201">
        <f t="shared" si="593"/>
        <v>0</v>
      </c>
      <c r="ES275" s="201">
        <f t="shared" si="593"/>
        <v>0</v>
      </c>
      <c r="ET275" s="201">
        <f t="shared" si="593"/>
        <v>0</v>
      </c>
      <c r="EU275" s="201">
        <f t="shared" si="593"/>
        <v>0</v>
      </c>
      <c r="EV275" s="201">
        <f t="shared" si="593"/>
        <v>0</v>
      </c>
      <c r="EW275" s="201">
        <f t="shared" si="593"/>
        <v>100000000</v>
      </c>
      <c r="EX275" s="201">
        <f t="shared" ref="EX275:GZ275" si="594">SUM(EX276:EX278)</f>
        <v>101000000</v>
      </c>
      <c r="EY275" s="201">
        <f t="shared" si="594"/>
        <v>94754775.349999994</v>
      </c>
      <c r="EZ275" s="201">
        <f t="shared" si="594"/>
        <v>89101548</v>
      </c>
      <c r="FA275" s="201">
        <f t="shared" si="594"/>
        <v>0</v>
      </c>
      <c r="FB275" s="201">
        <f t="shared" si="594"/>
        <v>0</v>
      </c>
      <c r="FC275" s="201">
        <f t="shared" si="594"/>
        <v>0</v>
      </c>
      <c r="FD275" s="201">
        <f t="shared" si="594"/>
        <v>0</v>
      </c>
      <c r="FE275" s="201">
        <f t="shared" si="594"/>
        <v>0</v>
      </c>
      <c r="FF275" s="201">
        <f t="shared" si="594"/>
        <v>0</v>
      </c>
      <c r="FG275" s="201">
        <f t="shared" si="594"/>
        <v>0</v>
      </c>
      <c r="FH275" s="201">
        <f t="shared" si="594"/>
        <v>0</v>
      </c>
      <c r="FI275" s="201">
        <f t="shared" si="594"/>
        <v>0</v>
      </c>
      <c r="FJ275" s="201">
        <f t="shared" si="594"/>
        <v>0</v>
      </c>
      <c r="FK275" s="201">
        <f t="shared" si="594"/>
        <v>0</v>
      </c>
      <c r="FL275" s="201">
        <f t="shared" si="594"/>
        <v>100000000</v>
      </c>
      <c r="FM275" s="201">
        <f t="shared" si="594"/>
        <v>120000000</v>
      </c>
      <c r="FN275" s="201">
        <f t="shared" si="594"/>
        <v>67832500</v>
      </c>
      <c r="FO275" s="201">
        <f t="shared" si="594"/>
        <v>33917000</v>
      </c>
      <c r="FP275" s="201">
        <f t="shared" si="594"/>
        <v>4144109.3500000015</v>
      </c>
      <c r="FQ275" s="201">
        <f t="shared" si="594"/>
        <v>0</v>
      </c>
      <c r="FR275" s="201">
        <f t="shared" si="594"/>
        <v>0</v>
      </c>
      <c r="FS275" s="201">
        <f t="shared" si="594"/>
        <v>0</v>
      </c>
      <c r="FT275" s="201">
        <f t="shared" si="594"/>
        <v>0</v>
      </c>
      <c r="FU275" s="201">
        <f t="shared" si="594"/>
        <v>0</v>
      </c>
      <c r="FV275" s="201">
        <f t="shared" si="594"/>
        <v>0</v>
      </c>
      <c r="FW275" s="201">
        <f t="shared" si="594"/>
        <v>0</v>
      </c>
      <c r="FX275" s="201">
        <f t="shared" si="594"/>
        <v>0</v>
      </c>
      <c r="FY275" s="201">
        <f t="shared" si="594"/>
        <v>0</v>
      </c>
      <c r="FZ275" s="201">
        <f t="shared" si="594"/>
        <v>0</v>
      </c>
      <c r="GA275" s="201">
        <f t="shared" si="594"/>
        <v>0</v>
      </c>
      <c r="GB275" s="201">
        <f t="shared" si="594"/>
        <v>0</v>
      </c>
      <c r="GC275" s="201">
        <f t="shared" si="594"/>
        <v>0</v>
      </c>
      <c r="GD275" s="201">
        <f t="shared" si="594"/>
        <v>0</v>
      </c>
      <c r="GE275" s="201">
        <f t="shared" si="594"/>
        <v>0</v>
      </c>
      <c r="GF275" s="201">
        <f t="shared" si="594"/>
        <v>0</v>
      </c>
      <c r="GG275" s="201">
        <f t="shared" si="594"/>
        <v>0</v>
      </c>
      <c r="GH275" s="201">
        <f t="shared" si="594"/>
        <v>0</v>
      </c>
      <c r="GI275" s="201">
        <f t="shared" si="594"/>
        <v>0</v>
      </c>
      <c r="GJ275" s="201">
        <f t="shared" si="594"/>
        <v>0</v>
      </c>
      <c r="GK275" s="201">
        <f t="shared" si="594"/>
        <v>0</v>
      </c>
      <c r="GL275" s="201">
        <f t="shared" si="594"/>
        <v>0</v>
      </c>
      <c r="GM275" s="201">
        <f t="shared" si="594"/>
        <v>0</v>
      </c>
      <c r="GN275" s="201">
        <f t="shared" si="594"/>
        <v>0</v>
      </c>
      <c r="GO275" s="201">
        <f t="shared" si="594"/>
        <v>0</v>
      </c>
      <c r="GP275" s="201">
        <f t="shared" si="594"/>
        <v>0</v>
      </c>
      <c r="GQ275" s="201">
        <f t="shared" si="594"/>
        <v>0</v>
      </c>
      <c r="GR275" s="201">
        <f t="shared" si="594"/>
        <v>0</v>
      </c>
      <c r="GS275" s="201">
        <f t="shared" si="594"/>
        <v>0</v>
      </c>
      <c r="GT275" s="201">
        <f t="shared" si="594"/>
        <v>0</v>
      </c>
      <c r="GU275" s="201">
        <f t="shared" si="594"/>
        <v>100000000</v>
      </c>
      <c r="GV275" s="201">
        <f t="shared" si="594"/>
        <v>120000000</v>
      </c>
      <c r="GW275" s="201">
        <f t="shared" si="594"/>
        <v>67832500</v>
      </c>
      <c r="GX275" s="201">
        <f t="shared" si="594"/>
        <v>33917000</v>
      </c>
      <c r="GY275" s="201">
        <f t="shared" si="594"/>
        <v>4144109.3500000015</v>
      </c>
      <c r="GZ275" s="201">
        <f t="shared" si="594"/>
        <v>400000000</v>
      </c>
    </row>
    <row r="276" spans="1:208" ht="93.75" customHeight="1" x14ac:dyDescent="0.2">
      <c r="A276" s="326"/>
      <c r="B276" s="326"/>
      <c r="C276" s="456"/>
      <c r="D276" s="993"/>
      <c r="E276" s="993"/>
      <c r="F276" s="993"/>
      <c r="G276" s="265">
        <v>187</v>
      </c>
      <c r="H276" s="358" t="s">
        <v>654</v>
      </c>
      <c r="I276" s="275" t="s">
        <v>655</v>
      </c>
      <c r="J276" s="262" t="s">
        <v>636</v>
      </c>
      <c r="K276" s="262">
        <v>14</v>
      </c>
      <c r="L276" s="304" t="s">
        <v>58</v>
      </c>
      <c r="M276" s="288">
        <v>1</v>
      </c>
      <c r="N276" s="288">
        <v>1</v>
      </c>
      <c r="O276" s="259">
        <v>1</v>
      </c>
      <c r="P276" s="523">
        <v>0.6</v>
      </c>
      <c r="Q276" s="462">
        <v>1</v>
      </c>
      <c r="R276" s="268"/>
      <c r="S276" s="389">
        <v>1</v>
      </c>
      <c r="T276" s="288">
        <v>1</v>
      </c>
      <c r="U276" s="288"/>
      <c r="V276" s="389">
        <v>1</v>
      </c>
      <c r="W276" s="288">
        <v>1</v>
      </c>
      <c r="X276" s="304"/>
      <c r="Y276" s="631">
        <v>0.7</v>
      </c>
      <c r="Z276" s="443">
        <f>BM276/$BM$275</f>
        <v>0.24349999999999999</v>
      </c>
      <c r="AA276" s="264">
        <v>8</v>
      </c>
      <c r="AB276" s="263" t="s">
        <v>135</v>
      </c>
      <c r="AC276" s="57"/>
      <c r="AD276" s="58"/>
      <c r="AE276" s="59"/>
      <c r="AF276" s="59"/>
      <c r="AG276" s="57"/>
      <c r="AH276" s="58"/>
      <c r="AI276" s="58"/>
      <c r="AJ276" s="58"/>
      <c r="AK276" s="57">
        <v>24350000</v>
      </c>
      <c r="AL276" s="54">
        <v>45449950</v>
      </c>
      <c r="AM276" s="55">
        <v>16425926</v>
      </c>
      <c r="AN276" s="55">
        <v>16425926</v>
      </c>
      <c r="AO276" s="57"/>
      <c r="AP276" s="58"/>
      <c r="AQ276" s="58"/>
      <c r="AR276" s="58"/>
      <c r="AS276" s="57"/>
      <c r="AT276" s="58"/>
      <c r="AU276" s="59"/>
      <c r="AV276" s="59"/>
      <c r="AW276" s="57"/>
      <c r="AX276" s="58"/>
      <c r="AY276" s="58"/>
      <c r="AZ276" s="58"/>
      <c r="BA276" s="57"/>
      <c r="BB276" s="58"/>
      <c r="BC276" s="58"/>
      <c r="BD276" s="58"/>
      <c r="BE276" s="57"/>
      <c r="BF276" s="58"/>
      <c r="BG276" s="59"/>
      <c r="BH276" s="59"/>
      <c r="BI276" s="57"/>
      <c r="BJ276" s="58"/>
      <c r="BK276" s="58"/>
      <c r="BL276" s="58"/>
      <c r="BM276" s="53">
        <f>+AC276+AG276+AK276+AO276+AS276+AW276+BA276+BE276+BI276</f>
        <v>24350000</v>
      </c>
      <c r="BN276" s="54">
        <f t="shared" ref="BN276:BP278" si="595">AD276+AH276+AL276+AP276+AT276+AX276+BB276+BF276+BJ276</f>
        <v>45449950</v>
      </c>
      <c r="BO276" s="54">
        <f t="shared" si="595"/>
        <v>16425926</v>
      </c>
      <c r="BP276" s="54">
        <f t="shared" si="595"/>
        <v>16425926</v>
      </c>
      <c r="BQ276" s="83"/>
      <c r="BR276" s="83"/>
      <c r="BS276" s="83"/>
      <c r="BT276" s="83"/>
      <c r="BU276" s="83"/>
      <c r="BV276" s="83"/>
      <c r="BW276" s="83"/>
      <c r="BX276" s="83"/>
      <c r="BY276" s="83"/>
      <c r="BZ276" s="83">
        <v>24350000</v>
      </c>
      <c r="CA276" s="83">
        <v>24350000</v>
      </c>
      <c r="CB276" s="83">
        <v>21417000</v>
      </c>
      <c r="CC276" s="83">
        <v>18516990</v>
      </c>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1">
        <f t="shared" ref="DE276:DH278" si="596">BQ276+BU276+BZ276+CE276+CI276+CM276+CQ276+CV276+DA276</f>
        <v>24350000</v>
      </c>
      <c r="DF276" s="95">
        <f t="shared" si="596"/>
        <v>24350000</v>
      </c>
      <c r="DG276" s="95">
        <f t="shared" si="596"/>
        <v>21417000</v>
      </c>
      <c r="DH276" s="95">
        <f t="shared" si="596"/>
        <v>18516990</v>
      </c>
      <c r="DI276" s="95"/>
      <c r="DJ276" s="83"/>
      <c r="DK276" s="82"/>
      <c r="DL276" s="83"/>
      <c r="DM276" s="83"/>
      <c r="DN276" s="83"/>
      <c r="DO276" s="83"/>
      <c r="DP276" s="83"/>
      <c r="DQ276" s="83"/>
      <c r="DR276" s="83"/>
      <c r="DS276" s="83">
        <v>24350000</v>
      </c>
      <c r="DT276" s="83">
        <v>25000000</v>
      </c>
      <c r="DU276" s="83">
        <v>23933333</v>
      </c>
      <c r="DV276" s="83">
        <v>20933333</v>
      </c>
      <c r="DW276" s="83"/>
      <c r="DX276" s="83"/>
      <c r="DY276" s="83"/>
      <c r="DZ276" s="83"/>
      <c r="EA276" s="83"/>
      <c r="EB276" s="83"/>
      <c r="EC276" s="83"/>
      <c r="ED276" s="83"/>
      <c r="EE276" s="83"/>
      <c r="EF276" s="83"/>
      <c r="EG276" s="83"/>
      <c r="EH276" s="83"/>
      <c r="EI276" s="83"/>
      <c r="EJ276" s="83"/>
      <c r="EK276" s="83"/>
      <c r="EL276" s="83"/>
      <c r="EM276" s="83"/>
      <c r="EN276" s="83"/>
      <c r="EO276" s="83"/>
      <c r="EP276" s="83"/>
      <c r="EQ276" s="83"/>
      <c r="ER276" s="83"/>
      <c r="ES276" s="83"/>
      <c r="ET276" s="83"/>
      <c r="EU276" s="83"/>
      <c r="EV276" s="83"/>
      <c r="EW276" s="81">
        <f t="shared" ref="EW276:EX278" si="597">DJ276+DN276+DS276+DX276+EB276+EF276+EJ276+EN276+ES276</f>
        <v>24350000</v>
      </c>
      <c r="EX276" s="86">
        <f t="shared" si="597"/>
        <v>25000000</v>
      </c>
      <c r="EY276" s="86">
        <f t="shared" ref="EY276:EZ278" si="598">DL276+DP276+DU276+DZ276+ED276+EH276+EL276+EP276+EU276</f>
        <v>23933333</v>
      </c>
      <c r="EZ276" s="86">
        <f t="shared" si="598"/>
        <v>20933333</v>
      </c>
      <c r="FA276" s="176"/>
      <c r="FB276" s="83"/>
      <c r="FC276" s="84"/>
      <c r="FD276" s="84"/>
      <c r="FE276" s="84"/>
      <c r="FF276" s="140"/>
      <c r="FG276" s="83"/>
      <c r="FH276" s="83"/>
      <c r="FI276" s="83"/>
      <c r="FJ276" s="83"/>
      <c r="FK276" s="83"/>
      <c r="FL276" s="83">
        <v>24350000</v>
      </c>
      <c r="FM276" s="83">
        <v>40000000</v>
      </c>
      <c r="FN276" s="83">
        <v>17293000</v>
      </c>
      <c r="FO276" s="83">
        <v>9793000</v>
      </c>
      <c r="FP276" s="83">
        <v>3000000</v>
      </c>
      <c r="FQ276" s="83"/>
      <c r="FR276" s="83"/>
      <c r="FS276" s="83"/>
      <c r="FT276" s="83"/>
      <c r="FU276" s="83"/>
      <c r="FV276" s="83"/>
      <c r="FW276" s="83"/>
      <c r="FX276" s="83"/>
      <c r="FY276" s="83"/>
      <c r="FZ276" s="83"/>
      <c r="GA276" s="83"/>
      <c r="GB276" s="83"/>
      <c r="GC276" s="83"/>
      <c r="GD276" s="83"/>
      <c r="GE276" s="83"/>
      <c r="GF276" s="83"/>
      <c r="GG276" s="83"/>
      <c r="GH276" s="83"/>
      <c r="GI276" s="83"/>
      <c r="GJ276" s="83"/>
      <c r="GK276" s="83"/>
      <c r="GL276" s="83"/>
      <c r="GM276" s="83"/>
      <c r="GN276" s="83"/>
      <c r="GO276" s="83"/>
      <c r="GP276" s="83"/>
      <c r="GQ276" s="83"/>
      <c r="GR276" s="83"/>
      <c r="GS276" s="83"/>
      <c r="GT276" s="83"/>
      <c r="GU276" s="81">
        <f>FB276+FG276+FL276+FQ276+FV276+GA276+GF276+GK276+GP276</f>
        <v>24350000</v>
      </c>
      <c r="GV276" s="81">
        <f t="shared" ref="GV276:GY278" si="599">GQ276+GL276+GG276+GB276+FW276+FR276+FM276+FH276+FC276</f>
        <v>40000000</v>
      </c>
      <c r="GW276" s="81">
        <f t="shared" si="599"/>
        <v>17293000</v>
      </c>
      <c r="GX276" s="81">
        <f t="shared" si="599"/>
        <v>9793000</v>
      </c>
      <c r="GY276" s="673">
        <f t="shared" si="599"/>
        <v>3000000</v>
      </c>
      <c r="GZ276" s="67">
        <f>BM276+DE276+EW276+GU276</f>
        <v>97400000</v>
      </c>
    </row>
    <row r="277" spans="1:208" ht="93.75" customHeight="1" x14ac:dyDescent="0.2">
      <c r="A277" s="326"/>
      <c r="B277" s="326"/>
      <c r="C277" s="332">
        <v>32</v>
      </c>
      <c r="D277" s="414" t="s">
        <v>656</v>
      </c>
      <c r="E277" s="342" t="s">
        <v>251</v>
      </c>
      <c r="F277" s="342" t="s">
        <v>252</v>
      </c>
      <c r="G277" s="265">
        <v>188</v>
      </c>
      <c r="H277" s="358" t="s">
        <v>657</v>
      </c>
      <c r="I277" s="275" t="s">
        <v>658</v>
      </c>
      <c r="J277" s="262" t="s">
        <v>636</v>
      </c>
      <c r="K277" s="262">
        <v>14</v>
      </c>
      <c r="L277" s="304" t="s">
        <v>58</v>
      </c>
      <c r="M277" s="288" t="s">
        <v>53</v>
      </c>
      <c r="N277" s="288">
        <v>2</v>
      </c>
      <c r="O277" s="259">
        <v>2</v>
      </c>
      <c r="P277" s="394">
        <v>2</v>
      </c>
      <c r="Q277" s="462">
        <v>2</v>
      </c>
      <c r="R277" s="268"/>
      <c r="S277" s="389">
        <v>2</v>
      </c>
      <c r="T277" s="288">
        <v>2</v>
      </c>
      <c r="U277" s="288"/>
      <c r="V277" s="389">
        <v>2</v>
      </c>
      <c r="W277" s="288">
        <v>2</v>
      </c>
      <c r="X277" s="304"/>
      <c r="Y277" s="631">
        <v>1.4</v>
      </c>
      <c r="Z277" s="443">
        <f>BM277/$BM$275</f>
        <v>0.3165</v>
      </c>
      <c r="AA277" s="264">
        <v>16</v>
      </c>
      <c r="AB277" s="263" t="s">
        <v>376</v>
      </c>
      <c r="AC277" s="57"/>
      <c r="AD277" s="58"/>
      <c r="AE277" s="59"/>
      <c r="AF277" s="59"/>
      <c r="AG277" s="57"/>
      <c r="AH277" s="58"/>
      <c r="AI277" s="58"/>
      <c r="AJ277" s="58"/>
      <c r="AK277" s="57">
        <f>25000000+6650000</f>
        <v>31650000</v>
      </c>
      <c r="AL277" s="58">
        <v>48800050</v>
      </c>
      <c r="AM277" s="55">
        <v>43252325</v>
      </c>
      <c r="AN277" s="55">
        <v>43252325</v>
      </c>
      <c r="AO277" s="57"/>
      <c r="AP277" s="58"/>
      <c r="AQ277" s="58"/>
      <c r="AR277" s="58"/>
      <c r="AS277" s="57"/>
      <c r="AT277" s="58"/>
      <c r="AU277" s="59"/>
      <c r="AV277" s="59"/>
      <c r="AW277" s="57"/>
      <c r="AX277" s="58"/>
      <c r="AY277" s="58"/>
      <c r="AZ277" s="58"/>
      <c r="BA277" s="57"/>
      <c r="BB277" s="58"/>
      <c r="BC277" s="58"/>
      <c r="BD277" s="58"/>
      <c r="BE277" s="57"/>
      <c r="BF277" s="58"/>
      <c r="BG277" s="59"/>
      <c r="BH277" s="59"/>
      <c r="BI277" s="57"/>
      <c r="BJ277" s="58"/>
      <c r="BK277" s="58"/>
      <c r="BL277" s="58"/>
      <c r="BM277" s="53">
        <f>+AC277+AG277+AK277+AO277+AS277+AW277+BA277+BE277+BI277</f>
        <v>31650000</v>
      </c>
      <c r="BN277" s="54">
        <f t="shared" si="595"/>
        <v>48800050</v>
      </c>
      <c r="BO277" s="54">
        <f t="shared" si="595"/>
        <v>43252325</v>
      </c>
      <c r="BP277" s="54">
        <f t="shared" si="595"/>
        <v>43252325</v>
      </c>
      <c r="BQ277" s="83"/>
      <c r="BR277" s="83"/>
      <c r="BS277" s="83"/>
      <c r="BT277" s="83"/>
      <c r="BU277" s="83"/>
      <c r="BV277" s="83"/>
      <c r="BW277" s="83"/>
      <c r="BX277" s="83"/>
      <c r="BY277" s="83"/>
      <c r="BZ277" s="83">
        <v>31650000</v>
      </c>
      <c r="CA277" s="83">
        <v>31650000</v>
      </c>
      <c r="CB277" s="83">
        <v>26810000</v>
      </c>
      <c r="CC277" s="83">
        <v>26810000</v>
      </c>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1">
        <f t="shared" si="596"/>
        <v>31650000</v>
      </c>
      <c r="DF277" s="95">
        <f t="shared" si="596"/>
        <v>31650000</v>
      </c>
      <c r="DG277" s="95">
        <f t="shared" si="596"/>
        <v>26810000</v>
      </c>
      <c r="DH277" s="95">
        <f t="shared" si="596"/>
        <v>26810000</v>
      </c>
      <c r="DI277" s="95"/>
      <c r="DJ277" s="83"/>
      <c r="DK277" s="82"/>
      <c r="DL277" s="83"/>
      <c r="DM277" s="83"/>
      <c r="DN277" s="83"/>
      <c r="DO277" s="83"/>
      <c r="DP277" s="83"/>
      <c r="DQ277" s="83"/>
      <c r="DR277" s="83"/>
      <c r="DS277" s="83">
        <v>31650000</v>
      </c>
      <c r="DT277" s="83">
        <v>38000000</v>
      </c>
      <c r="DU277" s="83">
        <v>35101442.350000001</v>
      </c>
      <c r="DV277" s="83">
        <v>33957333</v>
      </c>
      <c r="DW277" s="83"/>
      <c r="DX277" s="83"/>
      <c r="DY277" s="83"/>
      <c r="DZ277" s="83"/>
      <c r="EA277" s="83"/>
      <c r="EB277" s="83"/>
      <c r="EC277" s="83"/>
      <c r="ED277" s="83"/>
      <c r="EE277" s="83"/>
      <c r="EF277" s="83"/>
      <c r="EG277" s="83"/>
      <c r="EH277" s="83"/>
      <c r="EI277" s="83"/>
      <c r="EJ277" s="83"/>
      <c r="EK277" s="83"/>
      <c r="EL277" s="83"/>
      <c r="EM277" s="83"/>
      <c r="EN277" s="83"/>
      <c r="EO277" s="83"/>
      <c r="EP277" s="83"/>
      <c r="EQ277" s="83"/>
      <c r="ER277" s="83"/>
      <c r="ES277" s="83"/>
      <c r="ET277" s="83"/>
      <c r="EU277" s="83"/>
      <c r="EV277" s="83"/>
      <c r="EW277" s="81">
        <f t="shared" si="597"/>
        <v>31650000</v>
      </c>
      <c r="EX277" s="86">
        <f t="shared" si="597"/>
        <v>38000000</v>
      </c>
      <c r="EY277" s="86">
        <f t="shared" si="598"/>
        <v>35101442.350000001</v>
      </c>
      <c r="EZ277" s="86">
        <f t="shared" si="598"/>
        <v>33957333</v>
      </c>
      <c r="FA277" s="176"/>
      <c r="FB277" s="83"/>
      <c r="FC277" s="84"/>
      <c r="FD277" s="84"/>
      <c r="FE277" s="84"/>
      <c r="FF277" s="140"/>
      <c r="FG277" s="83"/>
      <c r="FH277" s="83"/>
      <c r="FI277" s="83"/>
      <c r="FJ277" s="83"/>
      <c r="FK277" s="83"/>
      <c r="FL277" s="83">
        <v>44000000</v>
      </c>
      <c r="FM277" s="83">
        <v>40000000</v>
      </c>
      <c r="FN277" s="83">
        <v>27139500</v>
      </c>
      <c r="FO277" s="83">
        <v>24124000</v>
      </c>
      <c r="FP277" s="83">
        <v>1144109.3500000015</v>
      </c>
      <c r="FQ277" s="83"/>
      <c r="FR277" s="83"/>
      <c r="FS277" s="83"/>
      <c r="FT277" s="83"/>
      <c r="FU277" s="83"/>
      <c r="FV277" s="83"/>
      <c r="FW277" s="83"/>
      <c r="FX277" s="83"/>
      <c r="FY277" s="83"/>
      <c r="FZ277" s="83"/>
      <c r="GA277" s="83"/>
      <c r="GB277" s="83"/>
      <c r="GC277" s="83"/>
      <c r="GD277" s="83"/>
      <c r="GE277" s="83"/>
      <c r="GF277" s="83"/>
      <c r="GG277" s="83"/>
      <c r="GH277" s="83"/>
      <c r="GI277" s="83"/>
      <c r="GJ277" s="83"/>
      <c r="GK277" s="83"/>
      <c r="GL277" s="83"/>
      <c r="GM277" s="83"/>
      <c r="GN277" s="83"/>
      <c r="GO277" s="83"/>
      <c r="GP277" s="83"/>
      <c r="GQ277" s="83"/>
      <c r="GR277" s="83"/>
      <c r="GS277" s="83"/>
      <c r="GT277" s="83"/>
      <c r="GU277" s="81">
        <f>FB277+FG277+FL277+FQ277+FV277+GA277+GF277+GK277+GP277</f>
        <v>44000000</v>
      </c>
      <c r="GV277" s="81">
        <f t="shared" si="599"/>
        <v>40000000</v>
      </c>
      <c r="GW277" s="81">
        <f t="shared" si="599"/>
        <v>27139500</v>
      </c>
      <c r="GX277" s="81">
        <f t="shared" si="599"/>
        <v>24124000</v>
      </c>
      <c r="GY277" s="673">
        <f t="shared" si="599"/>
        <v>1144109.3500000015</v>
      </c>
      <c r="GZ277" s="67">
        <f>BM277+DE277+EW277+GU277</f>
        <v>138950000</v>
      </c>
    </row>
    <row r="278" spans="1:208" ht="93.75" customHeight="1" x14ac:dyDescent="0.2">
      <c r="A278" s="326"/>
      <c r="B278" s="326"/>
      <c r="C278" s="277"/>
      <c r="D278" s="723"/>
      <c r="E278" s="284"/>
      <c r="F278" s="284"/>
      <c r="G278" s="265">
        <v>189</v>
      </c>
      <c r="H278" s="358" t="s">
        <v>659</v>
      </c>
      <c r="I278" s="275" t="s">
        <v>660</v>
      </c>
      <c r="J278" s="262" t="s">
        <v>636</v>
      </c>
      <c r="K278" s="262">
        <v>14</v>
      </c>
      <c r="L278" s="304" t="s">
        <v>58</v>
      </c>
      <c r="M278" s="288" t="s">
        <v>53</v>
      </c>
      <c r="N278" s="288">
        <v>1</v>
      </c>
      <c r="O278" s="259">
        <v>1</v>
      </c>
      <c r="P278" s="387">
        <v>0.8</v>
      </c>
      <c r="Q278" s="462">
        <v>1</v>
      </c>
      <c r="R278" s="268"/>
      <c r="S278" s="389">
        <v>1</v>
      </c>
      <c r="T278" s="288">
        <v>1</v>
      </c>
      <c r="U278" s="288"/>
      <c r="V278" s="389">
        <v>1</v>
      </c>
      <c r="W278" s="288">
        <v>1</v>
      </c>
      <c r="X278" s="304"/>
      <c r="Y278" s="631">
        <v>0.4</v>
      </c>
      <c r="Z278" s="443">
        <f>BM278/$BM$275</f>
        <v>0.44</v>
      </c>
      <c r="AA278" s="264">
        <v>3</v>
      </c>
      <c r="AB278" s="263" t="s">
        <v>455</v>
      </c>
      <c r="AC278" s="57"/>
      <c r="AD278" s="58"/>
      <c r="AE278" s="59"/>
      <c r="AF278" s="59"/>
      <c r="AG278" s="57"/>
      <c r="AH278" s="58"/>
      <c r="AI278" s="58"/>
      <c r="AJ278" s="58"/>
      <c r="AK278" s="57">
        <v>44000000</v>
      </c>
      <c r="AL278" s="58">
        <v>80750000</v>
      </c>
      <c r="AM278" s="55">
        <v>80750000</v>
      </c>
      <c r="AN278" s="55">
        <v>80750000</v>
      </c>
      <c r="AO278" s="57"/>
      <c r="AP278" s="58"/>
      <c r="AQ278" s="58"/>
      <c r="AR278" s="58"/>
      <c r="AS278" s="57"/>
      <c r="AT278" s="58"/>
      <c r="AU278" s="59"/>
      <c r="AV278" s="59"/>
      <c r="AW278" s="57"/>
      <c r="AX278" s="58"/>
      <c r="AY278" s="58"/>
      <c r="AZ278" s="58"/>
      <c r="BA278" s="57"/>
      <c r="BB278" s="58"/>
      <c r="BC278" s="58"/>
      <c r="BD278" s="58"/>
      <c r="BE278" s="57"/>
      <c r="BF278" s="58"/>
      <c r="BG278" s="59"/>
      <c r="BH278" s="59"/>
      <c r="BI278" s="57"/>
      <c r="BJ278" s="58"/>
      <c r="BK278" s="58"/>
      <c r="BL278" s="58"/>
      <c r="BM278" s="53">
        <f>+AC278+AG278+AK278+AO278+AS278+AW278+BA278+BE278+BI278</f>
        <v>44000000</v>
      </c>
      <c r="BN278" s="54">
        <f t="shared" si="595"/>
        <v>80750000</v>
      </c>
      <c r="BO278" s="54">
        <f t="shared" si="595"/>
        <v>80750000</v>
      </c>
      <c r="BP278" s="54">
        <f t="shared" si="595"/>
        <v>80750000</v>
      </c>
      <c r="BQ278" s="83"/>
      <c r="BR278" s="83"/>
      <c r="BS278" s="83"/>
      <c r="BT278" s="83"/>
      <c r="BU278" s="83"/>
      <c r="BV278" s="83">
        <v>60000000</v>
      </c>
      <c r="BW278" s="83">
        <v>60000000</v>
      </c>
      <c r="BX278" s="83">
        <v>60000000</v>
      </c>
      <c r="BY278" s="83"/>
      <c r="BZ278" s="83">
        <v>44000000</v>
      </c>
      <c r="CA278" s="83">
        <v>44000000</v>
      </c>
      <c r="CB278" s="83">
        <v>43346916</v>
      </c>
      <c r="CC278" s="83">
        <v>43346916</v>
      </c>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1">
        <f t="shared" si="596"/>
        <v>44000000</v>
      </c>
      <c r="DF278" s="95">
        <f t="shared" si="596"/>
        <v>104000000</v>
      </c>
      <c r="DG278" s="95">
        <f t="shared" si="596"/>
        <v>103346916</v>
      </c>
      <c r="DH278" s="95">
        <f t="shared" si="596"/>
        <v>103346916</v>
      </c>
      <c r="DI278" s="95"/>
      <c r="DJ278" s="83"/>
      <c r="DK278" s="82"/>
      <c r="DL278" s="83"/>
      <c r="DM278" s="83"/>
      <c r="DN278" s="83"/>
      <c r="DO278" s="83"/>
      <c r="DP278" s="83"/>
      <c r="DQ278" s="83"/>
      <c r="DR278" s="83"/>
      <c r="DS278" s="83">
        <v>44000000</v>
      </c>
      <c r="DT278" s="68">
        <v>38000000</v>
      </c>
      <c r="DU278" s="83">
        <v>35720000</v>
      </c>
      <c r="DV278" s="83">
        <v>34210882</v>
      </c>
      <c r="DW278" s="83"/>
      <c r="DX278" s="83"/>
      <c r="DY278" s="83"/>
      <c r="DZ278" s="83"/>
      <c r="EA278" s="83"/>
      <c r="EB278" s="83"/>
      <c r="EC278" s="83"/>
      <c r="ED278" s="83"/>
      <c r="EE278" s="83"/>
      <c r="EF278" s="83"/>
      <c r="EG278" s="83"/>
      <c r="EH278" s="83"/>
      <c r="EI278" s="83"/>
      <c r="EJ278" s="83"/>
      <c r="EK278" s="83"/>
      <c r="EL278" s="83"/>
      <c r="EM278" s="83"/>
      <c r="EN278" s="83"/>
      <c r="EO278" s="83"/>
      <c r="EP278" s="83"/>
      <c r="EQ278" s="83"/>
      <c r="ER278" s="83"/>
      <c r="ES278" s="83"/>
      <c r="ET278" s="83"/>
      <c r="EU278" s="83"/>
      <c r="EV278" s="83"/>
      <c r="EW278" s="81">
        <f t="shared" si="597"/>
        <v>44000000</v>
      </c>
      <c r="EX278" s="86">
        <f t="shared" si="597"/>
        <v>38000000</v>
      </c>
      <c r="EY278" s="86">
        <f t="shared" si="598"/>
        <v>35720000</v>
      </c>
      <c r="EZ278" s="86">
        <f t="shared" si="598"/>
        <v>34210882</v>
      </c>
      <c r="FA278" s="176"/>
      <c r="FB278" s="83"/>
      <c r="FC278" s="84"/>
      <c r="FD278" s="84"/>
      <c r="FE278" s="84"/>
      <c r="FF278" s="140"/>
      <c r="FG278" s="83"/>
      <c r="FH278" s="83"/>
      <c r="FI278" s="83"/>
      <c r="FJ278" s="83"/>
      <c r="FK278" s="83"/>
      <c r="FL278" s="83">
        <v>31650000</v>
      </c>
      <c r="FM278" s="83">
        <v>40000000</v>
      </c>
      <c r="FN278" s="83">
        <v>23400000</v>
      </c>
      <c r="FO278" s="83"/>
      <c r="FP278" s="83"/>
      <c r="FQ278" s="83"/>
      <c r="FR278" s="83"/>
      <c r="FS278" s="83"/>
      <c r="FT278" s="83"/>
      <c r="FU278" s="83"/>
      <c r="FV278" s="83"/>
      <c r="FW278" s="83"/>
      <c r="FX278" s="83"/>
      <c r="FY278" s="83"/>
      <c r="FZ278" s="83"/>
      <c r="GA278" s="83"/>
      <c r="GB278" s="83"/>
      <c r="GC278" s="83"/>
      <c r="GD278" s="83"/>
      <c r="GE278" s="83"/>
      <c r="GF278" s="83"/>
      <c r="GG278" s="83"/>
      <c r="GH278" s="83"/>
      <c r="GI278" s="83"/>
      <c r="GJ278" s="83"/>
      <c r="GK278" s="83"/>
      <c r="GL278" s="83"/>
      <c r="GM278" s="83"/>
      <c r="GN278" s="83"/>
      <c r="GO278" s="83"/>
      <c r="GP278" s="83"/>
      <c r="GQ278" s="83"/>
      <c r="GR278" s="83"/>
      <c r="GS278" s="83"/>
      <c r="GT278" s="83"/>
      <c r="GU278" s="81">
        <f>FB278+FG278+FL278+FQ278+FV278+GA278+GF278+GK278+GP278</f>
        <v>31650000</v>
      </c>
      <c r="GV278" s="81">
        <f t="shared" si="599"/>
        <v>40000000</v>
      </c>
      <c r="GW278" s="81">
        <f t="shared" si="599"/>
        <v>23400000</v>
      </c>
      <c r="GX278" s="81">
        <f t="shared" si="599"/>
        <v>0</v>
      </c>
      <c r="GY278" s="673">
        <f t="shared" si="599"/>
        <v>0</v>
      </c>
      <c r="GZ278" s="67">
        <f>BM278+DE278+EW278+GU278</f>
        <v>163650000</v>
      </c>
    </row>
    <row r="279" spans="1:208" ht="24.75" customHeight="1" x14ac:dyDescent="0.2">
      <c r="A279" s="326"/>
      <c r="B279" s="326"/>
      <c r="C279" s="246">
        <v>61</v>
      </c>
      <c r="D279" s="412" t="s">
        <v>661</v>
      </c>
      <c r="E279" s="295"/>
      <c r="F279" s="295"/>
      <c r="G279" s="249"/>
      <c r="H279" s="249"/>
      <c r="I279" s="249"/>
      <c r="J279" s="249"/>
      <c r="K279" s="249"/>
      <c r="L279" s="249"/>
      <c r="M279" s="249"/>
      <c r="N279" s="249"/>
      <c r="O279" s="249"/>
      <c r="P279" s="249"/>
      <c r="Q279" s="249"/>
      <c r="R279" s="249"/>
      <c r="S279" s="249"/>
      <c r="T279" s="249"/>
      <c r="U279" s="249"/>
      <c r="V279" s="249"/>
      <c r="W279" s="249"/>
      <c r="X279" s="249"/>
      <c r="Y279" s="296"/>
      <c r="Z279" s="249"/>
      <c r="AA279" s="249"/>
      <c r="AB279" s="249"/>
      <c r="AC279" s="186">
        <f t="shared" ref="AC279:BL279" si="600">SUM(AC280)</f>
        <v>0</v>
      </c>
      <c r="AD279" s="186">
        <f t="shared" si="600"/>
        <v>0</v>
      </c>
      <c r="AE279" s="186">
        <f t="shared" si="600"/>
        <v>0</v>
      </c>
      <c r="AF279" s="186">
        <f t="shared" si="600"/>
        <v>0</v>
      </c>
      <c r="AG279" s="186">
        <f t="shared" si="600"/>
        <v>0</v>
      </c>
      <c r="AH279" s="186">
        <f t="shared" si="600"/>
        <v>0</v>
      </c>
      <c r="AI279" s="186">
        <f t="shared" si="600"/>
        <v>0</v>
      </c>
      <c r="AJ279" s="186">
        <f t="shared" si="600"/>
        <v>0</v>
      </c>
      <c r="AK279" s="186">
        <f t="shared" si="600"/>
        <v>180000000</v>
      </c>
      <c r="AL279" s="186">
        <f t="shared" si="600"/>
        <v>180000000</v>
      </c>
      <c r="AM279" s="186">
        <f t="shared" si="600"/>
        <v>104217073</v>
      </c>
      <c r="AN279" s="186">
        <f t="shared" si="600"/>
        <v>104217073</v>
      </c>
      <c r="AO279" s="186">
        <f t="shared" si="600"/>
        <v>0</v>
      </c>
      <c r="AP279" s="186">
        <f t="shared" si="600"/>
        <v>0</v>
      </c>
      <c r="AQ279" s="186">
        <f t="shared" si="600"/>
        <v>0</v>
      </c>
      <c r="AR279" s="186">
        <f t="shared" si="600"/>
        <v>0</v>
      </c>
      <c r="AS279" s="186">
        <f t="shared" si="600"/>
        <v>0</v>
      </c>
      <c r="AT279" s="186">
        <f t="shared" si="600"/>
        <v>0</v>
      </c>
      <c r="AU279" s="186">
        <f t="shared" si="600"/>
        <v>0</v>
      </c>
      <c r="AV279" s="186">
        <f t="shared" si="600"/>
        <v>0</v>
      </c>
      <c r="AW279" s="186">
        <f t="shared" si="600"/>
        <v>0</v>
      </c>
      <c r="AX279" s="186">
        <f t="shared" si="600"/>
        <v>0</v>
      </c>
      <c r="AY279" s="186">
        <f t="shared" si="600"/>
        <v>0</v>
      </c>
      <c r="AZ279" s="186">
        <f t="shared" si="600"/>
        <v>0</v>
      </c>
      <c r="BA279" s="186">
        <f t="shared" si="600"/>
        <v>0</v>
      </c>
      <c r="BB279" s="186">
        <f t="shared" si="600"/>
        <v>0</v>
      </c>
      <c r="BC279" s="186">
        <f t="shared" si="600"/>
        <v>0</v>
      </c>
      <c r="BD279" s="186">
        <f t="shared" si="600"/>
        <v>0</v>
      </c>
      <c r="BE279" s="186">
        <f t="shared" si="600"/>
        <v>0</v>
      </c>
      <c r="BF279" s="186">
        <f t="shared" si="600"/>
        <v>0</v>
      </c>
      <c r="BG279" s="186">
        <f t="shared" si="600"/>
        <v>0</v>
      </c>
      <c r="BH279" s="186">
        <f t="shared" si="600"/>
        <v>0</v>
      </c>
      <c r="BI279" s="186">
        <f t="shared" si="600"/>
        <v>0</v>
      </c>
      <c r="BJ279" s="186">
        <f t="shared" si="600"/>
        <v>0</v>
      </c>
      <c r="BK279" s="186">
        <f t="shared" si="600"/>
        <v>0</v>
      </c>
      <c r="BL279" s="186">
        <f t="shared" si="600"/>
        <v>0</v>
      </c>
      <c r="BM279" s="186">
        <f t="shared" ref="BM279:DX279" si="601">SUM(BM280)</f>
        <v>180000000</v>
      </c>
      <c r="BN279" s="186">
        <f t="shared" si="601"/>
        <v>180000000</v>
      </c>
      <c r="BO279" s="186">
        <f t="shared" si="601"/>
        <v>104217073</v>
      </c>
      <c r="BP279" s="186">
        <f t="shared" si="601"/>
        <v>104217073</v>
      </c>
      <c r="BQ279" s="186">
        <f t="shared" si="601"/>
        <v>0</v>
      </c>
      <c r="BR279" s="186">
        <f t="shared" si="601"/>
        <v>0</v>
      </c>
      <c r="BS279" s="186">
        <f t="shared" si="601"/>
        <v>0</v>
      </c>
      <c r="BT279" s="186">
        <f t="shared" si="601"/>
        <v>0</v>
      </c>
      <c r="BU279" s="186">
        <f t="shared" si="601"/>
        <v>0</v>
      </c>
      <c r="BV279" s="186">
        <f t="shared" si="601"/>
        <v>0</v>
      </c>
      <c r="BW279" s="186">
        <f t="shared" si="601"/>
        <v>0</v>
      </c>
      <c r="BX279" s="186">
        <f t="shared" si="601"/>
        <v>0</v>
      </c>
      <c r="BY279" s="186">
        <f t="shared" si="601"/>
        <v>0</v>
      </c>
      <c r="BZ279" s="186">
        <f t="shared" si="601"/>
        <v>190000000</v>
      </c>
      <c r="CA279" s="186">
        <f t="shared" si="601"/>
        <v>190000000</v>
      </c>
      <c r="CB279" s="186">
        <f t="shared" si="601"/>
        <v>183206718</v>
      </c>
      <c r="CC279" s="186">
        <f t="shared" si="601"/>
        <v>182523851</v>
      </c>
      <c r="CD279" s="186">
        <f t="shared" si="601"/>
        <v>0</v>
      </c>
      <c r="CE279" s="186">
        <f t="shared" si="601"/>
        <v>0</v>
      </c>
      <c r="CF279" s="186">
        <f t="shared" si="601"/>
        <v>0</v>
      </c>
      <c r="CG279" s="186">
        <f t="shared" si="601"/>
        <v>0</v>
      </c>
      <c r="CH279" s="186">
        <f t="shared" si="601"/>
        <v>0</v>
      </c>
      <c r="CI279" s="186">
        <f t="shared" si="601"/>
        <v>0</v>
      </c>
      <c r="CJ279" s="186">
        <f t="shared" si="601"/>
        <v>0</v>
      </c>
      <c r="CK279" s="186">
        <f t="shared" si="601"/>
        <v>0</v>
      </c>
      <c r="CL279" s="186">
        <f t="shared" si="601"/>
        <v>0</v>
      </c>
      <c r="CM279" s="186">
        <f t="shared" si="601"/>
        <v>0</v>
      </c>
      <c r="CN279" s="186">
        <f t="shared" si="601"/>
        <v>0</v>
      </c>
      <c r="CO279" s="186">
        <f t="shared" si="601"/>
        <v>0</v>
      </c>
      <c r="CP279" s="186">
        <f t="shared" si="601"/>
        <v>0</v>
      </c>
      <c r="CQ279" s="186">
        <f t="shared" si="601"/>
        <v>0</v>
      </c>
      <c r="CR279" s="186">
        <f t="shared" si="601"/>
        <v>0</v>
      </c>
      <c r="CS279" s="186">
        <f t="shared" si="601"/>
        <v>0</v>
      </c>
      <c r="CT279" s="186">
        <f t="shared" si="601"/>
        <v>0</v>
      </c>
      <c r="CU279" s="186">
        <f t="shared" si="601"/>
        <v>0</v>
      </c>
      <c r="CV279" s="186">
        <f t="shared" si="601"/>
        <v>0</v>
      </c>
      <c r="CW279" s="186">
        <f t="shared" si="601"/>
        <v>0</v>
      </c>
      <c r="CX279" s="186">
        <f t="shared" si="601"/>
        <v>0</v>
      </c>
      <c r="CY279" s="186">
        <f t="shared" si="601"/>
        <v>0</v>
      </c>
      <c r="CZ279" s="186">
        <f t="shared" si="601"/>
        <v>0</v>
      </c>
      <c r="DA279" s="186">
        <f t="shared" si="601"/>
        <v>0</v>
      </c>
      <c r="DB279" s="186">
        <f t="shared" si="601"/>
        <v>0</v>
      </c>
      <c r="DC279" s="186">
        <f t="shared" si="601"/>
        <v>0</v>
      </c>
      <c r="DD279" s="186">
        <f t="shared" si="601"/>
        <v>0</v>
      </c>
      <c r="DE279" s="186">
        <f t="shared" si="601"/>
        <v>190000000</v>
      </c>
      <c r="DF279" s="186">
        <f t="shared" si="601"/>
        <v>190000000</v>
      </c>
      <c r="DG279" s="186">
        <f t="shared" si="601"/>
        <v>183206718</v>
      </c>
      <c r="DH279" s="186">
        <f t="shared" si="601"/>
        <v>182523851</v>
      </c>
      <c r="DI279" s="186">
        <f t="shared" si="601"/>
        <v>0</v>
      </c>
      <c r="DJ279" s="186">
        <f t="shared" si="601"/>
        <v>0</v>
      </c>
      <c r="DK279" s="186">
        <f t="shared" si="601"/>
        <v>0</v>
      </c>
      <c r="DL279" s="186">
        <f t="shared" si="601"/>
        <v>0</v>
      </c>
      <c r="DM279" s="186">
        <f t="shared" si="601"/>
        <v>0</v>
      </c>
      <c r="DN279" s="186">
        <f t="shared" si="601"/>
        <v>0</v>
      </c>
      <c r="DO279" s="186">
        <f t="shared" si="601"/>
        <v>0</v>
      </c>
      <c r="DP279" s="186">
        <f t="shared" si="601"/>
        <v>0</v>
      </c>
      <c r="DQ279" s="186">
        <f t="shared" si="601"/>
        <v>0</v>
      </c>
      <c r="DR279" s="186">
        <f t="shared" si="601"/>
        <v>0</v>
      </c>
      <c r="DS279" s="186">
        <f t="shared" si="601"/>
        <v>180000000</v>
      </c>
      <c r="DT279" s="186">
        <f t="shared" si="601"/>
        <v>190000000</v>
      </c>
      <c r="DU279" s="186">
        <f t="shared" si="601"/>
        <v>164624166</v>
      </c>
      <c r="DV279" s="186">
        <f t="shared" si="601"/>
        <v>163876391</v>
      </c>
      <c r="DW279" s="186">
        <f t="shared" si="601"/>
        <v>0</v>
      </c>
      <c r="DX279" s="186">
        <f t="shared" si="601"/>
        <v>0</v>
      </c>
      <c r="DY279" s="186">
        <f t="shared" ref="DY279:EW279" si="602">SUM(DY280)</f>
        <v>0</v>
      </c>
      <c r="DZ279" s="186">
        <f t="shared" si="602"/>
        <v>0</v>
      </c>
      <c r="EA279" s="186">
        <f t="shared" si="602"/>
        <v>0</v>
      </c>
      <c r="EB279" s="186">
        <f t="shared" si="602"/>
        <v>0</v>
      </c>
      <c r="EC279" s="186">
        <f t="shared" si="602"/>
        <v>0</v>
      </c>
      <c r="ED279" s="186">
        <f t="shared" si="602"/>
        <v>0</v>
      </c>
      <c r="EE279" s="186">
        <f t="shared" si="602"/>
        <v>0</v>
      </c>
      <c r="EF279" s="186">
        <f t="shared" si="602"/>
        <v>0</v>
      </c>
      <c r="EG279" s="186">
        <f t="shared" si="602"/>
        <v>0</v>
      </c>
      <c r="EH279" s="186">
        <f t="shared" si="602"/>
        <v>0</v>
      </c>
      <c r="EI279" s="186">
        <f t="shared" si="602"/>
        <v>0</v>
      </c>
      <c r="EJ279" s="186">
        <f t="shared" si="602"/>
        <v>0</v>
      </c>
      <c r="EK279" s="186">
        <f t="shared" si="602"/>
        <v>0</v>
      </c>
      <c r="EL279" s="186">
        <f t="shared" si="602"/>
        <v>0</v>
      </c>
      <c r="EM279" s="186">
        <f t="shared" si="602"/>
        <v>0</v>
      </c>
      <c r="EN279" s="186">
        <f t="shared" si="602"/>
        <v>0</v>
      </c>
      <c r="EO279" s="186">
        <f t="shared" si="602"/>
        <v>0</v>
      </c>
      <c r="EP279" s="186">
        <f t="shared" si="602"/>
        <v>0</v>
      </c>
      <c r="EQ279" s="186">
        <f t="shared" si="602"/>
        <v>0</v>
      </c>
      <c r="ER279" s="186">
        <f t="shared" si="602"/>
        <v>0</v>
      </c>
      <c r="ES279" s="186">
        <f t="shared" si="602"/>
        <v>0</v>
      </c>
      <c r="ET279" s="186">
        <f t="shared" si="602"/>
        <v>0</v>
      </c>
      <c r="EU279" s="186">
        <f t="shared" si="602"/>
        <v>0</v>
      </c>
      <c r="EV279" s="186">
        <f t="shared" si="602"/>
        <v>0</v>
      </c>
      <c r="EW279" s="186">
        <f t="shared" si="602"/>
        <v>180000000</v>
      </c>
      <c r="EX279" s="186">
        <f t="shared" ref="EX279:GZ279" si="603">SUM(EX280)</f>
        <v>190000000</v>
      </c>
      <c r="EY279" s="186">
        <f t="shared" si="603"/>
        <v>164624166</v>
      </c>
      <c r="EZ279" s="186">
        <f t="shared" si="603"/>
        <v>163876391</v>
      </c>
      <c r="FA279" s="186">
        <f t="shared" si="603"/>
        <v>0</v>
      </c>
      <c r="FB279" s="186">
        <f t="shared" si="603"/>
        <v>0</v>
      </c>
      <c r="FC279" s="186">
        <f t="shared" si="603"/>
        <v>0</v>
      </c>
      <c r="FD279" s="186">
        <f t="shared" si="603"/>
        <v>0</v>
      </c>
      <c r="FE279" s="186">
        <f t="shared" si="603"/>
        <v>0</v>
      </c>
      <c r="FF279" s="186">
        <f t="shared" si="603"/>
        <v>0</v>
      </c>
      <c r="FG279" s="186">
        <f t="shared" si="603"/>
        <v>0</v>
      </c>
      <c r="FH279" s="186">
        <f t="shared" si="603"/>
        <v>0</v>
      </c>
      <c r="FI279" s="186">
        <f t="shared" si="603"/>
        <v>0</v>
      </c>
      <c r="FJ279" s="186">
        <f t="shared" si="603"/>
        <v>0</v>
      </c>
      <c r="FK279" s="186">
        <f t="shared" si="603"/>
        <v>0</v>
      </c>
      <c r="FL279" s="186">
        <f t="shared" si="603"/>
        <v>180000000</v>
      </c>
      <c r="FM279" s="186">
        <f t="shared" si="603"/>
        <v>190000000</v>
      </c>
      <c r="FN279" s="186">
        <f t="shared" si="603"/>
        <v>94893725</v>
      </c>
      <c r="FO279" s="186">
        <f t="shared" si="603"/>
        <v>37719000</v>
      </c>
      <c r="FP279" s="186">
        <f t="shared" si="603"/>
        <v>0</v>
      </c>
      <c r="FQ279" s="186">
        <f t="shared" si="603"/>
        <v>0</v>
      </c>
      <c r="FR279" s="186">
        <f t="shared" si="603"/>
        <v>0</v>
      </c>
      <c r="FS279" s="186">
        <f t="shared" si="603"/>
        <v>0</v>
      </c>
      <c r="FT279" s="186">
        <f t="shared" si="603"/>
        <v>0</v>
      </c>
      <c r="FU279" s="186">
        <f t="shared" si="603"/>
        <v>0</v>
      </c>
      <c r="FV279" s="186">
        <f t="shared" si="603"/>
        <v>0</v>
      </c>
      <c r="FW279" s="186">
        <f t="shared" si="603"/>
        <v>0</v>
      </c>
      <c r="FX279" s="186">
        <f t="shared" si="603"/>
        <v>0</v>
      </c>
      <c r="FY279" s="186">
        <f t="shared" si="603"/>
        <v>0</v>
      </c>
      <c r="FZ279" s="186">
        <f t="shared" si="603"/>
        <v>0</v>
      </c>
      <c r="GA279" s="186">
        <f t="shared" si="603"/>
        <v>0</v>
      </c>
      <c r="GB279" s="186">
        <f t="shared" si="603"/>
        <v>0</v>
      </c>
      <c r="GC279" s="186">
        <f t="shared" si="603"/>
        <v>0</v>
      </c>
      <c r="GD279" s="186">
        <f t="shared" si="603"/>
        <v>0</v>
      </c>
      <c r="GE279" s="186">
        <f t="shared" si="603"/>
        <v>0</v>
      </c>
      <c r="GF279" s="186">
        <f t="shared" si="603"/>
        <v>0</v>
      </c>
      <c r="GG279" s="186">
        <f t="shared" si="603"/>
        <v>0</v>
      </c>
      <c r="GH279" s="186">
        <f t="shared" si="603"/>
        <v>0</v>
      </c>
      <c r="GI279" s="186">
        <f t="shared" si="603"/>
        <v>0</v>
      </c>
      <c r="GJ279" s="186">
        <f t="shared" si="603"/>
        <v>0</v>
      </c>
      <c r="GK279" s="186">
        <f t="shared" si="603"/>
        <v>0</v>
      </c>
      <c r="GL279" s="186">
        <f t="shared" si="603"/>
        <v>0</v>
      </c>
      <c r="GM279" s="186">
        <f t="shared" si="603"/>
        <v>0</v>
      </c>
      <c r="GN279" s="186">
        <f t="shared" si="603"/>
        <v>0</v>
      </c>
      <c r="GO279" s="186">
        <f t="shared" si="603"/>
        <v>0</v>
      </c>
      <c r="GP279" s="186">
        <f t="shared" si="603"/>
        <v>0</v>
      </c>
      <c r="GQ279" s="186">
        <f t="shared" si="603"/>
        <v>0</v>
      </c>
      <c r="GR279" s="186">
        <f t="shared" si="603"/>
        <v>0</v>
      </c>
      <c r="GS279" s="186">
        <f t="shared" si="603"/>
        <v>0</v>
      </c>
      <c r="GT279" s="186">
        <f t="shared" si="603"/>
        <v>0</v>
      </c>
      <c r="GU279" s="186">
        <f t="shared" si="603"/>
        <v>180000000</v>
      </c>
      <c r="GV279" s="186">
        <f t="shared" si="603"/>
        <v>190000000</v>
      </c>
      <c r="GW279" s="186">
        <f t="shared" si="603"/>
        <v>94893725</v>
      </c>
      <c r="GX279" s="186">
        <f t="shared" si="603"/>
        <v>37719000</v>
      </c>
      <c r="GY279" s="186">
        <f t="shared" si="603"/>
        <v>0</v>
      </c>
      <c r="GZ279" s="186">
        <f t="shared" si="603"/>
        <v>730000000</v>
      </c>
    </row>
    <row r="280" spans="1:208" ht="46.5" customHeight="1" x14ac:dyDescent="0.2">
      <c r="A280" s="326"/>
      <c r="B280" s="372"/>
      <c r="C280" s="288">
        <v>34</v>
      </c>
      <c r="D280" s="258" t="s">
        <v>662</v>
      </c>
      <c r="E280" s="288" t="s">
        <v>53</v>
      </c>
      <c r="F280" s="1036">
        <v>0.4</v>
      </c>
      <c r="G280" s="265">
        <v>190</v>
      </c>
      <c r="H280" s="358" t="s">
        <v>663</v>
      </c>
      <c r="I280" s="258" t="s">
        <v>664</v>
      </c>
      <c r="J280" s="262" t="s">
        <v>636</v>
      </c>
      <c r="K280" s="262">
        <v>14</v>
      </c>
      <c r="L280" s="263" t="s">
        <v>58</v>
      </c>
      <c r="M280" s="264">
        <v>1</v>
      </c>
      <c r="N280" s="264">
        <v>1</v>
      </c>
      <c r="O280" s="265">
        <v>1</v>
      </c>
      <c r="P280" s="266">
        <v>0.6</v>
      </c>
      <c r="Q280" s="474">
        <v>1</v>
      </c>
      <c r="R280" s="268"/>
      <c r="S280" s="270">
        <v>1</v>
      </c>
      <c r="T280" s="264">
        <v>1</v>
      </c>
      <c r="U280" s="264"/>
      <c r="V280" s="270">
        <v>0.8</v>
      </c>
      <c r="W280" s="264">
        <v>1</v>
      </c>
      <c r="X280" s="263"/>
      <c r="Y280" s="271">
        <v>0.65</v>
      </c>
      <c r="Z280" s="315">
        <f>BM280/BM279</f>
        <v>1</v>
      </c>
      <c r="AA280" s="264">
        <v>10</v>
      </c>
      <c r="AB280" s="263" t="s">
        <v>389</v>
      </c>
      <c r="AC280" s="53"/>
      <c r="AD280" s="54"/>
      <c r="AE280" s="54"/>
      <c r="AF280" s="54"/>
      <c r="AG280" s="53"/>
      <c r="AH280" s="54"/>
      <c r="AI280" s="54"/>
      <c r="AJ280" s="54"/>
      <c r="AK280" s="57">
        <f>150400000+22000000+7600000</f>
        <v>180000000</v>
      </c>
      <c r="AL280" s="58">
        <v>180000000</v>
      </c>
      <c r="AM280" s="55">
        <v>104217073</v>
      </c>
      <c r="AN280" s="55">
        <v>104217073</v>
      </c>
      <c r="AO280" s="57"/>
      <c r="AP280" s="58"/>
      <c r="AQ280" s="58"/>
      <c r="AR280" s="54"/>
      <c r="AS280" s="53"/>
      <c r="AT280" s="54"/>
      <c r="AU280" s="54"/>
      <c r="AV280" s="54"/>
      <c r="AW280" s="53"/>
      <c r="AX280" s="54"/>
      <c r="AY280" s="54"/>
      <c r="AZ280" s="54"/>
      <c r="BA280" s="53"/>
      <c r="BB280" s="54"/>
      <c r="BC280" s="54"/>
      <c r="BD280" s="54"/>
      <c r="BE280" s="53"/>
      <c r="BF280" s="54"/>
      <c r="BG280" s="54"/>
      <c r="BH280" s="54"/>
      <c r="BI280" s="53"/>
      <c r="BJ280" s="54"/>
      <c r="BK280" s="54"/>
      <c r="BL280" s="54"/>
      <c r="BM280" s="53">
        <f>+AC280+AG280+AK280+AO280+AS280+AW280+BA280+BE280+BI280</f>
        <v>180000000</v>
      </c>
      <c r="BN280" s="54">
        <f>AD280+AH280+AL280+AP280+AT280+AX280+BB280+BF280+BJ280</f>
        <v>180000000</v>
      </c>
      <c r="BO280" s="54">
        <f>AE280+AI280+AM280+AQ280+AU280+AY280+BC280+BG280+BK280</f>
        <v>104217073</v>
      </c>
      <c r="BP280" s="54">
        <f>AF280+AJ280+AN280+AR280+AV280+AZ280+BD280+BH280+BL280</f>
        <v>104217073</v>
      </c>
      <c r="BQ280" s="83"/>
      <c r="BR280" s="83"/>
      <c r="BS280" s="83"/>
      <c r="BT280" s="83"/>
      <c r="BU280" s="83"/>
      <c r="BV280" s="83"/>
      <c r="BW280" s="83"/>
      <c r="BX280" s="83"/>
      <c r="BY280" s="83"/>
      <c r="BZ280" s="84">
        <v>190000000</v>
      </c>
      <c r="CA280" s="83">
        <v>190000000</v>
      </c>
      <c r="CB280" s="83">
        <v>183206718</v>
      </c>
      <c r="CC280" s="83">
        <v>182523851</v>
      </c>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1">
        <f>BQ280+BU280+BZ280+CE280+CI280+CM280+CQ280+CV280+DA280</f>
        <v>190000000</v>
      </c>
      <c r="DF280" s="95">
        <f>BR280+BV280+CA280+CF280+CJ280+CN280+CR280+CW280+DB280</f>
        <v>190000000</v>
      </c>
      <c r="DG280" s="95">
        <f>BS280+BW280+CB280+CG280+CK280+CO280+CS280+CX280+DC280</f>
        <v>183206718</v>
      </c>
      <c r="DH280" s="95">
        <f>BT280+BX280+CC280+CH280+CL280+CP280+CT280+CY280+DD280</f>
        <v>182523851</v>
      </c>
      <c r="DI280" s="95"/>
      <c r="DJ280" s="84"/>
      <c r="DK280" s="65"/>
      <c r="DL280" s="84"/>
      <c r="DM280" s="84"/>
      <c r="DN280" s="84"/>
      <c r="DO280" s="84"/>
      <c r="DP280" s="84"/>
      <c r="DQ280" s="84"/>
      <c r="DR280" s="84"/>
      <c r="DS280" s="84">
        <v>180000000</v>
      </c>
      <c r="DT280" s="84">
        <v>190000000</v>
      </c>
      <c r="DU280" s="84">
        <v>164624166</v>
      </c>
      <c r="DV280" s="84">
        <v>163876391</v>
      </c>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3"/>
      <c r="EU280" s="83"/>
      <c r="EV280" s="83"/>
      <c r="EW280" s="81">
        <f>DJ280+DN280+DS280+DX280+EB280+EF280+EJ280+EN280+ES280</f>
        <v>180000000</v>
      </c>
      <c r="EX280" s="86">
        <f>DK280+DO280+DT280+DY280+EC280+EG280+EK280+EO280+ET280</f>
        <v>190000000</v>
      </c>
      <c r="EY280" s="86">
        <f>DL280+DP280+DU280+DZ280+ED280+EH280+EL280+EP280+EU280</f>
        <v>164624166</v>
      </c>
      <c r="EZ280" s="86">
        <f>DM280+DQ280+DV280+EA280+EE280+EI280+EM280+EQ280+EV280</f>
        <v>163876391</v>
      </c>
      <c r="FA280" s="176"/>
      <c r="FB280" s="83"/>
      <c r="FC280" s="84"/>
      <c r="FD280" s="84"/>
      <c r="FE280" s="84"/>
      <c r="FF280" s="140"/>
      <c r="FG280" s="83"/>
      <c r="FH280" s="83"/>
      <c r="FI280" s="83"/>
      <c r="FJ280" s="83"/>
      <c r="FK280" s="83"/>
      <c r="FL280" s="83">
        <v>180000000</v>
      </c>
      <c r="FM280" s="83">
        <v>190000000</v>
      </c>
      <c r="FN280" s="83">
        <v>94893725</v>
      </c>
      <c r="FO280" s="83">
        <v>37719000</v>
      </c>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3"/>
      <c r="GQ280" s="83"/>
      <c r="GR280" s="83"/>
      <c r="GS280" s="83"/>
      <c r="GT280" s="83"/>
      <c r="GU280" s="81">
        <f>FB280+FG280+FL280+FQ280+FV280+GA280+GF280+GK280+GP280</f>
        <v>180000000</v>
      </c>
      <c r="GV280" s="81">
        <f>GQ280+GL280+GG280+GB280+FW280+FR280+FM280+FH280+FC280</f>
        <v>190000000</v>
      </c>
      <c r="GW280" s="81">
        <f>GR280+GM280+GH280+GC280+FX280+FS280+FN280+FI280+FD280</f>
        <v>94893725</v>
      </c>
      <c r="GX280" s="81">
        <f>GS280+GN280+GI280+GD280+FY280+FT280+FO280+FJ280+FE280</f>
        <v>37719000</v>
      </c>
      <c r="GY280" s="673">
        <f>GT280+GO280+GJ280+GE280+FZ280+FU280+FP280+FK280+FF280</f>
        <v>0</v>
      </c>
      <c r="GZ280" s="67">
        <f>BM280+DE280+EW280+GU280</f>
        <v>730000000</v>
      </c>
    </row>
    <row r="281" spans="1:208" ht="27.75" customHeight="1" x14ac:dyDescent="0.2">
      <c r="A281" s="326"/>
      <c r="B281" s="234">
        <v>18</v>
      </c>
      <c r="C281" s="324" t="s">
        <v>665</v>
      </c>
      <c r="D281" s="236"/>
      <c r="E281" s="236"/>
      <c r="F281" s="236"/>
      <c r="G281" s="325"/>
      <c r="H281" s="325"/>
      <c r="I281" s="325"/>
      <c r="J281" s="325"/>
      <c r="K281" s="325"/>
      <c r="L281" s="325"/>
      <c r="M281" s="325"/>
      <c r="N281" s="325"/>
      <c r="O281" s="325"/>
      <c r="P281" s="325"/>
      <c r="Q281" s="325"/>
      <c r="R281" s="325"/>
      <c r="S281" s="325"/>
      <c r="T281" s="325"/>
      <c r="U281" s="325"/>
      <c r="V281" s="325"/>
      <c r="W281" s="325"/>
      <c r="X281" s="325"/>
      <c r="Y281" s="627"/>
      <c r="Z281" s="325"/>
      <c r="AA281" s="325"/>
      <c r="AB281" s="325"/>
      <c r="AC281" s="50">
        <f t="shared" ref="AC281:CN281" si="604">AC282+AC285+AC288+AC290+AC292</f>
        <v>0</v>
      </c>
      <c r="AD281" s="50">
        <f t="shared" si="604"/>
        <v>0</v>
      </c>
      <c r="AE281" s="50">
        <f t="shared" si="604"/>
        <v>0</v>
      </c>
      <c r="AF281" s="50">
        <f t="shared" si="604"/>
        <v>0</v>
      </c>
      <c r="AG281" s="50">
        <f t="shared" si="604"/>
        <v>0</v>
      </c>
      <c r="AH281" s="50">
        <f t="shared" si="604"/>
        <v>0</v>
      </c>
      <c r="AI281" s="50">
        <f t="shared" si="604"/>
        <v>0</v>
      </c>
      <c r="AJ281" s="50">
        <f t="shared" si="604"/>
        <v>0</v>
      </c>
      <c r="AK281" s="50">
        <f t="shared" si="604"/>
        <v>230000000</v>
      </c>
      <c r="AL281" s="50">
        <f t="shared" si="604"/>
        <v>435000000</v>
      </c>
      <c r="AM281" s="50">
        <f t="shared" si="604"/>
        <v>322214138</v>
      </c>
      <c r="AN281" s="50">
        <f t="shared" si="604"/>
        <v>298214138</v>
      </c>
      <c r="AO281" s="50">
        <f t="shared" si="604"/>
        <v>0</v>
      </c>
      <c r="AP281" s="50">
        <f t="shared" si="604"/>
        <v>0</v>
      </c>
      <c r="AQ281" s="50">
        <f t="shared" si="604"/>
        <v>0</v>
      </c>
      <c r="AR281" s="50">
        <f t="shared" si="604"/>
        <v>0</v>
      </c>
      <c r="AS281" s="50">
        <f t="shared" si="604"/>
        <v>0</v>
      </c>
      <c r="AT281" s="50">
        <f t="shared" si="604"/>
        <v>0</v>
      </c>
      <c r="AU281" s="50">
        <f t="shared" si="604"/>
        <v>0</v>
      </c>
      <c r="AV281" s="50">
        <f t="shared" si="604"/>
        <v>0</v>
      </c>
      <c r="AW281" s="50">
        <f t="shared" si="604"/>
        <v>0</v>
      </c>
      <c r="AX281" s="50">
        <f t="shared" si="604"/>
        <v>0</v>
      </c>
      <c r="AY281" s="50">
        <f t="shared" si="604"/>
        <v>0</v>
      </c>
      <c r="AZ281" s="50">
        <f t="shared" si="604"/>
        <v>0</v>
      </c>
      <c r="BA281" s="50">
        <f t="shared" si="604"/>
        <v>0</v>
      </c>
      <c r="BB281" s="50">
        <f t="shared" si="604"/>
        <v>0</v>
      </c>
      <c r="BC281" s="50">
        <f t="shared" si="604"/>
        <v>0</v>
      </c>
      <c r="BD281" s="50">
        <f t="shared" si="604"/>
        <v>0</v>
      </c>
      <c r="BE281" s="50">
        <f t="shared" si="604"/>
        <v>0</v>
      </c>
      <c r="BF281" s="50">
        <f t="shared" si="604"/>
        <v>0</v>
      </c>
      <c r="BG281" s="50">
        <f t="shared" si="604"/>
        <v>0</v>
      </c>
      <c r="BH281" s="50">
        <f t="shared" si="604"/>
        <v>0</v>
      </c>
      <c r="BI281" s="50">
        <f t="shared" si="604"/>
        <v>500000000</v>
      </c>
      <c r="BJ281" s="50">
        <f t="shared" si="604"/>
        <v>0</v>
      </c>
      <c r="BK281" s="50">
        <f t="shared" si="604"/>
        <v>0</v>
      </c>
      <c r="BL281" s="50">
        <f t="shared" si="604"/>
        <v>0</v>
      </c>
      <c r="BM281" s="50">
        <f t="shared" si="604"/>
        <v>730000000</v>
      </c>
      <c r="BN281" s="50">
        <f t="shared" si="604"/>
        <v>435000000</v>
      </c>
      <c r="BO281" s="50">
        <f t="shared" si="604"/>
        <v>322214138</v>
      </c>
      <c r="BP281" s="50">
        <f t="shared" si="604"/>
        <v>298214138</v>
      </c>
      <c r="BQ281" s="50">
        <f t="shared" si="604"/>
        <v>0</v>
      </c>
      <c r="BR281" s="50">
        <f t="shared" si="604"/>
        <v>0</v>
      </c>
      <c r="BS281" s="50">
        <f t="shared" si="604"/>
        <v>0</v>
      </c>
      <c r="BT281" s="50">
        <f t="shared" si="604"/>
        <v>0</v>
      </c>
      <c r="BU281" s="50">
        <f t="shared" si="604"/>
        <v>0</v>
      </c>
      <c r="BV281" s="50">
        <f t="shared" si="604"/>
        <v>199000000</v>
      </c>
      <c r="BW281" s="50">
        <f t="shared" si="604"/>
        <v>169716550</v>
      </c>
      <c r="BX281" s="50">
        <f t="shared" si="604"/>
        <v>169716550</v>
      </c>
      <c r="BY281" s="50">
        <f t="shared" si="604"/>
        <v>0</v>
      </c>
      <c r="BZ281" s="50">
        <f t="shared" si="604"/>
        <v>243000000</v>
      </c>
      <c r="CA281" s="50">
        <f t="shared" si="604"/>
        <v>1430000000</v>
      </c>
      <c r="CB281" s="50">
        <f t="shared" si="604"/>
        <v>1257662678</v>
      </c>
      <c r="CC281" s="50">
        <f t="shared" si="604"/>
        <v>958554730</v>
      </c>
      <c r="CD281" s="50">
        <f t="shared" si="604"/>
        <v>0</v>
      </c>
      <c r="CE281" s="50">
        <f t="shared" si="604"/>
        <v>0</v>
      </c>
      <c r="CF281" s="50">
        <f t="shared" si="604"/>
        <v>0</v>
      </c>
      <c r="CG281" s="50">
        <f t="shared" si="604"/>
        <v>0</v>
      </c>
      <c r="CH281" s="50">
        <f t="shared" si="604"/>
        <v>0</v>
      </c>
      <c r="CI281" s="50">
        <f t="shared" si="604"/>
        <v>0</v>
      </c>
      <c r="CJ281" s="50">
        <f t="shared" si="604"/>
        <v>0</v>
      </c>
      <c r="CK281" s="50">
        <f t="shared" si="604"/>
        <v>0</v>
      </c>
      <c r="CL281" s="50">
        <f t="shared" si="604"/>
        <v>0</v>
      </c>
      <c r="CM281" s="50">
        <f t="shared" si="604"/>
        <v>0</v>
      </c>
      <c r="CN281" s="50">
        <f t="shared" si="604"/>
        <v>0</v>
      </c>
      <c r="CO281" s="50">
        <f t="shared" ref="CO281:EV281" si="605">CO282+CO285+CO288+CO290+CO292</f>
        <v>0</v>
      </c>
      <c r="CP281" s="50">
        <f t="shared" si="605"/>
        <v>0</v>
      </c>
      <c r="CQ281" s="50">
        <f t="shared" si="605"/>
        <v>0</v>
      </c>
      <c r="CR281" s="50">
        <f t="shared" si="605"/>
        <v>0</v>
      </c>
      <c r="CS281" s="50">
        <f t="shared" si="605"/>
        <v>0</v>
      </c>
      <c r="CT281" s="50">
        <f t="shared" si="605"/>
        <v>0</v>
      </c>
      <c r="CU281" s="50">
        <f t="shared" si="605"/>
        <v>0</v>
      </c>
      <c r="CV281" s="50">
        <f t="shared" si="605"/>
        <v>0</v>
      </c>
      <c r="CW281" s="50">
        <f t="shared" si="605"/>
        <v>0</v>
      </c>
      <c r="CX281" s="50">
        <f t="shared" si="605"/>
        <v>0</v>
      </c>
      <c r="CY281" s="50">
        <f t="shared" si="605"/>
        <v>0</v>
      </c>
      <c r="CZ281" s="50">
        <f t="shared" si="605"/>
        <v>0</v>
      </c>
      <c r="DA281" s="50">
        <f t="shared" si="605"/>
        <v>500000000</v>
      </c>
      <c r="DB281" s="50">
        <f t="shared" si="605"/>
        <v>0</v>
      </c>
      <c r="DC281" s="50">
        <f t="shared" si="605"/>
        <v>0</v>
      </c>
      <c r="DD281" s="50">
        <f t="shared" si="605"/>
        <v>0</v>
      </c>
      <c r="DE281" s="50">
        <f t="shared" si="605"/>
        <v>743000000</v>
      </c>
      <c r="DF281" s="50">
        <f t="shared" si="605"/>
        <v>1629000000</v>
      </c>
      <c r="DG281" s="50">
        <f t="shared" si="605"/>
        <v>1427379228</v>
      </c>
      <c r="DH281" s="50">
        <f t="shared" si="605"/>
        <v>1128271280</v>
      </c>
      <c r="DI281" s="50">
        <f t="shared" si="605"/>
        <v>0</v>
      </c>
      <c r="DJ281" s="50">
        <f t="shared" si="605"/>
        <v>0</v>
      </c>
      <c r="DK281" s="50">
        <f t="shared" si="605"/>
        <v>0</v>
      </c>
      <c r="DL281" s="50">
        <f t="shared" si="605"/>
        <v>0</v>
      </c>
      <c r="DM281" s="50">
        <f t="shared" si="605"/>
        <v>0</v>
      </c>
      <c r="DN281" s="50">
        <f t="shared" si="605"/>
        <v>0</v>
      </c>
      <c r="DO281" s="50">
        <f t="shared" si="605"/>
        <v>225700000</v>
      </c>
      <c r="DP281" s="50">
        <f t="shared" si="605"/>
        <v>99800000</v>
      </c>
      <c r="DQ281" s="50">
        <f t="shared" si="605"/>
        <v>99800000</v>
      </c>
      <c r="DR281" s="50">
        <f t="shared" si="605"/>
        <v>0</v>
      </c>
      <c r="DS281" s="50">
        <f t="shared" si="605"/>
        <v>235000000</v>
      </c>
      <c r="DT281" s="50">
        <f t="shared" si="605"/>
        <v>1583520000</v>
      </c>
      <c r="DU281" s="50">
        <f t="shared" si="605"/>
        <v>1352937098</v>
      </c>
      <c r="DV281" s="50">
        <f t="shared" si="605"/>
        <v>1257312298</v>
      </c>
      <c r="DW281" s="50">
        <f t="shared" si="605"/>
        <v>0</v>
      </c>
      <c r="DX281" s="50">
        <f t="shared" si="605"/>
        <v>0</v>
      </c>
      <c r="DY281" s="50">
        <f t="shared" si="605"/>
        <v>0</v>
      </c>
      <c r="DZ281" s="50">
        <f t="shared" si="605"/>
        <v>0</v>
      </c>
      <c r="EA281" s="50">
        <f t="shared" si="605"/>
        <v>0</v>
      </c>
      <c r="EB281" s="50">
        <f t="shared" si="605"/>
        <v>0</v>
      </c>
      <c r="EC281" s="50">
        <f t="shared" si="605"/>
        <v>0</v>
      </c>
      <c r="ED281" s="50">
        <f t="shared" si="605"/>
        <v>0</v>
      </c>
      <c r="EE281" s="50">
        <f t="shared" si="605"/>
        <v>0</v>
      </c>
      <c r="EF281" s="50">
        <f t="shared" si="605"/>
        <v>0</v>
      </c>
      <c r="EG281" s="50">
        <f t="shared" si="605"/>
        <v>0</v>
      </c>
      <c r="EH281" s="50">
        <f t="shared" si="605"/>
        <v>0</v>
      </c>
      <c r="EI281" s="50">
        <f t="shared" si="605"/>
        <v>0</v>
      </c>
      <c r="EJ281" s="50">
        <f t="shared" si="605"/>
        <v>0</v>
      </c>
      <c r="EK281" s="50">
        <f t="shared" si="605"/>
        <v>0</v>
      </c>
      <c r="EL281" s="50">
        <f t="shared" si="605"/>
        <v>0</v>
      </c>
      <c r="EM281" s="50">
        <f t="shared" si="605"/>
        <v>0</v>
      </c>
      <c r="EN281" s="50">
        <f t="shared" si="605"/>
        <v>0</v>
      </c>
      <c r="EO281" s="50">
        <f t="shared" si="605"/>
        <v>0</v>
      </c>
      <c r="EP281" s="50">
        <f t="shared" si="605"/>
        <v>0</v>
      </c>
      <c r="EQ281" s="50">
        <f t="shared" si="605"/>
        <v>0</v>
      </c>
      <c r="ER281" s="50">
        <f t="shared" si="605"/>
        <v>0</v>
      </c>
      <c r="ES281" s="50">
        <f t="shared" si="605"/>
        <v>500000000</v>
      </c>
      <c r="ET281" s="50">
        <f t="shared" si="605"/>
        <v>0</v>
      </c>
      <c r="EU281" s="50">
        <f t="shared" si="605"/>
        <v>0</v>
      </c>
      <c r="EV281" s="50">
        <f t="shared" si="605"/>
        <v>0</v>
      </c>
      <c r="EW281" s="50">
        <f t="shared" ref="EW281" si="606">EW282+EW285+EW288+EW290+EW292</f>
        <v>735000000</v>
      </c>
      <c r="EX281" s="50">
        <f t="shared" ref="EX281:GZ281" si="607">EX282+EX285+EX288+EX290+EX292</f>
        <v>1809220000</v>
      </c>
      <c r="EY281" s="50">
        <f t="shared" si="607"/>
        <v>1452737098</v>
      </c>
      <c r="EZ281" s="50">
        <f t="shared" si="607"/>
        <v>1357112298</v>
      </c>
      <c r="FA281" s="50">
        <f t="shared" si="607"/>
        <v>0</v>
      </c>
      <c r="FB281" s="50">
        <f t="shared" si="607"/>
        <v>0</v>
      </c>
      <c r="FC281" s="50">
        <f t="shared" si="607"/>
        <v>0</v>
      </c>
      <c r="FD281" s="50">
        <f t="shared" si="607"/>
        <v>0</v>
      </c>
      <c r="FE281" s="50">
        <f t="shared" si="607"/>
        <v>0</v>
      </c>
      <c r="FF281" s="50">
        <f t="shared" si="607"/>
        <v>0</v>
      </c>
      <c r="FG281" s="50">
        <f t="shared" si="607"/>
        <v>0</v>
      </c>
      <c r="FH281" s="50">
        <f t="shared" si="607"/>
        <v>0</v>
      </c>
      <c r="FI281" s="50">
        <f t="shared" si="607"/>
        <v>0</v>
      </c>
      <c r="FJ281" s="50">
        <f t="shared" si="607"/>
        <v>0</v>
      </c>
      <c r="FK281" s="50">
        <f t="shared" si="607"/>
        <v>0</v>
      </c>
      <c r="FL281" s="50">
        <f t="shared" si="607"/>
        <v>237000000</v>
      </c>
      <c r="FM281" s="50">
        <f t="shared" si="607"/>
        <v>1367460000</v>
      </c>
      <c r="FN281" s="50">
        <f t="shared" si="607"/>
        <v>772727911</v>
      </c>
      <c r="FO281" s="50">
        <f t="shared" si="607"/>
        <v>251589367</v>
      </c>
      <c r="FP281" s="50">
        <f t="shared" si="607"/>
        <v>6688000</v>
      </c>
      <c r="FQ281" s="50">
        <f t="shared" si="607"/>
        <v>0</v>
      </c>
      <c r="FR281" s="50">
        <f t="shared" si="607"/>
        <v>0</v>
      </c>
      <c r="FS281" s="50">
        <f t="shared" si="607"/>
        <v>0</v>
      </c>
      <c r="FT281" s="50">
        <f t="shared" si="607"/>
        <v>0</v>
      </c>
      <c r="FU281" s="50">
        <f t="shared" si="607"/>
        <v>0</v>
      </c>
      <c r="FV281" s="50">
        <f t="shared" si="607"/>
        <v>0</v>
      </c>
      <c r="FW281" s="50">
        <f t="shared" si="607"/>
        <v>0</v>
      </c>
      <c r="FX281" s="50">
        <f t="shared" si="607"/>
        <v>0</v>
      </c>
      <c r="FY281" s="50">
        <f t="shared" si="607"/>
        <v>0</v>
      </c>
      <c r="FZ281" s="50">
        <f t="shared" si="607"/>
        <v>0</v>
      </c>
      <c r="GA281" s="50">
        <f t="shared" si="607"/>
        <v>0</v>
      </c>
      <c r="GB281" s="50">
        <f t="shared" si="607"/>
        <v>0</v>
      </c>
      <c r="GC281" s="50">
        <f t="shared" si="607"/>
        <v>0</v>
      </c>
      <c r="GD281" s="50">
        <f t="shared" si="607"/>
        <v>0</v>
      </c>
      <c r="GE281" s="50">
        <f t="shared" si="607"/>
        <v>0</v>
      </c>
      <c r="GF281" s="50">
        <f t="shared" si="607"/>
        <v>0</v>
      </c>
      <c r="GG281" s="50">
        <f t="shared" si="607"/>
        <v>0</v>
      </c>
      <c r="GH281" s="50">
        <f t="shared" si="607"/>
        <v>0</v>
      </c>
      <c r="GI281" s="50">
        <f t="shared" si="607"/>
        <v>0</v>
      </c>
      <c r="GJ281" s="50">
        <f t="shared" si="607"/>
        <v>0</v>
      </c>
      <c r="GK281" s="50">
        <f t="shared" si="607"/>
        <v>0</v>
      </c>
      <c r="GL281" s="50">
        <f t="shared" si="607"/>
        <v>0</v>
      </c>
      <c r="GM281" s="50">
        <f t="shared" si="607"/>
        <v>0</v>
      </c>
      <c r="GN281" s="50">
        <f t="shared" si="607"/>
        <v>0</v>
      </c>
      <c r="GO281" s="50">
        <f t="shared" si="607"/>
        <v>0</v>
      </c>
      <c r="GP281" s="50">
        <f t="shared" si="607"/>
        <v>1500000000</v>
      </c>
      <c r="GQ281" s="50">
        <f t="shared" si="607"/>
        <v>0</v>
      </c>
      <c r="GR281" s="50">
        <f t="shared" si="607"/>
        <v>0</v>
      </c>
      <c r="GS281" s="50">
        <f t="shared" si="607"/>
        <v>0</v>
      </c>
      <c r="GT281" s="50">
        <f t="shared" si="607"/>
        <v>0</v>
      </c>
      <c r="GU281" s="50">
        <f t="shared" si="607"/>
        <v>1737000000</v>
      </c>
      <c r="GV281" s="50">
        <f t="shared" si="607"/>
        <v>1367460000</v>
      </c>
      <c r="GW281" s="50">
        <f t="shared" si="607"/>
        <v>772727911</v>
      </c>
      <c r="GX281" s="50">
        <f t="shared" si="607"/>
        <v>251589367</v>
      </c>
      <c r="GY281" s="50">
        <f t="shared" si="607"/>
        <v>6688000</v>
      </c>
      <c r="GZ281" s="50">
        <f t="shared" si="607"/>
        <v>3945000000</v>
      </c>
    </row>
    <row r="282" spans="1:208" ht="27.75" customHeight="1" x14ac:dyDescent="0.2">
      <c r="A282" s="326"/>
      <c r="B282" s="993"/>
      <c r="C282" s="246">
        <v>62</v>
      </c>
      <c r="D282" s="247" t="s">
        <v>666</v>
      </c>
      <c r="E282" s="250"/>
      <c r="F282" s="250"/>
      <c r="G282" s="246"/>
      <c r="H282" s="246"/>
      <c r="I282" s="246"/>
      <c r="J282" s="246"/>
      <c r="K282" s="246"/>
      <c r="L282" s="246"/>
      <c r="M282" s="246"/>
      <c r="N282" s="246"/>
      <c r="O282" s="246"/>
      <c r="P282" s="246"/>
      <c r="Q282" s="246"/>
      <c r="R282" s="246"/>
      <c r="S282" s="246"/>
      <c r="T282" s="246"/>
      <c r="U282" s="246"/>
      <c r="V282" s="246"/>
      <c r="W282" s="246"/>
      <c r="X282" s="246"/>
      <c r="Y282" s="625"/>
      <c r="Z282" s="246"/>
      <c r="AA282" s="246"/>
      <c r="AB282" s="246"/>
      <c r="AC282" s="201">
        <f t="shared" ref="AC282:BL282" si="608">SUM(AC283:AC284)</f>
        <v>0</v>
      </c>
      <c r="AD282" s="201">
        <f t="shared" si="608"/>
        <v>0</v>
      </c>
      <c r="AE282" s="201">
        <f t="shared" si="608"/>
        <v>0</v>
      </c>
      <c r="AF282" s="201">
        <f t="shared" si="608"/>
        <v>0</v>
      </c>
      <c r="AG282" s="201">
        <f t="shared" si="608"/>
        <v>0</v>
      </c>
      <c r="AH282" s="201">
        <f t="shared" si="608"/>
        <v>0</v>
      </c>
      <c r="AI282" s="201">
        <f t="shared" si="608"/>
        <v>0</v>
      </c>
      <c r="AJ282" s="201">
        <f t="shared" si="608"/>
        <v>0</v>
      </c>
      <c r="AK282" s="201">
        <f t="shared" si="608"/>
        <v>70000000</v>
      </c>
      <c r="AL282" s="201">
        <f t="shared" si="608"/>
        <v>145000000</v>
      </c>
      <c r="AM282" s="201">
        <f t="shared" si="608"/>
        <v>105756666</v>
      </c>
      <c r="AN282" s="201">
        <f t="shared" si="608"/>
        <v>81756666</v>
      </c>
      <c r="AO282" s="201">
        <f t="shared" si="608"/>
        <v>0</v>
      </c>
      <c r="AP282" s="201">
        <f t="shared" si="608"/>
        <v>0</v>
      </c>
      <c r="AQ282" s="201">
        <f t="shared" si="608"/>
        <v>0</v>
      </c>
      <c r="AR282" s="201">
        <f t="shared" si="608"/>
        <v>0</v>
      </c>
      <c r="AS282" s="201">
        <f t="shared" si="608"/>
        <v>0</v>
      </c>
      <c r="AT282" s="201">
        <f t="shared" si="608"/>
        <v>0</v>
      </c>
      <c r="AU282" s="201">
        <f t="shared" si="608"/>
        <v>0</v>
      </c>
      <c r="AV282" s="201">
        <f t="shared" si="608"/>
        <v>0</v>
      </c>
      <c r="AW282" s="201">
        <f t="shared" si="608"/>
        <v>0</v>
      </c>
      <c r="AX282" s="201">
        <f t="shared" si="608"/>
        <v>0</v>
      </c>
      <c r="AY282" s="201">
        <f t="shared" si="608"/>
        <v>0</v>
      </c>
      <c r="AZ282" s="201">
        <f t="shared" si="608"/>
        <v>0</v>
      </c>
      <c r="BA282" s="201">
        <f t="shared" si="608"/>
        <v>0</v>
      </c>
      <c r="BB282" s="201">
        <f t="shared" si="608"/>
        <v>0</v>
      </c>
      <c r="BC282" s="201">
        <f t="shared" si="608"/>
        <v>0</v>
      </c>
      <c r="BD282" s="201">
        <f t="shared" si="608"/>
        <v>0</v>
      </c>
      <c r="BE282" s="201">
        <f t="shared" si="608"/>
        <v>0</v>
      </c>
      <c r="BF282" s="201">
        <f t="shared" si="608"/>
        <v>0</v>
      </c>
      <c r="BG282" s="201">
        <f t="shared" si="608"/>
        <v>0</v>
      </c>
      <c r="BH282" s="201">
        <f t="shared" si="608"/>
        <v>0</v>
      </c>
      <c r="BI282" s="201">
        <f t="shared" si="608"/>
        <v>500000000</v>
      </c>
      <c r="BJ282" s="201">
        <f t="shared" si="608"/>
        <v>0</v>
      </c>
      <c r="BK282" s="201">
        <f t="shared" si="608"/>
        <v>0</v>
      </c>
      <c r="BL282" s="201">
        <f t="shared" si="608"/>
        <v>0</v>
      </c>
      <c r="BM282" s="201">
        <f t="shared" ref="BM282:DX282" si="609">SUM(BM283:BM284)</f>
        <v>570000000</v>
      </c>
      <c r="BN282" s="201">
        <f t="shared" si="609"/>
        <v>145000000</v>
      </c>
      <c r="BO282" s="201">
        <f t="shared" si="609"/>
        <v>105756666</v>
      </c>
      <c r="BP282" s="201">
        <f t="shared" si="609"/>
        <v>81756666</v>
      </c>
      <c r="BQ282" s="201">
        <f t="shared" si="609"/>
        <v>0</v>
      </c>
      <c r="BR282" s="201">
        <f t="shared" si="609"/>
        <v>0</v>
      </c>
      <c r="BS282" s="201">
        <f t="shared" si="609"/>
        <v>0</v>
      </c>
      <c r="BT282" s="201">
        <f t="shared" si="609"/>
        <v>0</v>
      </c>
      <c r="BU282" s="201">
        <f t="shared" si="609"/>
        <v>0</v>
      </c>
      <c r="BV282" s="201">
        <f t="shared" si="609"/>
        <v>15000000</v>
      </c>
      <c r="BW282" s="201">
        <f t="shared" si="609"/>
        <v>15000000</v>
      </c>
      <c r="BX282" s="201">
        <f t="shared" si="609"/>
        <v>15000000</v>
      </c>
      <c r="BY282" s="201">
        <f t="shared" si="609"/>
        <v>0</v>
      </c>
      <c r="BZ282" s="201">
        <f t="shared" si="609"/>
        <v>70000000</v>
      </c>
      <c r="CA282" s="201">
        <f t="shared" si="609"/>
        <v>1167000000</v>
      </c>
      <c r="CB282" s="201">
        <f t="shared" si="609"/>
        <v>1018445612</v>
      </c>
      <c r="CC282" s="201">
        <f t="shared" si="609"/>
        <v>719443664</v>
      </c>
      <c r="CD282" s="201">
        <f t="shared" si="609"/>
        <v>0</v>
      </c>
      <c r="CE282" s="201">
        <f t="shared" si="609"/>
        <v>0</v>
      </c>
      <c r="CF282" s="201">
        <f t="shared" si="609"/>
        <v>0</v>
      </c>
      <c r="CG282" s="201">
        <f t="shared" si="609"/>
        <v>0</v>
      </c>
      <c r="CH282" s="201">
        <f t="shared" si="609"/>
        <v>0</v>
      </c>
      <c r="CI282" s="201">
        <f t="shared" si="609"/>
        <v>0</v>
      </c>
      <c r="CJ282" s="201">
        <f t="shared" si="609"/>
        <v>0</v>
      </c>
      <c r="CK282" s="201">
        <f t="shared" si="609"/>
        <v>0</v>
      </c>
      <c r="CL282" s="201">
        <f t="shared" si="609"/>
        <v>0</v>
      </c>
      <c r="CM282" s="201">
        <f t="shared" si="609"/>
        <v>0</v>
      </c>
      <c r="CN282" s="201">
        <f t="shared" si="609"/>
        <v>0</v>
      </c>
      <c r="CO282" s="201">
        <f t="shared" si="609"/>
        <v>0</v>
      </c>
      <c r="CP282" s="201">
        <f t="shared" si="609"/>
        <v>0</v>
      </c>
      <c r="CQ282" s="201">
        <f t="shared" si="609"/>
        <v>0</v>
      </c>
      <c r="CR282" s="201">
        <f t="shared" si="609"/>
        <v>0</v>
      </c>
      <c r="CS282" s="201">
        <f t="shared" si="609"/>
        <v>0</v>
      </c>
      <c r="CT282" s="201">
        <f t="shared" si="609"/>
        <v>0</v>
      </c>
      <c r="CU282" s="201">
        <f t="shared" si="609"/>
        <v>0</v>
      </c>
      <c r="CV282" s="201">
        <f t="shared" si="609"/>
        <v>0</v>
      </c>
      <c r="CW282" s="201">
        <f t="shared" si="609"/>
        <v>0</v>
      </c>
      <c r="CX282" s="201">
        <f t="shared" si="609"/>
        <v>0</v>
      </c>
      <c r="CY282" s="201">
        <f t="shared" si="609"/>
        <v>0</v>
      </c>
      <c r="CZ282" s="201">
        <f t="shared" si="609"/>
        <v>0</v>
      </c>
      <c r="DA282" s="201">
        <f t="shared" si="609"/>
        <v>500000000</v>
      </c>
      <c r="DB282" s="201">
        <f t="shared" si="609"/>
        <v>0</v>
      </c>
      <c r="DC282" s="201">
        <f t="shared" si="609"/>
        <v>0</v>
      </c>
      <c r="DD282" s="201">
        <f t="shared" si="609"/>
        <v>0</v>
      </c>
      <c r="DE282" s="201">
        <f t="shared" si="609"/>
        <v>570000000</v>
      </c>
      <c r="DF282" s="201">
        <f t="shared" si="609"/>
        <v>1182000000</v>
      </c>
      <c r="DG282" s="201">
        <f t="shared" si="609"/>
        <v>1033445612</v>
      </c>
      <c r="DH282" s="201">
        <f t="shared" si="609"/>
        <v>734443664</v>
      </c>
      <c r="DI282" s="201">
        <f t="shared" si="609"/>
        <v>0</v>
      </c>
      <c r="DJ282" s="201">
        <f t="shared" si="609"/>
        <v>0</v>
      </c>
      <c r="DK282" s="201">
        <f t="shared" si="609"/>
        <v>0</v>
      </c>
      <c r="DL282" s="201">
        <f t="shared" si="609"/>
        <v>0</v>
      </c>
      <c r="DM282" s="201">
        <f t="shared" si="609"/>
        <v>0</v>
      </c>
      <c r="DN282" s="201">
        <f t="shared" si="609"/>
        <v>0</v>
      </c>
      <c r="DO282" s="201">
        <f t="shared" si="609"/>
        <v>170000000</v>
      </c>
      <c r="DP282" s="201">
        <f t="shared" si="609"/>
        <v>44100000</v>
      </c>
      <c r="DQ282" s="201">
        <f t="shared" si="609"/>
        <v>44100000</v>
      </c>
      <c r="DR282" s="201">
        <f t="shared" si="609"/>
        <v>0</v>
      </c>
      <c r="DS282" s="201">
        <f t="shared" si="609"/>
        <v>70000000</v>
      </c>
      <c r="DT282" s="201">
        <f t="shared" si="609"/>
        <v>1194000000</v>
      </c>
      <c r="DU282" s="201">
        <f t="shared" si="609"/>
        <v>998547931</v>
      </c>
      <c r="DV282" s="201">
        <f t="shared" si="609"/>
        <v>911468131</v>
      </c>
      <c r="DW282" s="201">
        <f t="shared" si="609"/>
        <v>0</v>
      </c>
      <c r="DX282" s="201">
        <f t="shared" si="609"/>
        <v>0</v>
      </c>
      <c r="DY282" s="201">
        <f t="shared" ref="DY282:EW282" si="610">SUM(DY283:DY284)</f>
        <v>0</v>
      </c>
      <c r="DZ282" s="201">
        <f t="shared" si="610"/>
        <v>0</v>
      </c>
      <c r="EA282" s="201">
        <f t="shared" si="610"/>
        <v>0</v>
      </c>
      <c r="EB282" s="201">
        <f t="shared" si="610"/>
        <v>0</v>
      </c>
      <c r="EC282" s="201">
        <f t="shared" si="610"/>
        <v>0</v>
      </c>
      <c r="ED282" s="201">
        <f t="shared" si="610"/>
        <v>0</v>
      </c>
      <c r="EE282" s="201">
        <f t="shared" si="610"/>
        <v>0</v>
      </c>
      <c r="EF282" s="201">
        <f t="shared" si="610"/>
        <v>0</v>
      </c>
      <c r="EG282" s="201">
        <f t="shared" si="610"/>
        <v>0</v>
      </c>
      <c r="EH282" s="201">
        <f t="shared" si="610"/>
        <v>0</v>
      </c>
      <c r="EI282" s="201">
        <f t="shared" si="610"/>
        <v>0</v>
      </c>
      <c r="EJ282" s="201">
        <f t="shared" si="610"/>
        <v>0</v>
      </c>
      <c r="EK282" s="201">
        <f t="shared" si="610"/>
        <v>0</v>
      </c>
      <c r="EL282" s="201">
        <f t="shared" si="610"/>
        <v>0</v>
      </c>
      <c r="EM282" s="201">
        <f t="shared" si="610"/>
        <v>0</v>
      </c>
      <c r="EN282" s="201">
        <f t="shared" si="610"/>
        <v>0</v>
      </c>
      <c r="EO282" s="201">
        <f t="shared" si="610"/>
        <v>0</v>
      </c>
      <c r="EP282" s="201">
        <f t="shared" si="610"/>
        <v>0</v>
      </c>
      <c r="EQ282" s="201">
        <f t="shared" si="610"/>
        <v>0</v>
      </c>
      <c r="ER282" s="201">
        <f t="shared" si="610"/>
        <v>0</v>
      </c>
      <c r="ES282" s="201">
        <f t="shared" si="610"/>
        <v>500000000</v>
      </c>
      <c r="ET282" s="201">
        <f t="shared" si="610"/>
        <v>0</v>
      </c>
      <c r="EU282" s="201">
        <f t="shared" si="610"/>
        <v>0</v>
      </c>
      <c r="EV282" s="201">
        <f t="shared" si="610"/>
        <v>0</v>
      </c>
      <c r="EW282" s="201">
        <f t="shared" si="610"/>
        <v>570000000</v>
      </c>
      <c r="EX282" s="201">
        <f t="shared" ref="EX282:GZ282" si="611">SUM(EX283:EX284)</f>
        <v>1364000000</v>
      </c>
      <c r="EY282" s="201">
        <f t="shared" si="611"/>
        <v>1042647931</v>
      </c>
      <c r="EZ282" s="201">
        <f t="shared" si="611"/>
        <v>955568131</v>
      </c>
      <c r="FA282" s="201">
        <f t="shared" si="611"/>
        <v>0</v>
      </c>
      <c r="FB282" s="201">
        <f t="shared" si="611"/>
        <v>0</v>
      </c>
      <c r="FC282" s="201">
        <f t="shared" si="611"/>
        <v>0</v>
      </c>
      <c r="FD282" s="201">
        <f t="shared" si="611"/>
        <v>0</v>
      </c>
      <c r="FE282" s="201">
        <f t="shared" si="611"/>
        <v>0</v>
      </c>
      <c r="FF282" s="201">
        <f t="shared" si="611"/>
        <v>0</v>
      </c>
      <c r="FG282" s="201">
        <f t="shared" si="611"/>
        <v>0</v>
      </c>
      <c r="FH282" s="201">
        <f t="shared" si="611"/>
        <v>0</v>
      </c>
      <c r="FI282" s="201">
        <f t="shared" si="611"/>
        <v>0</v>
      </c>
      <c r="FJ282" s="201">
        <f t="shared" si="611"/>
        <v>0</v>
      </c>
      <c r="FK282" s="201">
        <f t="shared" si="611"/>
        <v>0</v>
      </c>
      <c r="FL282" s="201">
        <f t="shared" si="611"/>
        <v>70000000</v>
      </c>
      <c r="FM282" s="201">
        <f t="shared" si="611"/>
        <v>1088100000</v>
      </c>
      <c r="FN282" s="201">
        <f t="shared" si="611"/>
        <v>591706911</v>
      </c>
      <c r="FO282" s="201">
        <f t="shared" si="611"/>
        <v>173110367</v>
      </c>
      <c r="FP282" s="201">
        <f t="shared" si="611"/>
        <v>0</v>
      </c>
      <c r="FQ282" s="201">
        <f t="shared" si="611"/>
        <v>0</v>
      </c>
      <c r="FR282" s="201">
        <f t="shared" si="611"/>
        <v>0</v>
      </c>
      <c r="FS282" s="201">
        <f t="shared" si="611"/>
        <v>0</v>
      </c>
      <c r="FT282" s="201">
        <f t="shared" si="611"/>
        <v>0</v>
      </c>
      <c r="FU282" s="201">
        <f t="shared" si="611"/>
        <v>0</v>
      </c>
      <c r="FV282" s="201">
        <f t="shared" si="611"/>
        <v>0</v>
      </c>
      <c r="FW282" s="201">
        <f t="shared" si="611"/>
        <v>0</v>
      </c>
      <c r="FX282" s="201">
        <f t="shared" si="611"/>
        <v>0</v>
      </c>
      <c r="FY282" s="201">
        <f t="shared" si="611"/>
        <v>0</v>
      </c>
      <c r="FZ282" s="201">
        <f t="shared" si="611"/>
        <v>0</v>
      </c>
      <c r="GA282" s="201">
        <f t="shared" si="611"/>
        <v>0</v>
      </c>
      <c r="GB282" s="201">
        <f t="shared" si="611"/>
        <v>0</v>
      </c>
      <c r="GC282" s="201">
        <f t="shared" si="611"/>
        <v>0</v>
      </c>
      <c r="GD282" s="201">
        <f t="shared" si="611"/>
        <v>0</v>
      </c>
      <c r="GE282" s="201">
        <f t="shared" si="611"/>
        <v>0</v>
      </c>
      <c r="GF282" s="201">
        <f t="shared" si="611"/>
        <v>0</v>
      </c>
      <c r="GG282" s="201">
        <f t="shared" si="611"/>
        <v>0</v>
      </c>
      <c r="GH282" s="201">
        <f t="shared" si="611"/>
        <v>0</v>
      </c>
      <c r="GI282" s="201">
        <f t="shared" si="611"/>
        <v>0</v>
      </c>
      <c r="GJ282" s="201">
        <f t="shared" si="611"/>
        <v>0</v>
      </c>
      <c r="GK282" s="201">
        <f t="shared" si="611"/>
        <v>0</v>
      </c>
      <c r="GL282" s="201">
        <f t="shared" si="611"/>
        <v>0</v>
      </c>
      <c r="GM282" s="201">
        <f t="shared" si="611"/>
        <v>0</v>
      </c>
      <c r="GN282" s="201">
        <f t="shared" si="611"/>
        <v>0</v>
      </c>
      <c r="GO282" s="201">
        <f t="shared" si="611"/>
        <v>0</v>
      </c>
      <c r="GP282" s="201">
        <f t="shared" si="611"/>
        <v>1500000000</v>
      </c>
      <c r="GQ282" s="201">
        <f t="shared" si="611"/>
        <v>0</v>
      </c>
      <c r="GR282" s="201">
        <f t="shared" si="611"/>
        <v>0</v>
      </c>
      <c r="GS282" s="201">
        <f t="shared" si="611"/>
        <v>0</v>
      </c>
      <c r="GT282" s="201">
        <f t="shared" si="611"/>
        <v>0</v>
      </c>
      <c r="GU282" s="201">
        <f t="shared" si="611"/>
        <v>1570000000</v>
      </c>
      <c r="GV282" s="201">
        <f t="shared" si="611"/>
        <v>1088100000</v>
      </c>
      <c r="GW282" s="201">
        <f t="shared" si="611"/>
        <v>591706911</v>
      </c>
      <c r="GX282" s="201">
        <f t="shared" si="611"/>
        <v>173110367</v>
      </c>
      <c r="GY282" s="201">
        <f t="shared" si="611"/>
        <v>0</v>
      </c>
      <c r="GZ282" s="201">
        <f t="shared" si="611"/>
        <v>3280000000</v>
      </c>
    </row>
    <row r="283" spans="1:208" ht="165.75" customHeight="1" x14ac:dyDescent="0.2">
      <c r="A283" s="326"/>
      <c r="B283" s="326"/>
      <c r="C283" s="288">
        <v>5</v>
      </c>
      <c r="D283" s="261" t="s">
        <v>411</v>
      </c>
      <c r="E283" s="265" t="s">
        <v>121</v>
      </c>
      <c r="F283" s="265" t="s">
        <v>122</v>
      </c>
      <c r="G283" s="265">
        <v>191</v>
      </c>
      <c r="H283" s="358" t="s">
        <v>667</v>
      </c>
      <c r="I283" s="258" t="s">
        <v>668</v>
      </c>
      <c r="J283" s="262" t="s">
        <v>636</v>
      </c>
      <c r="K283" s="262">
        <v>14</v>
      </c>
      <c r="L283" s="263" t="s">
        <v>58</v>
      </c>
      <c r="M283" s="264" t="s">
        <v>53</v>
      </c>
      <c r="N283" s="264">
        <v>1</v>
      </c>
      <c r="O283" s="265">
        <v>1</v>
      </c>
      <c r="P283" s="266">
        <v>0.6</v>
      </c>
      <c r="Q283" s="474">
        <v>1</v>
      </c>
      <c r="R283" s="268"/>
      <c r="S283" s="270">
        <v>1</v>
      </c>
      <c r="T283" s="264">
        <v>1</v>
      </c>
      <c r="U283" s="264"/>
      <c r="V283" s="270">
        <v>1</v>
      </c>
      <c r="W283" s="264">
        <v>1</v>
      </c>
      <c r="X283" s="263"/>
      <c r="Y283" s="271">
        <v>0.6</v>
      </c>
      <c r="Z283" s="315">
        <f>BM283/BM282</f>
        <v>0.89473684210526316</v>
      </c>
      <c r="AA283" s="264">
        <v>10</v>
      </c>
      <c r="AB283" s="263" t="s">
        <v>389</v>
      </c>
      <c r="AC283" s="53"/>
      <c r="AD283" s="54"/>
      <c r="AE283" s="54"/>
      <c r="AF283" s="54"/>
      <c r="AG283" s="53"/>
      <c r="AH283" s="54"/>
      <c r="AI283" s="54"/>
      <c r="AJ283" s="54"/>
      <c r="AK283" s="55">
        <v>10000000</v>
      </c>
      <c r="AL283" s="55">
        <v>85000000</v>
      </c>
      <c r="AM283" s="54">
        <v>75000000</v>
      </c>
      <c r="AN283" s="54">
        <v>51000000</v>
      </c>
      <c r="AO283" s="53"/>
      <c r="AP283" s="54"/>
      <c r="AQ283" s="54"/>
      <c r="AR283" s="54"/>
      <c r="AS283" s="53"/>
      <c r="AT283" s="54"/>
      <c r="AU283" s="54"/>
      <c r="AV283" s="54"/>
      <c r="AW283" s="53"/>
      <c r="AX283" s="54"/>
      <c r="AY283" s="54"/>
      <c r="AZ283" s="54"/>
      <c r="BA283" s="53"/>
      <c r="BB283" s="54"/>
      <c r="BC283" s="54"/>
      <c r="BD283" s="54"/>
      <c r="BE283" s="53"/>
      <c r="BF283" s="54"/>
      <c r="BG283" s="54"/>
      <c r="BH283" s="54"/>
      <c r="BI283" s="53">
        <v>500000000</v>
      </c>
      <c r="BJ283" s="54"/>
      <c r="BK283" s="54"/>
      <c r="BL283" s="54"/>
      <c r="BM283" s="53">
        <f>+AC283+AG283+AK283+AO283+AS283+AW283+BA283+BE283+BI283</f>
        <v>510000000</v>
      </c>
      <c r="BN283" s="54">
        <f t="shared" ref="BN283:BP284" si="612">AD283+AH283+AL283+AP283+AT283+AX283+BB283+BF283+BJ283</f>
        <v>85000000</v>
      </c>
      <c r="BO283" s="54">
        <f t="shared" si="612"/>
        <v>75000000</v>
      </c>
      <c r="BP283" s="54">
        <f t="shared" si="612"/>
        <v>51000000</v>
      </c>
      <c r="BQ283" s="83"/>
      <c r="BR283" s="83"/>
      <c r="BS283" s="83"/>
      <c r="BT283" s="83"/>
      <c r="BU283" s="83"/>
      <c r="BV283" s="83"/>
      <c r="BW283" s="83"/>
      <c r="BX283" s="83"/>
      <c r="BY283" s="83"/>
      <c r="BZ283" s="83">
        <v>10000000</v>
      </c>
      <c r="CA283" s="83">
        <v>1100000000</v>
      </c>
      <c r="CB283" s="83">
        <v>956439613</v>
      </c>
      <c r="CC283" s="83">
        <v>657437665</v>
      </c>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v>500000000</v>
      </c>
      <c r="DB283" s="83"/>
      <c r="DC283" s="83"/>
      <c r="DD283" s="83"/>
      <c r="DE283" s="81">
        <f t="shared" ref="DE283:DE293" si="613">BQ283+BU283+BZ283+CE283+CI283+CM283+CQ283+CV283+DA283</f>
        <v>510000000</v>
      </c>
      <c r="DF283" s="95">
        <f t="shared" ref="DF283:DH284" si="614">BR283+BV283+CA283+CF283+CJ283+CN283+CR283+CW283+DB283</f>
        <v>1100000000</v>
      </c>
      <c r="DG283" s="95">
        <f t="shared" si="614"/>
        <v>956439613</v>
      </c>
      <c r="DH283" s="95">
        <f t="shared" si="614"/>
        <v>657437665</v>
      </c>
      <c r="DI283" s="95"/>
      <c r="DJ283" s="83"/>
      <c r="DK283" s="82"/>
      <c r="DL283" s="83"/>
      <c r="DM283" s="83"/>
      <c r="DN283" s="83"/>
      <c r="DO283" s="83">
        <v>170000000</v>
      </c>
      <c r="DP283" s="83">
        <v>44100000</v>
      </c>
      <c r="DQ283" s="83">
        <v>44100000</v>
      </c>
      <c r="DR283" s="83"/>
      <c r="DS283" s="83">
        <v>10000000</v>
      </c>
      <c r="DT283" s="83">
        <v>1114000000</v>
      </c>
      <c r="DU283" s="83">
        <v>949600131</v>
      </c>
      <c r="DV283" s="83">
        <v>862520331</v>
      </c>
      <c r="DW283" s="83"/>
      <c r="DX283" s="83"/>
      <c r="DY283" s="83"/>
      <c r="DZ283" s="83"/>
      <c r="EA283" s="83"/>
      <c r="EB283" s="83"/>
      <c r="EC283" s="83"/>
      <c r="ED283" s="83"/>
      <c r="EE283" s="83"/>
      <c r="EF283" s="83"/>
      <c r="EG283" s="83"/>
      <c r="EH283" s="83"/>
      <c r="EI283" s="83"/>
      <c r="EJ283" s="83"/>
      <c r="EK283" s="83"/>
      <c r="EL283" s="83"/>
      <c r="EM283" s="83"/>
      <c r="EN283" s="83"/>
      <c r="EO283" s="83"/>
      <c r="EP283" s="83"/>
      <c r="EQ283" s="83"/>
      <c r="ER283" s="83"/>
      <c r="ES283" s="83">
        <v>500000000</v>
      </c>
      <c r="ET283" s="83"/>
      <c r="EU283" s="83"/>
      <c r="EV283" s="83"/>
      <c r="EW283" s="81">
        <f t="shared" ref="EW283:EX284" si="615">DJ283+DN283+DS283+DX283+EB283+EF283+EJ283+EN283+ES283</f>
        <v>510000000</v>
      </c>
      <c r="EX283" s="86">
        <f t="shared" si="615"/>
        <v>1284000000</v>
      </c>
      <c r="EY283" s="86">
        <f t="shared" ref="EY283:EZ284" si="616">DL283+DP283+DU283+DZ283+ED283+EH283+EL283+EP283+EU283</f>
        <v>993700131</v>
      </c>
      <c r="EZ283" s="86">
        <f t="shared" si="616"/>
        <v>906620331</v>
      </c>
      <c r="FA283" s="176"/>
      <c r="FB283" s="83"/>
      <c r="FC283" s="84"/>
      <c r="FD283" s="84"/>
      <c r="FE283" s="84"/>
      <c r="FF283" s="140"/>
      <c r="FG283" s="83"/>
      <c r="FH283" s="83"/>
      <c r="FI283" s="83"/>
      <c r="FJ283" s="83"/>
      <c r="FK283" s="83"/>
      <c r="FL283" s="83">
        <v>62631579</v>
      </c>
      <c r="FM283" s="83">
        <v>1008600000</v>
      </c>
      <c r="FN283" s="83">
        <v>540716911</v>
      </c>
      <c r="FO283" s="83">
        <v>159120367</v>
      </c>
      <c r="FP283" s="83"/>
      <c r="FQ283" s="83"/>
      <c r="FR283" s="83"/>
      <c r="FS283" s="83"/>
      <c r="FT283" s="83"/>
      <c r="FU283" s="83"/>
      <c r="FV283" s="83"/>
      <c r="FW283" s="83"/>
      <c r="FX283" s="83"/>
      <c r="FY283" s="83"/>
      <c r="FZ283" s="83"/>
      <c r="GA283" s="83"/>
      <c r="GB283" s="83"/>
      <c r="GC283" s="83"/>
      <c r="GD283" s="83"/>
      <c r="GE283" s="83"/>
      <c r="GF283" s="83"/>
      <c r="GG283" s="83"/>
      <c r="GH283" s="83"/>
      <c r="GI283" s="83"/>
      <c r="GJ283" s="83"/>
      <c r="GK283" s="83"/>
      <c r="GL283" s="83"/>
      <c r="GM283" s="83"/>
      <c r="GN283" s="83"/>
      <c r="GO283" s="83"/>
      <c r="GP283" s="83">
        <v>1500000000</v>
      </c>
      <c r="GQ283" s="83"/>
      <c r="GR283" s="83"/>
      <c r="GS283" s="83"/>
      <c r="GT283" s="83"/>
      <c r="GU283" s="81">
        <f>FB283+FG283+FL283+FQ283+FV283+GA283+GF283+GK283+GP283</f>
        <v>1562631579</v>
      </c>
      <c r="GV283" s="81">
        <f t="shared" ref="GV283:GY284" si="617">GQ283+GL283+GG283+GB283+FW283+FR283+FM283+FH283+FC283</f>
        <v>1008600000</v>
      </c>
      <c r="GW283" s="81">
        <f t="shared" si="617"/>
        <v>540716911</v>
      </c>
      <c r="GX283" s="81">
        <f t="shared" si="617"/>
        <v>159120367</v>
      </c>
      <c r="GY283" s="673">
        <f t="shared" si="617"/>
        <v>0</v>
      </c>
      <c r="GZ283" s="67">
        <f>BM283+DE283+EW283+GU283</f>
        <v>3092631579</v>
      </c>
    </row>
    <row r="284" spans="1:208" ht="144" customHeight="1" x14ac:dyDescent="0.2">
      <c r="A284" s="326"/>
      <c r="B284" s="326"/>
      <c r="C284" s="277">
        <v>27</v>
      </c>
      <c r="D284" s="258" t="s">
        <v>577</v>
      </c>
      <c r="E284" s="328" t="s">
        <v>669</v>
      </c>
      <c r="F284" s="328">
        <v>0.92</v>
      </c>
      <c r="G284" s="265">
        <v>192</v>
      </c>
      <c r="H284" s="358" t="s">
        <v>670</v>
      </c>
      <c r="I284" s="258" t="s">
        <v>671</v>
      </c>
      <c r="J284" s="262" t="s">
        <v>636</v>
      </c>
      <c r="K284" s="262">
        <v>14</v>
      </c>
      <c r="L284" s="263" t="s">
        <v>58</v>
      </c>
      <c r="M284" s="264">
        <v>1</v>
      </c>
      <c r="N284" s="264">
        <v>1</v>
      </c>
      <c r="O284" s="265">
        <v>1</v>
      </c>
      <c r="P284" s="266">
        <v>0.4</v>
      </c>
      <c r="Q284" s="474">
        <v>1</v>
      </c>
      <c r="R284" s="268"/>
      <c r="S284" s="270">
        <v>1</v>
      </c>
      <c r="T284" s="264">
        <v>1</v>
      </c>
      <c r="U284" s="264"/>
      <c r="V284" s="270">
        <v>1</v>
      </c>
      <c r="W284" s="264">
        <v>1</v>
      </c>
      <c r="X284" s="263"/>
      <c r="Y284" s="271">
        <v>0.7</v>
      </c>
      <c r="Z284" s="315">
        <f>BM284/BM282</f>
        <v>0.10526315789473684</v>
      </c>
      <c r="AA284" s="264">
        <v>8</v>
      </c>
      <c r="AB284" s="263" t="s">
        <v>135</v>
      </c>
      <c r="AC284" s="53"/>
      <c r="AD284" s="54"/>
      <c r="AE284" s="54"/>
      <c r="AF284" s="54"/>
      <c r="AG284" s="53"/>
      <c r="AH284" s="54"/>
      <c r="AI284" s="54"/>
      <c r="AJ284" s="54"/>
      <c r="AK284" s="53">
        <v>60000000</v>
      </c>
      <c r="AL284" s="54">
        <v>60000000</v>
      </c>
      <c r="AM284" s="54">
        <v>30756666</v>
      </c>
      <c r="AN284" s="54">
        <v>30756666</v>
      </c>
      <c r="AO284" s="53"/>
      <c r="AP284" s="54"/>
      <c r="AQ284" s="54"/>
      <c r="AR284" s="54"/>
      <c r="AS284" s="53"/>
      <c r="AT284" s="54"/>
      <c r="AU284" s="54"/>
      <c r="AV284" s="54"/>
      <c r="AW284" s="53"/>
      <c r="AX284" s="54"/>
      <c r="AY284" s="54"/>
      <c r="AZ284" s="54"/>
      <c r="BA284" s="53"/>
      <c r="BB284" s="54"/>
      <c r="BC284" s="54"/>
      <c r="BD284" s="54"/>
      <c r="BE284" s="53"/>
      <c r="BF284" s="54"/>
      <c r="BG284" s="54"/>
      <c r="BH284" s="54"/>
      <c r="BI284" s="53"/>
      <c r="BJ284" s="54"/>
      <c r="BK284" s="54"/>
      <c r="BL284" s="54"/>
      <c r="BM284" s="53">
        <f>+AC284+AG284+AK284+AO284+AS284+AW284+BA284+BE284+BI284</f>
        <v>60000000</v>
      </c>
      <c r="BN284" s="54">
        <f t="shared" si="612"/>
        <v>60000000</v>
      </c>
      <c r="BO284" s="54">
        <f t="shared" si="612"/>
        <v>30756666</v>
      </c>
      <c r="BP284" s="54">
        <f t="shared" si="612"/>
        <v>30756666</v>
      </c>
      <c r="BQ284" s="83">
        <v>0</v>
      </c>
      <c r="BR284" s="83">
        <v>0</v>
      </c>
      <c r="BS284" s="83">
        <v>0</v>
      </c>
      <c r="BT284" s="83">
        <v>0</v>
      </c>
      <c r="BU284" s="83">
        <v>0</v>
      </c>
      <c r="BV284" s="83">
        <v>15000000</v>
      </c>
      <c r="BW284" s="83">
        <v>15000000</v>
      </c>
      <c r="BX284" s="83">
        <v>15000000</v>
      </c>
      <c r="BY284" s="83"/>
      <c r="BZ284" s="83">
        <v>60000000</v>
      </c>
      <c r="CA284" s="83">
        <v>67000000</v>
      </c>
      <c r="CB284" s="83">
        <v>62005999</v>
      </c>
      <c r="CC284" s="83">
        <v>62005999</v>
      </c>
      <c r="CD284" s="83"/>
      <c r="CE284" s="83">
        <v>0</v>
      </c>
      <c r="CF284" s="83">
        <v>0</v>
      </c>
      <c r="CG284" s="83">
        <v>0</v>
      </c>
      <c r="CH284" s="83">
        <v>0</v>
      </c>
      <c r="CI284" s="83">
        <v>0</v>
      </c>
      <c r="CJ284" s="83">
        <v>0</v>
      </c>
      <c r="CK284" s="83">
        <v>0</v>
      </c>
      <c r="CL284" s="83">
        <v>0</v>
      </c>
      <c r="CM284" s="83">
        <v>0</v>
      </c>
      <c r="CN284" s="83">
        <v>0</v>
      </c>
      <c r="CO284" s="83">
        <v>0</v>
      </c>
      <c r="CP284" s="83">
        <v>0</v>
      </c>
      <c r="CQ284" s="83">
        <v>0</v>
      </c>
      <c r="CR284" s="83">
        <v>0</v>
      </c>
      <c r="CS284" s="83">
        <v>0</v>
      </c>
      <c r="CT284" s="83">
        <v>0</v>
      </c>
      <c r="CU284" s="83"/>
      <c r="CV284" s="83">
        <v>0</v>
      </c>
      <c r="CW284" s="83">
        <v>0</v>
      </c>
      <c r="CX284" s="83">
        <v>0</v>
      </c>
      <c r="CY284" s="83">
        <v>0</v>
      </c>
      <c r="CZ284" s="83"/>
      <c r="DA284" s="83">
        <v>0</v>
      </c>
      <c r="DB284" s="83">
        <v>0</v>
      </c>
      <c r="DC284" s="83">
        <v>0</v>
      </c>
      <c r="DD284" s="83">
        <v>0</v>
      </c>
      <c r="DE284" s="81">
        <f t="shared" si="613"/>
        <v>60000000</v>
      </c>
      <c r="DF284" s="95">
        <f t="shared" si="614"/>
        <v>82000000</v>
      </c>
      <c r="DG284" s="95">
        <f t="shared" si="614"/>
        <v>77005999</v>
      </c>
      <c r="DH284" s="95">
        <f t="shared" si="614"/>
        <v>77005999</v>
      </c>
      <c r="DI284" s="95"/>
      <c r="DJ284" s="83"/>
      <c r="DK284" s="82"/>
      <c r="DL284" s="83"/>
      <c r="DM284" s="83"/>
      <c r="DN284" s="83"/>
      <c r="DO284" s="83"/>
      <c r="DP284" s="83"/>
      <c r="DQ284" s="83"/>
      <c r="DR284" s="83"/>
      <c r="DS284" s="83">
        <v>60000000</v>
      </c>
      <c r="DT284" s="83">
        <v>80000000</v>
      </c>
      <c r="DU284" s="83">
        <v>48947800</v>
      </c>
      <c r="DV284" s="83">
        <v>48947800</v>
      </c>
      <c r="DW284" s="83"/>
      <c r="DX284" s="83"/>
      <c r="DY284" s="83"/>
      <c r="DZ284" s="83"/>
      <c r="EA284" s="83"/>
      <c r="EB284" s="83"/>
      <c r="EC284" s="83"/>
      <c r="ED284" s="83"/>
      <c r="EE284" s="83"/>
      <c r="EF284" s="83"/>
      <c r="EG284" s="83"/>
      <c r="EH284" s="83"/>
      <c r="EI284" s="83"/>
      <c r="EJ284" s="83"/>
      <c r="EK284" s="83"/>
      <c r="EL284" s="83"/>
      <c r="EM284" s="83"/>
      <c r="EN284" s="83"/>
      <c r="EO284" s="83"/>
      <c r="EP284" s="83"/>
      <c r="EQ284" s="83"/>
      <c r="ER284" s="83"/>
      <c r="ES284" s="83"/>
      <c r="ET284" s="83"/>
      <c r="EU284" s="83"/>
      <c r="EV284" s="83"/>
      <c r="EW284" s="81">
        <f t="shared" si="615"/>
        <v>60000000</v>
      </c>
      <c r="EX284" s="86">
        <f t="shared" si="615"/>
        <v>80000000</v>
      </c>
      <c r="EY284" s="86">
        <f t="shared" si="616"/>
        <v>48947800</v>
      </c>
      <c r="EZ284" s="86">
        <f t="shared" si="616"/>
        <v>48947800</v>
      </c>
      <c r="FA284" s="176"/>
      <c r="FB284" s="83"/>
      <c r="FC284" s="84"/>
      <c r="FD284" s="84"/>
      <c r="FE284" s="84"/>
      <c r="FF284" s="140"/>
      <c r="FG284" s="83"/>
      <c r="FH284" s="83"/>
      <c r="FI284" s="83"/>
      <c r="FJ284" s="83"/>
      <c r="FK284" s="83"/>
      <c r="FL284" s="83">
        <v>7368421</v>
      </c>
      <c r="FM284" s="83">
        <v>79500000</v>
      </c>
      <c r="FN284" s="83">
        <v>50990000</v>
      </c>
      <c r="FO284" s="83">
        <v>13990000</v>
      </c>
      <c r="FP284" s="83"/>
      <c r="FQ284" s="83"/>
      <c r="FR284" s="83"/>
      <c r="FS284" s="83"/>
      <c r="FT284" s="83"/>
      <c r="FU284" s="83"/>
      <c r="FV284" s="83"/>
      <c r="FW284" s="83"/>
      <c r="FX284" s="83"/>
      <c r="FY284" s="83"/>
      <c r="FZ284" s="83"/>
      <c r="GA284" s="83"/>
      <c r="GB284" s="83"/>
      <c r="GC284" s="83"/>
      <c r="GD284" s="83"/>
      <c r="GE284" s="83"/>
      <c r="GF284" s="83"/>
      <c r="GG284" s="83"/>
      <c r="GH284" s="83"/>
      <c r="GI284" s="83"/>
      <c r="GJ284" s="83"/>
      <c r="GK284" s="83"/>
      <c r="GL284" s="83"/>
      <c r="GM284" s="83"/>
      <c r="GN284" s="83"/>
      <c r="GO284" s="83"/>
      <c r="GP284" s="83"/>
      <c r="GQ284" s="83"/>
      <c r="GR284" s="83"/>
      <c r="GS284" s="83"/>
      <c r="GT284" s="83"/>
      <c r="GU284" s="81">
        <f>FB284+FG284+FL284+FQ284+FV284+GA284+GF284+GK284+GP284</f>
        <v>7368421</v>
      </c>
      <c r="GV284" s="81">
        <f t="shared" si="617"/>
        <v>79500000</v>
      </c>
      <c r="GW284" s="81">
        <f t="shared" si="617"/>
        <v>50990000</v>
      </c>
      <c r="GX284" s="81">
        <f t="shared" si="617"/>
        <v>13990000</v>
      </c>
      <c r="GY284" s="673">
        <f t="shared" si="617"/>
        <v>0</v>
      </c>
      <c r="GZ284" s="67">
        <f>BM284+DE284+EW284+GU284</f>
        <v>187368421</v>
      </c>
    </row>
    <row r="285" spans="1:208" ht="24.75" customHeight="1" x14ac:dyDescent="0.2">
      <c r="A285" s="326"/>
      <c r="B285" s="326"/>
      <c r="C285" s="246">
        <v>63</v>
      </c>
      <c r="D285" s="247" t="s">
        <v>672</v>
      </c>
      <c r="E285" s="247"/>
      <c r="F285" s="250"/>
      <c r="G285" s="251"/>
      <c r="H285" s="251"/>
      <c r="I285" s="251"/>
      <c r="J285" s="251"/>
      <c r="K285" s="251"/>
      <c r="L285" s="251"/>
      <c r="M285" s="251"/>
      <c r="N285" s="251"/>
      <c r="O285" s="251"/>
      <c r="P285" s="251"/>
      <c r="Q285" s="251"/>
      <c r="R285" s="251"/>
      <c r="S285" s="251"/>
      <c r="T285" s="251"/>
      <c r="U285" s="251"/>
      <c r="V285" s="251"/>
      <c r="W285" s="251"/>
      <c r="X285" s="251"/>
      <c r="Y285" s="252"/>
      <c r="Z285" s="251"/>
      <c r="AA285" s="251"/>
      <c r="AB285" s="251"/>
      <c r="AC285" s="51">
        <f t="shared" ref="AC285:BL285" si="618">SUM(AC286:AC287)</f>
        <v>0</v>
      </c>
      <c r="AD285" s="51">
        <f t="shared" si="618"/>
        <v>0</v>
      </c>
      <c r="AE285" s="51">
        <f t="shared" si="618"/>
        <v>0</v>
      </c>
      <c r="AF285" s="51">
        <f t="shared" si="618"/>
        <v>0</v>
      </c>
      <c r="AG285" s="51">
        <f t="shared" si="618"/>
        <v>0</v>
      </c>
      <c r="AH285" s="51">
        <f t="shared" si="618"/>
        <v>0</v>
      </c>
      <c r="AI285" s="51">
        <f t="shared" si="618"/>
        <v>0</v>
      </c>
      <c r="AJ285" s="51">
        <f t="shared" si="618"/>
        <v>0</v>
      </c>
      <c r="AK285" s="51">
        <f t="shared" si="618"/>
        <v>50000000</v>
      </c>
      <c r="AL285" s="51">
        <f t="shared" si="618"/>
        <v>100000000</v>
      </c>
      <c r="AM285" s="51">
        <f t="shared" si="618"/>
        <v>40500000</v>
      </c>
      <c r="AN285" s="51">
        <f t="shared" si="618"/>
        <v>40500000</v>
      </c>
      <c r="AO285" s="51">
        <f t="shared" si="618"/>
        <v>0</v>
      </c>
      <c r="AP285" s="51">
        <f t="shared" si="618"/>
        <v>0</v>
      </c>
      <c r="AQ285" s="51">
        <f t="shared" si="618"/>
        <v>0</v>
      </c>
      <c r="AR285" s="51">
        <f t="shared" si="618"/>
        <v>0</v>
      </c>
      <c r="AS285" s="51">
        <f t="shared" si="618"/>
        <v>0</v>
      </c>
      <c r="AT285" s="51">
        <f t="shared" si="618"/>
        <v>0</v>
      </c>
      <c r="AU285" s="51">
        <f t="shared" si="618"/>
        <v>0</v>
      </c>
      <c r="AV285" s="51">
        <f t="shared" si="618"/>
        <v>0</v>
      </c>
      <c r="AW285" s="51">
        <f t="shared" si="618"/>
        <v>0</v>
      </c>
      <c r="AX285" s="51">
        <f t="shared" si="618"/>
        <v>0</v>
      </c>
      <c r="AY285" s="51">
        <f t="shared" si="618"/>
        <v>0</v>
      </c>
      <c r="AZ285" s="51">
        <f t="shared" si="618"/>
        <v>0</v>
      </c>
      <c r="BA285" s="51">
        <f t="shared" si="618"/>
        <v>0</v>
      </c>
      <c r="BB285" s="51">
        <f t="shared" si="618"/>
        <v>0</v>
      </c>
      <c r="BC285" s="51">
        <f t="shared" si="618"/>
        <v>0</v>
      </c>
      <c r="BD285" s="51">
        <f t="shared" si="618"/>
        <v>0</v>
      </c>
      <c r="BE285" s="51">
        <f t="shared" si="618"/>
        <v>0</v>
      </c>
      <c r="BF285" s="51">
        <f t="shared" si="618"/>
        <v>0</v>
      </c>
      <c r="BG285" s="51">
        <f t="shared" si="618"/>
        <v>0</v>
      </c>
      <c r="BH285" s="51">
        <f t="shared" si="618"/>
        <v>0</v>
      </c>
      <c r="BI285" s="51">
        <f t="shared" si="618"/>
        <v>0</v>
      </c>
      <c r="BJ285" s="51">
        <f t="shared" si="618"/>
        <v>0</v>
      </c>
      <c r="BK285" s="51">
        <f t="shared" si="618"/>
        <v>0</v>
      </c>
      <c r="BL285" s="51">
        <f t="shared" si="618"/>
        <v>0</v>
      </c>
      <c r="BM285" s="51">
        <f t="shared" ref="BM285:DX285" si="619">SUM(BM286:BM287)</f>
        <v>50000000</v>
      </c>
      <c r="BN285" s="51">
        <f t="shared" si="619"/>
        <v>100000000</v>
      </c>
      <c r="BO285" s="51">
        <f t="shared" si="619"/>
        <v>40500000</v>
      </c>
      <c r="BP285" s="51">
        <f t="shared" si="619"/>
        <v>40500000</v>
      </c>
      <c r="BQ285" s="51">
        <f t="shared" si="619"/>
        <v>0</v>
      </c>
      <c r="BR285" s="51">
        <f t="shared" si="619"/>
        <v>0</v>
      </c>
      <c r="BS285" s="51">
        <f t="shared" si="619"/>
        <v>0</v>
      </c>
      <c r="BT285" s="51">
        <f t="shared" si="619"/>
        <v>0</v>
      </c>
      <c r="BU285" s="51">
        <f t="shared" si="619"/>
        <v>0</v>
      </c>
      <c r="BV285" s="51">
        <f t="shared" si="619"/>
        <v>55000000</v>
      </c>
      <c r="BW285" s="51">
        <f t="shared" si="619"/>
        <v>33416550</v>
      </c>
      <c r="BX285" s="51">
        <f t="shared" si="619"/>
        <v>33416550</v>
      </c>
      <c r="BY285" s="51">
        <f t="shared" si="619"/>
        <v>0</v>
      </c>
      <c r="BZ285" s="51">
        <f t="shared" si="619"/>
        <v>50000000</v>
      </c>
      <c r="CA285" s="51">
        <f t="shared" si="619"/>
        <v>120000000</v>
      </c>
      <c r="CB285" s="51">
        <f t="shared" si="619"/>
        <v>115932400</v>
      </c>
      <c r="CC285" s="51">
        <f t="shared" si="619"/>
        <v>115932400</v>
      </c>
      <c r="CD285" s="51">
        <f t="shared" si="619"/>
        <v>0</v>
      </c>
      <c r="CE285" s="51">
        <f t="shared" si="619"/>
        <v>0</v>
      </c>
      <c r="CF285" s="51">
        <f t="shared" si="619"/>
        <v>0</v>
      </c>
      <c r="CG285" s="51">
        <f t="shared" si="619"/>
        <v>0</v>
      </c>
      <c r="CH285" s="51">
        <f t="shared" si="619"/>
        <v>0</v>
      </c>
      <c r="CI285" s="51">
        <f t="shared" si="619"/>
        <v>0</v>
      </c>
      <c r="CJ285" s="51">
        <f t="shared" si="619"/>
        <v>0</v>
      </c>
      <c r="CK285" s="51">
        <f t="shared" si="619"/>
        <v>0</v>
      </c>
      <c r="CL285" s="51">
        <f t="shared" si="619"/>
        <v>0</v>
      </c>
      <c r="CM285" s="51">
        <f t="shared" si="619"/>
        <v>0</v>
      </c>
      <c r="CN285" s="51">
        <f t="shared" si="619"/>
        <v>0</v>
      </c>
      <c r="CO285" s="51">
        <f t="shared" si="619"/>
        <v>0</v>
      </c>
      <c r="CP285" s="51">
        <f t="shared" si="619"/>
        <v>0</v>
      </c>
      <c r="CQ285" s="51">
        <f t="shared" si="619"/>
        <v>0</v>
      </c>
      <c r="CR285" s="51">
        <f t="shared" si="619"/>
        <v>0</v>
      </c>
      <c r="CS285" s="51">
        <f t="shared" si="619"/>
        <v>0</v>
      </c>
      <c r="CT285" s="51">
        <f t="shared" si="619"/>
        <v>0</v>
      </c>
      <c r="CU285" s="51">
        <f t="shared" si="619"/>
        <v>0</v>
      </c>
      <c r="CV285" s="51">
        <f t="shared" si="619"/>
        <v>0</v>
      </c>
      <c r="CW285" s="51">
        <f t="shared" si="619"/>
        <v>0</v>
      </c>
      <c r="CX285" s="51">
        <f t="shared" si="619"/>
        <v>0</v>
      </c>
      <c r="CY285" s="51">
        <f t="shared" si="619"/>
        <v>0</v>
      </c>
      <c r="CZ285" s="51">
        <f t="shared" si="619"/>
        <v>0</v>
      </c>
      <c r="DA285" s="51">
        <f t="shared" si="619"/>
        <v>0</v>
      </c>
      <c r="DB285" s="51">
        <f t="shared" si="619"/>
        <v>0</v>
      </c>
      <c r="DC285" s="51">
        <f t="shared" si="619"/>
        <v>0</v>
      </c>
      <c r="DD285" s="51">
        <f t="shared" si="619"/>
        <v>0</v>
      </c>
      <c r="DE285" s="51">
        <f t="shared" si="619"/>
        <v>50000000</v>
      </c>
      <c r="DF285" s="51">
        <f t="shared" si="619"/>
        <v>175000000</v>
      </c>
      <c r="DG285" s="51">
        <f t="shared" si="619"/>
        <v>149348950</v>
      </c>
      <c r="DH285" s="51">
        <f t="shared" si="619"/>
        <v>149348950</v>
      </c>
      <c r="DI285" s="51">
        <f t="shared" si="619"/>
        <v>0</v>
      </c>
      <c r="DJ285" s="51">
        <f t="shared" si="619"/>
        <v>0</v>
      </c>
      <c r="DK285" s="51">
        <f t="shared" si="619"/>
        <v>0</v>
      </c>
      <c r="DL285" s="51">
        <f t="shared" si="619"/>
        <v>0</v>
      </c>
      <c r="DM285" s="51">
        <f t="shared" si="619"/>
        <v>0</v>
      </c>
      <c r="DN285" s="51">
        <f t="shared" si="619"/>
        <v>0</v>
      </c>
      <c r="DO285" s="51">
        <f t="shared" si="619"/>
        <v>0</v>
      </c>
      <c r="DP285" s="51">
        <f t="shared" si="619"/>
        <v>0</v>
      </c>
      <c r="DQ285" s="51">
        <f t="shared" si="619"/>
        <v>0</v>
      </c>
      <c r="DR285" s="51">
        <f t="shared" si="619"/>
        <v>0</v>
      </c>
      <c r="DS285" s="51">
        <f t="shared" si="619"/>
        <v>50000000</v>
      </c>
      <c r="DT285" s="51">
        <f t="shared" si="619"/>
        <v>121000000</v>
      </c>
      <c r="DU285" s="51">
        <f t="shared" si="619"/>
        <v>119970467</v>
      </c>
      <c r="DV285" s="51">
        <f t="shared" si="619"/>
        <v>118970467</v>
      </c>
      <c r="DW285" s="51">
        <f t="shared" si="619"/>
        <v>0</v>
      </c>
      <c r="DX285" s="51">
        <f t="shared" si="619"/>
        <v>0</v>
      </c>
      <c r="DY285" s="51">
        <f t="shared" ref="DY285:EW285" si="620">SUM(DY286:DY287)</f>
        <v>0</v>
      </c>
      <c r="DZ285" s="51">
        <f t="shared" si="620"/>
        <v>0</v>
      </c>
      <c r="EA285" s="51">
        <f t="shared" si="620"/>
        <v>0</v>
      </c>
      <c r="EB285" s="51">
        <f t="shared" si="620"/>
        <v>0</v>
      </c>
      <c r="EC285" s="51">
        <f t="shared" si="620"/>
        <v>0</v>
      </c>
      <c r="ED285" s="51">
        <f t="shared" si="620"/>
        <v>0</v>
      </c>
      <c r="EE285" s="51">
        <f t="shared" si="620"/>
        <v>0</v>
      </c>
      <c r="EF285" s="51">
        <f t="shared" si="620"/>
        <v>0</v>
      </c>
      <c r="EG285" s="51">
        <f t="shared" si="620"/>
        <v>0</v>
      </c>
      <c r="EH285" s="51">
        <f t="shared" si="620"/>
        <v>0</v>
      </c>
      <c r="EI285" s="51">
        <f t="shared" si="620"/>
        <v>0</v>
      </c>
      <c r="EJ285" s="51">
        <f t="shared" si="620"/>
        <v>0</v>
      </c>
      <c r="EK285" s="51">
        <f t="shared" si="620"/>
        <v>0</v>
      </c>
      <c r="EL285" s="51">
        <f t="shared" si="620"/>
        <v>0</v>
      </c>
      <c r="EM285" s="51">
        <f t="shared" si="620"/>
        <v>0</v>
      </c>
      <c r="EN285" s="51">
        <f t="shared" si="620"/>
        <v>0</v>
      </c>
      <c r="EO285" s="51">
        <f t="shared" si="620"/>
        <v>0</v>
      </c>
      <c r="EP285" s="51">
        <f t="shared" si="620"/>
        <v>0</v>
      </c>
      <c r="EQ285" s="51">
        <f t="shared" si="620"/>
        <v>0</v>
      </c>
      <c r="ER285" s="51">
        <f t="shared" si="620"/>
        <v>0</v>
      </c>
      <c r="ES285" s="51">
        <f t="shared" si="620"/>
        <v>0</v>
      </c>
      <c r="ET285" s="51">
        <f t="shared" si="620"/>
        <v>0</v>
      </c>
      <c r="EU285" s="51">
        <f t="shared" si="620"/>
        <v>0</v>
      </c>
      <c r="EV285" s="51">
        <f t="shared" si="620"/>
        <v>0</v>
      </c>
      <c r="EW285" s="51">
        <f t="shared" si="620"/>
        <v>50000000</v>
      </c>
      <c r="EX285" s="51">
        <f t="shared" ref="EX285:GZ285" si="621">SUM(EX286:EX287)</f>
        <v>121000000</v>
      </c>
      <c r="EY285" s="51">
        <f t="shared" si="621"/>
        <v>119970467</v>
      </c>
      <c r="EZ285" s="51">
        <f t="shared" si="621"/>
        <v>118970467</v>
      </c>
      <c r="FA285" s="51">
        <f t="shared" si="621"/>
        <v>0</v>
      </c>
      <c r="FB285" s="51">
        <f t="shared" si="621"/>
        <v>0</v>
      </c>
      <c r="FC285" s="51">
        <f t="shared" si="621"/>
        <v>0</v>
      </c>
      <c r="FD285" s="51">
        <f t="shared" si="621"/>
        <v>0</v>
      </c>
      <c r="FE285" s="51">
        <f t="shared" si="621"/>
        <v>0</v>
      </c>
      <c r="FF285" s="51">
        <f t="shared" si="621"/>
        <v>0</v>
      </c>
      <c r="FG285" s="51">
        <f t="shared" si="621"/>
        <v>0</v>
      </c>
      <c r="FH285" s="51">
        <f t="shared" si="621"/>
        <v>0</v>
      </c>
      <c r="FI285" s="51">
        <f t="shared" si="621"/>
        <v>0</v>
      </c>
      <c r="FJ285" s="51">
        <f t="shared" si="621"/>
        <v>0</v>
      </c>
      <c r="FK285" s="51">
        <f t="shared" si="621"/>
        <v>0</v>
      </c>
      <c r="FL285" s="51">
        <f t="shared" si="621"/>
        <v>50000000</v>
      </c>
      <c r="FM285" s="51">
        <f t="shared" si="621"/>
        <v>99360000</v>
      </c>
      <c r="FN285" s="51">
        <f t="shared" si="621"/>
        <v>82470500</v>
      </c>
      <c r="FO285" s="51">
        <f t="shared" si="621"/>
        <v>19514500</v>
      </c>
      <c r="FP285" s="51">
        <f t="shared" si="621"/>
        <v>0</v>
      </c>
      <c r="FQ285" s="51">
        <f t="shared" si="621"/>
        <v>0</v>
      </c>
      <c r="FR285" s="51">
        <f t="shared" si="621"/>
        <v>0</v>
      </c>
      <c r="FS285" s="51">
        <f t="shared" si="621"/>
        <v>0</v>
      </c>
      <c r="FT285" s="51">
        <f t="shared" si="621"/>
        <v>0</v>
      </c>
      <c r="FU285" s="51">
        <f t="shared" si="621"/>
        <v>0</v>
      </c>
      <c r="FV285" s="51">
        <f t="shared" si="621"/>
        <v>0</v>
      </c>
      <c r="FW285" s="51">
        <f t="shared" si="621"/>
        <v>0</v>
      </c>
      <c r="FX285" s="51">
        <f t="shared" si="621"/>
        <v>0</v>
      </c>
      <c r="FY285" s="51">
        <f t="shared" si="621"/>
        <v>0</v>
      </c>
      <c r="FZ285" s="51">
        <f t="shared" si="621"/>
        <v>0</v>
      </c>
      <c r="GA285" s="51">
        <f t="shared" si="621"/>
        <v>0</v>
      </c>
      <c r="GB285" s="51">
        <f t="shared" si="621"/>
        <v>0</v>
      </c>
      <c r="GC285" s="51">
        <f t="shared" si="621"/>
        <v>0</v>
      </c>
      <c r="GD285" s="51">
        <f t="shared" si="621"/>
        <v>0</v>
      </c>
      <c r="GE285" s="51">
        <f t="shared" si="621"/>
        <v>0</v>
      </c>
      <c r="GF285" s="51">
        <f t="shared" si="621"/>
        <v>0</v>
      </c>
      <c r="GG285" s="51">
        <f t="shared" si="621"/>
        <v>0</v>
      </c>
      <c r="GH285" s="51">
        <f t="shared" si="621"/>
        <v>0</v>
      </c>
      <c r="GI285" s="51">
        <f t="shared" si="621"/>
        <v>0</v>
      </c>
      <c r="GJ285" s="51">
        <f t="shared" si="621"/>
        <v>0</v>
      </c>
      <c r="GK285" s="51">
        <f t="shared" si="621"/>
        <v>0</v>
      </c>
      <c r="GL285" s="51">
        <f t="shared" si="621"/>
        <v>0</v>
      </c>
      <c r="GM285" s="51">
        <f t="shared" si="621"/>
        <v>0</v>
      </c>
      <c r="GN285" s="51">
        <f t="shared" si="621"/>
        <v>0</v>
      </c>
      <c r="GO285" s="51">
        <f t="shared" si="621"/>
        <v>0</v>
      </c>
      <c r="GP285" s="51">
        <f t="shared" si="621"/>
        <v>0</v>
      </c>
      <c r="GQ285" s="51">
        <f t="shared" si="621"/>
        <v>0</v>
      </c>
      <c r="GR285" s="51">
        <f t="shared" si="621"/>
        <v>0</v>
      </c>
      <c r="GS285" s="51">
        <f t="shared" si="621"/>
        <v>0</v>
      </c>
      <c r="GT285" s="51">
        <f t="shared" si="621"/>
        <v>0</v>
      </c>
      <c r="GU285" s="51">
        <f t="shared" si="621"/>
        <v>50000000</v>
      </c>
      <c r="GV285" s="51">
        <f t="shared" si="621"/>
        <v>99360000</v>
      </c>
      <c r="GW285" s="51">
        <f t="shared" si="621"/>
        <v>82470500</v>
      </c>
      <c r="GX285" s="51">
        <f t="shared" si="621"/>
        <v>19514500</v>
      </c>
      <c r="GY285" s="51">
        <f t="shared" si="621"/>
        <v>0</v>
      </c>
      <c r="GZ285" s="51">
        <f t="shared" si="621"/>
        <v>200000000</v>
      </c>
    </row>
    <row r="286" spans="1:208" ht="59.25" customHeight="1" x14ac:dyDescent="0.2">
      <c r="A286" s="326"/>
      <c r="B286" s="326"/>
      <c r="C286" s="288">
        <v>14</v>
      </c>
      <c r="D286" s="275" t="s">
        <v>413</v>
      </c>
      <c r="E286" s="328">
        <v>6.2E-2</v>
      </c>
      <c r="F286" s="328">
        <v>0.03</v>
      </c>
      <c r="G286" s="265">
        <v>193</v>
      </c>
      <c r="H286" s="358" t="s">
        <v>673</v>
      </c>
      <c r="I286" s="258" t="s">
        <v>674</v>
      </c>
      <c r="J286" s="262" t="s">
        <v>636</v>
      </c>
      <c r="K286" s="262">
        <v>14</v>
      </c>
      <c r="L286" s="263" t="s">
        <v>58</v>
      </c>
      <c r="M286" s="264">
        <v>1</v>
      </c>
      <c r="N286" s="264">
        <v>1</v>
      </c>
      <c r="O286" s="265">
        <v>1</v>
      </c>
      <c r="P286" s="266">
        <v>0</v>
      </c>
      <c r="Q286" s="474">
        <v>1</v>
      </c>
      <c r="R286" s="268"/>
      <c r="S286" s="270">
        <v>1</v>
      </c>
      <c r="T286" s="264">
        <v>1</v>
      </c>
      <c r="U286" s="264"/>
      <c r="V286" s="270">
        <v>1</v>
      </c>
      <c r="W286" s="264">
        <v>1</v>
      </c>
      <c r="X286" s="263"/>
      <c r="Y286" s="271">
        <v>1</v>
      </c>
      <c r="Z286" s="315">
        <f>BM286/BM285</f>
        <v>0.3</v>
      </c>
      <c r="AA286" s="264">
        <v>4</v>
      </c>
      <c r="AB286" s="263" t="s">
        <v>114</v>
      </c>
      <c r="AC286" s="53"/>
      <c r="AD286" s="54"/>
      <c r="AE286" s="54"/>
      <c r="AF286" s="54"/>
      <c r="AG286" s="53"/>
      <c r="AH286" s="54"/>
      <c r="AI286" s="54"/>
      <c r="AJ286" s="54"/>
      <c r="AK286" s="57">
        <v>15000000</v>
      </c>
      <c r="AL286" s="55">
        <f>15000000+25000000</f>
        <v>40000000</v>
      </c>
      <c r="AM286" s="58">
        <v>0</v>
      </c>
      <c r="AN286" s="58">
        <v>0</v>
      </c>
      <c r="AO286" s="57"/>
      <c r="AP286" s="58"/>
      <c r="AQ286" s="58"/>
      <c r="AR286" s="54"/>
      <c r="AS286" s="53"/>
      <c r="AT286" s="54"/>
      <c r="AU286" s="54"/>
      <c r="AV286" s="54"/>
      <c r="AW286" s="53"/>
      <c r="AX286" s="54"/>
      <c r="AY286" s="54"/>
      <c r="AZ286" s="54"/>
      <c r="BA286" s="53"/>
      <c r="BB286" s="54"/>
      <c r="BC286" s="54"/>
      <c r="BD286" s="54"/>
      <c r="BE286" s="53"/>
      <c r="BF286" s="54"/>
      <c r="BG286" s="54"/>
      <c r="BH286" s="54"/>
      <c r="BI286" s="53"/>
      <c r="BJ286" s="54"/>
      <c r="BK286" s="54"/>
      <c r="BL286" s="54"/>
      <c r="BM286" s="53">
        <f>+AC286+AG286+AK286+AO286+AS286+AW286+BA286+BE286+BI286</f>
        <v>15000000</v>
      </c>
      <c r="BN286" s="54">
        <f t="shared" ref="BN286:BP287" si="622">AD286+AH286+AL286+AP286+AT286+AX286+BB286+BF286+BJ286</f>
        <v>40000000</v>
      </c>
      <c r="BO286" s="54">
        <f t="shared" si="622"/>
        <v>0</v>
      </c>
      <c r="BP286" s="54">
        <f t="shared" si="622"/>
        <v>0</v>
      </c>
      <c r="BQ286" s="83"/>
      <c r="BR286" s="83"/>
      <c r="BS286" s="83"/>
      <c r="BT286" s="83"/>
      <c r="BU286" s="83"/>
      <c r="BV286" s="83"/>
      <c r="BW286" s="83"/>
      <c r="BX286" s="83"/>
      <c r="BY286" s="83"/>
      <c r="BZ286" s="83">
        <v>15000000</v>
      </c>
      <c r="CA286" s="83">
        <v>75000000</v>
      </c>
      <c r="CB286" s="83">
        <v>75000000</v>
      </c>
      <c r="CC286" s="83">
        <v>75000000</v>
      </c>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1">
        <f t="shared" si="613"/>
        <v>15000000</v>
      </c>
      <c r="DF286" s="95">
        <f t="shared" ref="DF286:DH287" si="623">BR286+BV286+CA286+CF286+CJ286+CN286+CR286+CW286+DB286</f>
        <v>75000000</v>
      </c>
      <c r="DG286" s="95">
        <f t="shared" si="623"/>
        <v>75000000</v>
      </c>
      <c r="DH286" s="95">
        <f t="shared" si="623"/>
        <v>75000000</v>
      </c>
      <c r="DI286" s="95"/>
      <c r="DJ286" s="83"/>
      <c r="DK286" s="82"/>
      <c r="DL286" s="83"/>
      <c r="DM286" s="83"/>
      <c r="DN286" s="83"/>
      <c r="DO286" s="83"/>
      <c r="DP286" s="83"/>
      <c r="DQ286" s="83"/>
      <c r="DR286" s="83"/>
      <c r="DS286" s="83">
        <v>15000000</v>
      </c>
      <c r="DT286" s="68">
        <v>30000000</v>
      </c>
      <c r="DU286" s="83">
        <v>30000000</v>
      </c>
      <c r="DV286" s="83">
        <v>30000000</v>
      </c>
      <c r="DW286" s="83"/>
      <c r="DX286" s="83"/>
      <c r="DY286" s="83"/>
      <c r="DZ286" s="83"/>
      <c r="EA286" s="83"/>
      <c r="EB286" s="83"/>
      <c r="EC286" s="83"/>
      <c r="ED286" s="83"/>
      <c r="EE286" s="83"/>
      <c r="EF286" s="83"/>
      <c r="EG286" s="83"/>
      <c r="EH286" s="83"/>
      <c r="EI286" s="83"/>
      <c r="EJ286" s="83"/>
      <c r="EK286" s="83"/>
      <c r="EL286" s="83"/>
      <c r="EM286" s="83"/>
      <c r="EN286" s="83"/>
      <c r="EO286" s="83"/>
      <c r="EP286" s="83"/>
      <c r="EQ286" s="83"/>
      <c r="ER286" s="83"/>
      <c r="ES286" s="83"/>
      <c r="ET286" s="83"/>
      <c r="EU286" s="83"/>
      <c r="EV286" s="83"/>
      <c r="EW286" s="81">
        <f t="shared" ref="EW286:EX287" si="624">DJ286+DN286+DS286+DX286+EB286+EF286+EJ286+EN286+ES286</f>
        <v>15000000</v>
      </c>
      <c r="EX286" s="86">
        <f t="shared" si="624"/>
        <v>30000000</v>
      </c>
      <c r="EY286" s="86">
        <f t="shared" ref="EY286:EZ287" si="625">DL286+DP286+DU286+DZ286+ED286+EH286+EL286+EP286+EU286</f>
        <v>30000000</v>
      </c>
      <c r="EZ286" s="86">
        <f t="shared" si="625"/>
        <v>30000000</v>
      </c>
      <c r="FA286" s="176"/>
      <c r="FB286" s="83"/>
      <c r="FC286" s="84"/>
      <c r="FD286" s="84"/>
      <c r="FE286" s="84"/>
      <c r="FF286" s="140"/>
      <c r="FG286" s="83"/>
      <c r="FH286" s="83"/>
      <c r="FI286" s="83"/>
      <c r="FJ286" s="83"/>
      <c r="FK286" s="83"/>
      <c r="FL286" s="83">
        <v>15000000</v>
      </c>
      <c r="FM286" s="83">
        <v>29800000</v>
      </c>
      <c r="FN286" s="83">
        <v>29800000</v>
      </c>
      <c r="FO286" s="83"/>
      <c r="FP286" s="83"/>
      <c r="FQ286" s="83"/>
      <c r="FR286" s="83"/>
      <c r="FS286" s="83"/>
      <c r="FT286" s="83"/>
      <c r="FU286" s="83"/>
      <c r="FV286" s="83"/>
      <c r="FW286" s="83"/>
      <c r="FX286" s="83"/>
      <c r="FY286" s="83"/>
      <c r="FZ286" s="83"/>
      <c r="GA286" s="83"/>
      <c r="GB286" s="83"/>
      <c r="GC286" s="83"/>
      <c r="GD286" s="83"/>
      <c r="GE286" s="83"/>
      <c r="GF286" s="83"/>
      <c r="GG286" s="83"/>
      <c r="GH286" s="83"/>
      <c r="GI286" s="83"/>
      <c r="GJ286" s="83"/>
      <c r="GK286" s="83"/>
      <c r="GL286" s="83"/>
      <c r="GM286" s="83"/>
      <c r="GN286" s="83"/>
      <c r="GO286" s="83"/>
      <c r="GP286" s="83"/>
      <c r="GQ286" s="83"/>
      <c r="GR286" s="83"/>
      <c r="GS286" s="83"/>
      <c r="GT286" s="83"/>
      <c r="GU286" s="81">
        <f>FB286+FG286+FL286+FQ286+FV286+GA286+GF286+GK286+GP286</f>
        <v>15000000</v>
      </c>
      <c r="GV286" s="81">
        <f t="shared" ref="GV286:GY287" si="626">GQ286+GL286+GG286+GB286+FW286+FR286+FM286+FH286+FC286</f>
        <v>29800000</v>
      </c>
      <c r="GW286" s="81">
        <f t="shared" si="626"/>
        <v>29800000</v>
      </c>
      <c r="GX286" s="81">
        <f t="shared" si="626"/>
        <v>0</v>
      </c>
      <c r="GY286" s="673">
        <f t="shared" si="626"/>
        <v>0</v>
      </c>
      <c r="GZ286" s="67">
        <f>BM286+DE286+EW286+GU286</f>
        <v>60000000</v>
      </c>
    </row>
    <row r="287" spans="1:208" ht="69.75" customHeight="1" x14ac:dyDescent="0.2">
      <c r="A287" s="326"/>
      <c r="B287" s="326"/>
      <c r="C287" s="277">
        <v>13</v>
      </c>
      <c r="D287" s="261" t="s">
        <v>540</v>
      </c>
      <c r="E287" s="284" t="s">
        <v>675</v>
      </c>
      <c r="F287" s="619" t="s">
        <v>542</v>
      </c>
      <c r="G287" s="265">
        <v>194</v>
      </c>
      <c r="H287" s="358" t="s">
        <v>676</v>
      </c>
      <c r="I287" s="258" t="s">
        <v>677</v>
      </c>
      <c r="J287" s="262" t="s">
        <v>636</v>
      </c>
      <c r="K287" s="262">
        <v>14</v>
      </c>
      <c r="L287" s="263" t="s">
        <v>58</v>
      </c>
      <c r="M287" s="264">
        <v>1</v>
      </c>
      <c r="N287" s="264">
        <v>1</v>
      </c>
      <c r="O287" s="265">
        <v>1</v>
      </c>
      <c r="P287" s="266">
        <v>0.5</v>
      </c>
      <c r="Q287" s="474">
        <v>1</v>
      </c>
      <c r="R287" s="268"/>
      <c r="S287" s="270">
        <v>0.66</v>
      </c>
      <c r="T287" s="264">
        <v>1</v>
      </c>
      <c r="U287" s="264"/>
      <c r="V287" s="270">
        <v>1</v>
      </c>
      <c r="W287" s="264">
        <v>1</v>
      </c>
      <c r="X287" s="263"/>
      <c r="Y287" s="271">
        <v>0.8</v>
      </c>
      <c r="Z287" s="315">
        <f>BM287/BM285</f>
        <v>0.7</v>
      </c>
      <c r="AA287" s="264">
        <v>2</v>
      </c>
      <c r="AB287" s="263" t="s">
        <v>141</v>
      </c>
      <c r="AC287" s="53"/>
      <c r="AD287" s="54"/>
      <c r="AE287" s="54"/>
      <c r="AF287" s="54"/>
      <c r="AG287" s="53"/>
      <c r="AH287" s="54"/>
      <c r="AI287" s="54"/>
      <c r="AJ287" s="54"/>
      <c r="AK287" s="57">
        <f>35000000</f>
        <v>35000000</v>
      </c>
      <c r="AL287" s="55">
        <v>60000000</v>
      </c>
      <c r="AM287" s="58">
        <v>40500000</v>
      </c>
      <c r="AN287" s="58">
        <v>40500000</v>
      </c>
      <c r="AO287" s="57"/>
      <c r="AP287" s="58"/>
      <c r="AQ287" s="58"/>
      <c r="AR287" s="54"/>
      <c r="AS287" s="53"/>
      <c r="AT287" s="54"/>
      <c r="AU287" s="54"/>
      <c r="AV287" s="54"/>
      <c r="AW287" s="53"/>
      <c r="AX287" s="54"/>
      <c r="AY287" s="54"/>
      <c r="AZ287" s="54"/>
      <c r="BA287" s="53"/>
      <c r="BB287" s="54"/>
      <c r="BC287" s="54"/>
      <c r="BD287" s="54"/>
      <c r="BE287" s="53"/>
      <c r="BF287" s="54"/>
      <c r="BG287" s="54"/>
      <c r="BH287" s="54"/>
      <c r="BI287" s="53"/>
      <c r="BJ287" s="54"/>
      <c r="BK287" s="54"/>
      <c r="BL287" s="54"/>
      <c r="BM287" s="53">
        <f>+AC287+AG287+AK287+AO287+AS287+AW287+BA287+BE287+BI287</f>
        <v>35000000</v>
      </c>
      <c r="BN287" s="54">
        <f t="shared" si="622"/>
        <v>60000000</v>
      </c>
      <c r="BO287" s="54">
        <f t="shared" si="622"/>
        <v>40500000</v>
      </c>
      <c r="BP287" s="54">
        <f t="shared" si="622"/>
        <v>40500000</v>
      </c>
      <c r="BQ287" s="83"/>
      <c r="BR287" s="83"/>
      <c r="BS287" s="83"/>
      <c r="BT287" s="83"/>
      <c r="BU287" s="83"/>
      <c r="BV287" s="83">
        <v>55000000</v>
      </c>
      <c r="BW287" s="83">
        <v>33416550</v>
      </c>
      <c r="BX287" s="83">
        <v>33416550</v>
      </c>
      <c r="BY287" s="83"/>
      <c r="BZ287" s="83">
        <v>35000000</v>
      </c>
      <c r="CA287" s="83">
        <v>45000000</v>
      </c>
      <c r="CB287" s="83">
        <v>40932400</v>
      </c>
      <c r="CC287" s="83">
        <v>40932400</v>
      </c>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1">
        <f t="shared" si="613"/>
        <v>35000000</v>
      </c>
      <c r="DF287" s="95">
        <f t="shared" si="623"/>
        <v>100000000</v>
      </c>
      <c r="DG287" s="95">
        <f t="shared" si="623"/>
        <v>74348950</v>
      </c>
      <c r="DH287" s="95">
        <f t="shared" si="623"/>
        <v>74348950</v>
      </c>
      <c r="DI287" s="95"/>
      <c r="DJ287" s="83"/>
      <c r="DK287" s="82"/>
      <c r="DL287" s="83"/>
      <c r="DM287" s="83"/>
      <c r="DN287" s="83"/>
      <c r="DO287" s="83"/>
      <c r="DP287" s="83"/>
      <c r="DQ287" s="83"/>
      <c r="DR287" s="83"/>
      <c r="DS287" s="83">
        <v>35000000</v>
      </c>
      <c r="DT287" s="83">
        <v>91000000</v>
      </c>
      <c r="DU287" s="83">
        <v>89970467</v>
      </c>
      <c r="DV287" s="83">
        <v>88970467</v>
      </c>
      <c r="DW287" s="83"/>
      <c r="DX287" s="83"/>
      <c r="DY287" s="83"/>
      <c r="DZ287" s="83"/>
      <c r="EA287" s="83"/>
      <c r="EB287" s="83"/>
      <c r="EC287" s="83"/>
      <c r="ED287" s="83"/>
      <c r="EE287" s="83"/>
      <c r="EF287" s="83"/>
      <c r="EG287" s="83"/>
      <c r="EH287" s="83"/>
      <c r="EI287" s="83"/>
      <c r="EJ287" s="83"/>
      <c r="EK287" s="83"/>
      <c r="EL287" s="83"/>
      <c r="EM287" s="83"/>
      <c r="EN287" s="83"/>
      <c r="EO287" s="83"/>
      <c r="EP287" s="83"/>
      <c r="EQ287" s="83"/>
      <c r="ER287" s="83"/>
      <c r="ES287" s="83"/>
      <c r="ET287" s="83"/>
      <c r="EU287" s="83"/>
      <c r="EV287" s="83"/>
      <c r="EW287" s="81">
        <f t="shared" si="624"/>
        <v>35000000</v>
      </c>
      <c r="EX287" s="86">
        <f t="shared" si="624"/>
        <v>91000000</v>
      </c>
      <c r="EY287" s="86">
        <f t="shared" si="625"/>
        <v>89970467</v>
      </c>
      <c r="EZ287" s="86">
        <f t="shared" si="625"/>
        <v>88970467</v>
      </c>
      <c r="FA287" s="176"/>
      <c r="FB287" s="83"/>
      <c r="FC287" s="84"/>
      <c r="FD287" s="84"/>
      <c r="FE287" s="84"/>
      <c r="FF287" s="140"/>
      <c r="FG287" s="83"/>
      <c r="FH287" s="83"/>
      <c r="FI287" s="83"/>
      <c r="FJ287" s="83"/>
      <c r="FK287" s="83"/>
      <c r="FL287" s="83">
        <v>35000000</v>
      </c>
      <c r="FM287" s="83">
        <v>69560000</v>
      </c>
      <c r="FN287" s="83">
        <v>52670500</v>
      </c>
      <c r="FO287" s="83">
        <v>19514500</v>
      </c>
      <c r="FP287" s="83"/>
      <c r="FQ287" s="83"/>
      <c r="FR287" s="83"/>
      <c r="FS287" s="83"/>
      <c r="FT287" s="83"/>
      <c r="FU287" s="83"/>
      <c r="FV287" s="83"/>
      <c r="FW287" s="83"/>
      <c r="FX287" s="83"/>
      <c r="FY287" s="83"/>
      <c r="FZ287" s="83"/>
      <c r="GA287" s="83"/>
      <c r="GB287" s="83"/>
      <c r="GC287" s="83"/>
      <c r="GD287" s="83"/>
      <c r="GE287" s="83"/>
      <c r="GF287" s="83"/>
      <c r="GG287" s="83"/>
      <c r="GH287" s="83"/>
      <c r="GI287" s="83"/>
      <c r="GJ287" s="83"/>
      <c r="GK287" s="83"/>
      <c r="GL287" s="83"/>
      <c r="GM287" s="83"/>
      <c r="GN287" s="83"/>
      <c r="GO287" s="83"/>
      <c r="GP287" s="83"/>
      <c r="GQ287" s="83"/>
      <c r="GR287" s="83"/>
      <c r="GS287" s="83"/>
      <c r="GT287" s="83"/>
      <c r="GU287" s="81">
        <f>FB287+FG287+FL287+FQ287+FV287+GA287+GF287+GK287+GP287</f>
        <v>35000000</v>
      </c>
      <c r="GV287" s="81">
        <f t="shared" si="626"/>
        <v>69560000</v>
      </c>
      <c r="GW287" s="81">
        <f t="shared" si="626"/>
        <v>52670500</v>
      </c>
      <c r="GX287" s="81">
        <f t="shared" si="626"/>
        <v>19514500</v>
      </c>
      <c r="GY287" s="673">
        <f t="shared" si="626"/>
        <v>0</v>
      </c>
      <c r="GZ287" s="67">
        <f>BM287+DE287+EW287+GU287</f>
        <v>140000000</v>
      </c>
    </row>
    <row r="288" spans="1:208" ht="24.75" customHeight="1" x14ac:dyDescent="0.2">
      <c r="A288" s="326"/>
      <c r="B288" s="326"/>
      <c r="C288" s="246">
        <v>64</v>
      </c>
      <c r="D288" s="247" t="s">
        <v>678</v>
      </c>
      <c r="E288" s="250"/>
      <c r="F288" s="250"/>
      <c r="G288" s="249"/>
      <c r="H288" s="249"/>
      <c r="I288" s="249"/>
      <c r="J288" s="249"/>
      <c r="K288" s="249"/>
      <c r="L288" s="249"/>
      <c r="M288" s="249"/>
      <c r="N288" s="249"/>
      <c r="O288" s="249"/>
      <c r="P288" s="249"/>
      <c r="Q288" s="249"/>
      <c r="R288" s="249"/>
      <c r="S288" s="249"/>
      <c r="T288" s="249"/>
      <c r="U288" s="249"/>
      <c r="V288" s="249"/>
      <c r="W288" s="249"/>
      <c r="X288" s="249"/>
      <c r="Y288" s="296"/>
      <c r="Z288" s="249"/>
      <c r="AA288" s="249"/>
      <c r="AB288" s="249"/>
      <c r="AC288" s="51">
        <f t="shared" ref="AC288:BL288" si="627">SUM(AC289)</f>
        <v>0</v>
      </c>
      <c r="AD288" s="51">
        <f t="shared" si="627"/>
        <v>0</v>
      </c>
      <c r="AE288" s="51">
        <f t="shared" si="627"/>
        <v>0</v>
      </c>
      <c r="AF288" s="51">
        <f t="shared" si="627"/>
        <v>0</v>
      </c>
      <c r="AG288" s="51">
        <f t="shared" si="627"/>
        <v>0</v>
      </c>
      <c r="AH288" s="51">
        <f t="shared" si="627"/>
        <v>0</v>
      </c>
      <c r="AI288" s="51">
        <f t="shared" si="627"/>
        <v>0</v>
      </c>
      <c r="AJ288" s="51">
        <f t="shared" si="627"/>
        <v>0</v>
      </c>
      <c r="AK288" s="51">
        <f t="shared" si="627"/>
        <v>50000000</v>
      </c>
      <c r="AL288" s="51">
        <f t="shared" si="627"/>
        <v>100000000</v>
      </c>
      <c r="AM288" s="51">
        <f t="shared" si="627"/>
        <v>94400000</v>
      </c>
      <c r="AN288" s="51">
        <f t="shared" si="627"/>
        <v>94400000</v>
      </c>
      <c r="AO288" s="51">
        <f t="shared" si="627"/>
        <v>0</v>
      </c>
      <c r="AP288" s="51">
        <f t="shared" si="627"/>
        <v>0</v>
      </c>
      <c r="AQ288" s="51">
        <f t="shared" si="627"/>
        <v>0</v>
      </c>
      <c r="AR288" s="51">
        <f t="shared" si="627"/>
        <v>0</v>
      </c>
      <c r="AS288" s="51">
        <f t="shared" si="627"/>
        <v>0</v>
      </c>
      <c r="AT288" s="51">
        <f t="shared" si="627"/>
        <v>0</v>
      </c>
      <c r="AU288" s="51">
        <f t="shared" si="627"/>
        <v>0</v>
      </c>
      <c r="AV288" s="51">
        <f t="shared" si="627"/>
        <v>0</v>
      </c>
      <c r="AW288" s="51">
        <f t="shared" si="627"/>
        <v>0</v>
      </c>
      <c r="AX288" s="51">
        <f t="shared" si="627"/>
        <v>0</v>
      </c>
      <c r="AY288" s="51">
        <f t="shared" si="627"/>
        <v>0</v>
      </c>
      <c r="AZ288" s="51">
        <f t="shared" si="627"/>
        <v>0</v>
      </c>
      <c r="BA288" s="51">
        <f t="shared" si="627"/>
        <v>0</v>
      </c>
      <c r="BB288" s="51">
        <f t="shared" si="627"/>
        <v>0</v>
      </c>
      <c r="BC288" s="51">
        <f t="shared" si="627"/>
        <v>0</v>
      </c>
      <c r="BD288" s="51">
        <f t="shared" si="627"/>
        <v>0</v>
      </c>
      <c r="BE288" s="51">
        <f t="shared" si="627"/>
        <v>0</v>
      </c>
      <c r="BF288" s="51">
        <f t="shared" si="627"/>
        <v>0</v>
      </c>
      <c r="BG288" s="51">
        <f t="shared" si="627"/>
        <v>0</v>
      </c>
      <c r="BH288" s="51">
        <f t="shared" si="627"/>
        <v>0</v>
      </c>
      <c r="BI288" s="51">
        <f t="shared" si="627"/>
        <v>0</v>
      </c>
      <c r="BJ288" s="51">
        <f t="shared" si="627"/>
        <v>0</v>
      </c>
      <c r="BK288" s="51">
        <f t="shared" si="627"/>
        <v>0</v>
      </c>
      <c r="BL288" s="51">
        <f t="shared" si="627"/>
        <v>0</v>
      </c>
      <c r="BM288" s="51">
        <f t="shared" ref="BM288:DX288" si="628">SUM(BM289)</f>
        <v>50000000</v>
      </c>
      <c r="BN288" s="51">
        <f t="shared" si="628"/>
        <v>100000000</v>
      </c>
      <c r="BO288" s="51">
        <f t="shared" si="628"/>
        <v>94400000</v>
      </c>
      <c r="BP288" s="51">
        <f t="shared" si="628"/>
        <v>94400000</v>
      </c>
      <c r="BQ288" s="51">
        <f t="shared" si="628"/>
        <v>0</v>
      </c>
      <c r="BR288" s="51">
        <f t="shared" si="628"/>
        <v>0</v>
      </c>
      <c r="BS288" s="51">
        <f t="shared" si="628"/>
        <v>0</v>
      </c>
      <c r="BT288" s="51">
        <f t="shared" si="628"/>
        <v>0</v>
      </c>
      <c r="BU288" s="51">
        <f t="shared" si="628"/>
        <v>0</v>
      </c>
      <c r="BV288" s="51">
        <f t="shared" si="628"/>
        <v>40000000</v>
      </c>
      <c r="BW288" s="51">
        <f t="shared" si="628"/>
        <v>35800000</v>
      </c>
      <c r="BX288" s="51">
        <f t="shared" si="628"/>
        <v>35800000</v>
      </c>
      <c r="BY288" s="51">
        <f t="shared" si="628"/>
        <v>0</v>
      </c>
      <c r="BZ288" s="51">
        <f t="shared" si="628"/>
        <v>60000000</v>
      </c>
      <c r="CA288" s="51">
        <f t="shared" si="628"/>
        <v>60000000</v>
      </c>
      <c r="CB288" s="51">
        <f t="shared" si="628"/>
        <v>53000000</v>
      </c>
      <c r="CC288" s="51">
        <f t="shared" si="628"/>
        <v>53000000</v>
      </c>
      <c r="CD288" s="51">
        <f t="shared" si="628"/>
        <v>0</v>
      </c>
      <c r="CE288" s="51">
        <f t="shared" si="628"/>
        <v>0</v>
      </c>
      <c r="CF288" s="51">
        <f t="shared" si="628"/>
        <v>0</v>
      </c>
      <c r="CG288" s="51">
        <f t="shared" si="628"/>
        <v>0</v>
      </c>
      <c r="CH288" s="51">
        <f t="shared" si="628"/>
        <v>0</v>
      </c>
      <c r="CI288" s="51">
        <f t="shared" si="628"/>
        <v>0</v>
      </c>
      <c r="CJ288" s="51">
        <f t="shared" si="628"/>
        <v>0</v>
      </c>
      <c r="CK288" s="51">
        <f t="shared" si="628"/>
        <v>0</v>
      </c>
      <c r="CL288" s="51">
        <f t="shared" si="628"/>
        <v>0</v>
      </c>
      <c r="CM288" s="51">
        <f t="shared" si="628"/>
        <v>0</v>
      </c>
      <c r="CN288" s="51">
        <f t="shared" si="628"/>
        <v>0</v>
      </c>
      <c r="CO288" s="51">
        <f t="shared" si="628"/>
        <v>0</v>
      </c>
      <c r="CP288" s="51">
        <f t="shared" si="628"/>
        <v>0</v>
      </c>
      <c r="CQ288" s="51">
        <f t="shared" si="628"/>
        <v>0</v>
      </c>
      <c r="CR288" s="51">
        <f t="shared" si="628"/>
        <v>0</v>
      </c>
      <c r="CS288" s="51">
        <f t="shared" si="628"/>
        <v>0</v>
      </c>
      <c r="CT288" s="51">
        <f t="shared" si="628"/>
        <v>0</v>
      </c>
      <c r="CU288" s="51">
        <f t="shared" si="628"/>
        <v>0</v>
      </c>
      <c r="CV288" s="51">
        <f t="shared" si="628"/>
        <v>0</v>
      </c>
      <c r="CW288" s="51">
        <f t="shared" si="628"/>
        <v>0</v>
      </c>
      <c r="CX288" s="51">
        <f t="shared" si="628"/>
        <v>0</v>
      </c>
      <c r="CY288" s="51">
        <f t="shared" si="628"/>
        <v>0</v>
      </c>
      <c r="CZ288" s="51">
        <f t="shared" si="628"/>
        <v>0</v>
      </c>
      <c r="DA288" s="51">
        <f t="shared" si="628"/>
        <v>0</v>
      </c>
      <c r="DB288" s="51">
        <f t="shared" si="628"/>
        <v>0</v>
      </c>
      <c r="DC288" s="51">
        <f t="shared" si="628"/>
        <v>0</v>
      </c>
      <c r="DD288" s="51">
        <f t="shared" si="628"/>
        <v>0</v>
      </c>
      <c r="DE288" s="51">
        <f t="shared" si="628"/>
        <v>60000000</v>
      </c>
      <c r="DF288" s="51">
        <f t="shared" si="628"/>
        <v>100000000</v>
      </c>
      <c r="DG288" s="51">
        <f t="shared" si="628"/>
        <v>88800000</v>
      </c>
      <c r="DH288" s="51">
        <f t="shared" si="628"/>
        <v>88800000</v>
      </c>
      <c r="DI288" s="51">
        <f t="shared" si="628"/>
        <v>0</v>
      </c>
      <c r="DJ288" s="51">
        <f t="shared" si="628"/>
        <v>0</v>
      </c>
      <c r="DK288" s="51">
        <f t="shared" si="628"/>
        <v>0</v>
      </c>
      <c r="DL288" s="51">
        <f t="shared" si="628"/>
        <v>0</v>
      </c>
      <c r="DM288" s="51">
        <f t="shared" si="628"/>
        <v>0</v>
      </c>
      <c r="DN288" s="51">
        <f t="shared" si="628"/>
        <v>0</v>
      </c>
      <c r="DO288" s="51">
        <f t="shared" si="628"/>
        <v>0</v>
      </c>
      <c r="DP288" s="51">
        <f t="shared" si="628"/>
        <v>0</v>
      </c>
      <c r="DQ288" s="51">
        <f t="shared" si="628"/>
        <v>0</v>
      </c>
      <c r="DR288" s="51">
        <f t="shared" si="628"/>
        <v>0</v>
      </c>
      <c r="DS288" s="51">
        <f t="shared" si="628"/>
        <v>50000000</v>
      </c>
      <c r="DT288" s="51">
        <f t="shared" si="628"/>
        <v>90000000</v>
      </c>
      <c r="DU288" s="51">
        <f t="shared" si="628"/>
        <v>85954500</v>
      </c>
      <c r="DV288" s="51">
        <f t="shared" si="628"/>
        <v>79266500</v>
      </c>
      <c r="DW288" s="51">
        <f t="shared" si="628"/>
        <v>0</v>
      </c>
      <c r="DX288" s="51">
        <f t="shared" si="628"/>
        <v>0</v>
      </c>
      <c r="DY288" s="51">
        <f t="shared" ref="DY288:EW288" si="629">SUM(DY289)</f>
        <v>0</v>
      </c>
      <c r="DZ288" s="51">
        <f t="shared" si="629"/>
        <v>0</v>
      </c>
      <c r="EA288" s="51">
        <f t="shared" si="629"/>
        <v>0</v>
      </c>
      <c r="EB288" s="51">
        <f t="shared" si="629"/>
        <v>0</v>
      </c>
      <c r="EC288" s="51">
        <f t="shared" si="629"/>
        <v>0</v>
      </c>
      <c r="ED288" s="51">
        <f t="shared" si="629"/>
        <v>0</v>
      </c>
      <c r="EE288" s="51">
        <f t="shared" si="629"/>
        <v>0</v>
      </c>
      <c r="EF288" s="51">
        <f t="shared" si="629"/>
        <v>0</v>
      </c>
      <c r="EG288" s="51">
        <f t="shared" si="629"/>
        <v>0</v>
      </c>
      <c r="EH288" s="51">
        <f t="shared" si="629"/>
        <v>0</v>
      </c>
      <c r="EI288" s="51">
        <f t="shared" si="629"/>
        <v>0</v>
      </c>
      <c r="EJ288" s="51">
        <f t="shared" si="629"/>
        <v>0</v>
      </c>
      <c r="EK288" s="51">
        <f t="shared" si="629"/>
        <v>0</v>
      </c>
      <c r="EL288" s="51">
        <f t="shared" si="629"/>
        <v>0</v>
      </c>
      <c r="EM288" s="51">
        <f t="shared" si="629"/>
        <v>0</v>
      </c>
      <c r="EN288" s="51">
        <f t="shared" si="629"/>
        <v>0</v>
      </c>
      <c r="EO288" s="51">
        <f t="shared" si="629"/>
        <v>0</v>
      </c>
      <c r="EP288" s="51">
        <f t="shared" si="629"/>
        <v>0</v>
      </c>
      <c r="EQ288" s="51">
        <f t="shared" si="629"/>
        <v>0</v>
      </c>
      <c r="ER288" s="51">
        <f t="shared" si="629"/>
        <v>0</v>
      </c>
      <c r="ES288" s="51">
        <f t="shared" si="629"/>
        <v>0</v>
      </c>
      <c r="ET288" s="51">
        <f t="shared" si="629"/>
        <v>0</v>
      </c>
      <c r="EU288" s="51">
        <f t="shared" si="629"/>
        <v>0</v>
      </c>
      <c r="EV288" s="51">
        <f t="shared" si="629"/>
        <v>0</v>
      </c>
      <c r="EW288" s="51">
        <f t="shared" si="629"/>
        <v>50000000</v>
      </c>
      <c r="EX288" s="51">
        <f t="shared" ref="EX288:GZ288" si="630">SUM(EX289)</f>
        <v>90000000</v>
      </c>
      <c r="EY288" s="51">
        <f t="shared" si="630"/>
        <v>85954500</v>
      </c>
      <c r="EZ288" s="51">
        <f t="shared" si="630"/>
        <v>79266500</v>
      </c>
      <c r="FA288" s="51">
        <f t="shared" si="630"/>
        <v>0</v>
      </c>
      <c r="FB288" s="51">
        <f t="shared" si="630"/>
        <v>0</v>
      </c>
      <c r="FC288" s="51">
        <f t="shared" si="630"/>
        <v>0</v>
      </c>
      <c r="FD288" s="51">
        <f t="shared" si="630"/>
        <v>0</v>
      </c>
      <c r="FE288" s="51">
        <f t="shared" si="630"/>
        <v>0</v>
      </c>
      <c r="FF288" s="51">
        <f t="shared" si="630"/>
        <v>0</v>
      </c>
      <c r="FG288" s="51">
        <f t="shared" si="630"/>
        <v>0</v>
      </c>
      <c r="FH288" s="51">
        <f t="shared" si="630"/>
        <v>0</v>
      </c>
      <c r="FI288" s="51">
        <f t="shared" si="630"/>
        <v>0</v>
      </c>
      <c r="FJ288" s="51">
        <f t="shared" si="630"/>
        <v>0</v>
      </c>
      <c r="FK288" s="51">
        <f t="shared" si="630"/>
        <v>0</v>
      </c>
      <c r="FL288" s="51">
        <f t="shared" si="630"/>
        <v>50000000</v>
      </c>
      <c r="FM288" s="51">
        <f t="shared" si="630"/>
        <v>100000000</v>
      </c>
      <c r="FN288" s="51">
        <f t="shared" si="630"/>
        <v>34261500</v>
      </c>
      <c r="FO288" s="51">
        <f t="shared" si="630"/>
        <v>10271500</v>
      </c>
      <c r="FP288" s="51">
        <f t="shared" si="630"/>
        <v>6688000</v>
      </c>
      <c r="FQ288" s="51">
        <f t="shared" si="630"/>
        <v>0</v>
      </c>
      <c r="FR288" s="51">
        <f t="shared" si="630"/>
        <v>0</v>
      </c>
      <c r="FS288" s="51">
        <f t="shared" si="630"/>
        <v>0</v>
      </c>
      <c r="FT288" s="51">
        <f t="shared" si="630"/>
        <v>0</v>
      </c>
      <c r="FU288" s="51">
        <f t="shared" si="630"/>
        <v>0</v>
      </c>
      <c r="FV288" s="51">
        <f t="shared" si="630"/>
        <v>0</v>
      </c>
      <c r="FW288" s="51">
        <f t="shared" si="630"/>
        <v>0</v>
      </c>
      <c r="FX288" s="51">
        <f t="shared" si="630"/>
        <v>0</v>
      </c>
      <c r="FY288" s="51">
        <f t="shared" si="630"/>
        <v>0</v>
      </c>
      <c r="FZ288" s="51">
        <f t="shared" si="630"/>
        <v>0</v>
      </c>
      <c r="GA288" s="51">
        <f t="shared" si="630"/>
        <v>0</v>
      </c>
      <c r="GB288" s="51">
        <f t="shared" si="630"/>
        <v>0</v>
      </c>
      <c r="GC288" s="51">
        <f t="shared" si="630"/>
        <v>0</v>
      </c>
      <c r="GD288" s="51">
        <f t="shared" si="630"/>
        <v>0</v>
      </c>
      <c r="GE288" s="51">
        <f t="shared" si="630"/>
        <v>0</v>
      </c>
      <c r="GF288" s="51">
        <f t="shared" si="630"/>
        <v>0</v>
      </c>
      <c r="GG288" s="51">
        <f t="shared" si="630"/>
        <v>0</v>
      </c>
      <c r="GH288" s="51">
        <f t="shared" si="630"/>
        <v>0</v>
      </c>
      <c r="GI288" s="51">
        <f t="shared" si="630"/>
        <v>0</v>
      </c>
      <c r="GJ288" s="51">
        <f t="shared" si="630"/>
        <v>0</v>
      </c>
      <c r="GK288" s="51">
        <f t="shared" si="630"/>
        <v>0</v>
      </c>
      <c r="GL288" s="51">
        <f t="shared" si="630"/>
        <v>0</v>
      </c>
      <c r="GM288" s="51">
        <f t="shared" si="630"/>
        <v>0</v>
      </c>
      <c r="GN288" s="51">
        <f t="shared" si="630"/>
        <v>0</v>
      </c>
      <c r="GO288" s="51">
        <f t="shared" si="630"/>
        <v>0</v>
      </c>
      <c r="GP288" s="51">
        <f t="shared" si="630"/>
        <v>0</v>
      </c>
      <c r="GQ288" s="51">
        <f t="shared" si="630"/>
        <v>0</v>
      </c>
      <c r="GR288" s="51">
        <f t="shared" si="630"/>
        <v>0</v>
      </c>
      <c r="GS288" s="51">
        <f t="shared" si="630"/>
        <v>0</v>
      </c>
      <c r="GT288" s="51">
        <f t="shared" si="630"/>
        <v>0</v>
      </c>
      <c r="GU288" s="51">
        <f t="shared" si="630"/>
        <v>50000000</v>
      </c>
      <c r="GV288" s="51">
        <f t="shared" si="630"/>
        <v>100000000</v>
      </c>
      <c r="GW288" s="51">
        <f t="shared" si="630"/>
        <v>34261500</v>
      </c>
      <c r="GX288" s="51">
        <f t="shared" si="630"/>
        <v>10271500</v>
      </c>
      <c r="GY288" s="51">
        <f t="shared" si="630"/>
        <v>6688000</v>
      </c>
      <c r="GZ288" s="51">
        <f t="shared" si="630"/>
        <v>210000000</v>
      </c>
    </row>
    <row r="289" spans="1:208" ht="120.75" customHeight="1" x14ac:dyDescent="0.2">
      <c r="A289" s="326"/>
      <c r="B289" s="326"/>
      <c r="C289" s="288">
        <v>37</v>
      </c>
      <c r="D289" s="261" t="s">
        <v>536</v>
      </c>
      <c r="E289" s="525">
        <v>0.54610000000000003</v>
      </c>
      <c r="F289" s="439">
        <v>0.6</v>
      </c>
      <c r="G289" s="265">
        <v>195</v>
      </c>
      <c r="H289" s="358" t="s">
        <v>679</v>
      </c>
      <c r="I289" s="258" t="s">
        <v>680</v>
      </c>
      <c r="J289" s="262" t="s">
        <v>636</v>
      </c>
      <c r="K289" s="262">
        <v>14</v>
      </c>
      <c r="L289" s="263" t="s">
        <v>58</v>
      </c>
      <c r="M289" s="264">
        <v>0</v>
      </c>
      <c r="N289" s="264">
        <v>1</v>
      </c>
      <c r="O289" s="265">
        <v>1</v>
      </c>
      <c r="P289" s="266">
        <v>0.5</v>
      </c>
      <c r="Q289" s="474">
        <v>1</v>
      </c>
      <c r="R289" s="268"/>
      <c r="S289" s="270">
        <v>1</v>
      </c>
      <c r="T289" s="264">
        <v>1</v>
      </c>
      <c r="U289" s="264"/>
      <c r="V289" s="270">
        <v>1</v>
      </c>
      <c r="W289" s="264">
        <v>1</v>
      </c>
      <c r="X289" s="263"/>
      <c r="Y289" s="271">
        <v>0.5</v>
      </c>
      <c r="Z289" s="371">
        <f>BM289/BM288</f>
        <v>1</v>
      </c>
      <c r="AA289" s="264">
        <v>10</v>
      </c>
      <c r="AB289" s="263" t="s">
        <v>389</v>
      </c>
      <c r="AC289" s="60"/>
      <c r="AD289" s="59"/>
      <c r="AE289" s="59"/>
      <c r="AF289" s="59"/>
      <c r="AG289" s="60"/>
      <c r="AH289" s="59"/>
      <c r="AI289" s="59"/>
      <c r="AJ289" s="59"/>
      <c r="AK289" s="57">
        <v>50000000</v>
      </c>
      <c r="AL289" s="58">
        <v>100000000</v>
      </c>
      <c r="AM289" s="55">
        <v>94400000</v>
      </c>
      <c r="AN289" s="55">
        <v>94400000</v>
      </c>
      <c r="AO289" s="57"/>
      <c r="AP289" s="58"/>
      <c r="AQ289" s="58"/>
      <c r="AR289" s="59"/>
      <c r="AS289" s="60"/>
      <c r="AT289" s="59"/>
      <c r="AU289" s="59"/>
      <c r="AV289" s="59"/>
      <c r="AW289" s="60"/>
      <c r="AX289" s="59"/>
      <c r="AY289" s="59"/>
      <c r="AZ289" s="59"/>
      <c r="BA289" s="60"/>
      <c r="BB289" s="59"/>
      <c r="BC289" s="59"/>
      <c r="BD289" s="59"/>
      <c r="BE289" s="60"/>
      <c r="BF289" s="59"/>
      <c r="BG289" s="59"/>
      <c r="BH289" s="59"/>
      <c r="BI289" s="60"/>
      <c r="BJ289" s="59"/>
      <c r="BK289" s="59"/>
      <c r="BL289" s="59"/>
      <c r="BM289" s="53">
        <f>+AC289+AG289+AK289+AO289+AS289+AW289+BA289+BE289+BI289</f>
        <v>50000000</v>
      </c>
      <c r="BN289" s="54">
        <f>AD289+AH289+AL289+AP289+AT289+AX289+BB289+BF289+BJ289</f>
        <v>100000000</v>
      </c>
      <c r="BO289" s="54">
        <f>AE289+AI289+AM289+AQ289+AU289+AY289+BC289+BG289+BK289</f>
        <v>94400000</v>
      </c>
      <c r="BP289" s="54">
        <f>AF289+AJ289+AN289+AR289+AV289+AZ289+BD289+BH289+BL289</f>
        <v>94400000</v>
      </c>
      <c r="BQ289" s="83"/>
      <c r="BR289" s="83"/>
      <c r="BS289" s="83"/>
      <c r="BT289" s="83"/>
      <c r="BU289" s="83"/>
      <c r="BV289" s="83">
        <v>40000000</v>
      </c>
      <c r="BW289" s="83">
        <v>35800000</v>
      </c>
      <c r="BX289" s="83">
        <v>35800000</v>
      </c>
      <c r="BY289" s="83"/>
      <c r="BZ289" s="83">
        <v>60000000</v>
      </c>
      <c r="CA289" s="83">
        <v>60000000</v>
      </c>
      <c r="CB289" s="83">
        <v>53000000</v>
      </c>
      <c r="CC289" s="83">
        <v>53000000</v>
      </c>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1">
        <f t="shared" si="613"/>
        <v>60000000</v>
      </c>
      <c r="DF289" s="95">
        <f>BR289+BV289+CA289+CF289+CJ289+CN289+CR289+CW289+DB289</f>
        <v>100000000</v>
      </c>
      <c r="DG289" s="95">
        <f>BS289+BW289+CB289+CG289+CK289+CO289+CS289+CX289+DC289</f>
        <v>88800000</v>
      </c>
      <c r="DH289" s="95">
        <f>BT289+BX289+CC289+CH289+CL289+CP289+CT289+CY289+DD289</f>
        <v>88800000</v>
      </c>
      <c r="DI289" s="95"/>
      <c r="DJ289" s="83"/>
      <c r="DK289" s="82"/>
      <c r="DL289" s="83"/>
      <c r="DM289" s="83"/>
      <c r="DN289" s="83"/>
      <c r="DO289" s="83"/>
      <c r="DP289" s="83"/>
      <c r="DQ289" s="83"/>
      <c r="DR289" s="83"/>
      <c r="DS289" s="83">
        <v>50000000</v>
      </c>
      <c r="DT289" s="83">
        <v>90000000</v>
      </c>
      <c r="DU289" s="83">
        <v>85954500</v>
      </c>
      <c r="DV289" s="83">
        <v>79266500</v>
      </c>
      <c r="DW289" s="83"/>
      <c r="DX289" s="83"/>
      <c r="DY289" s="83"/>
      <c r="DZ289" s="83"/>
      <c r="EA289" s="83"/>
      <c r="EB289" s="83"/>
      <c r="EC289" s="83"/>
      <c r="ED289" s="83"/>
      <c r="EE289" s="83"/>
      <c r="EF289" s="83"/>
      <c r="EG289" s="83"/>
      <c r="EH289" s="83"/>
      <c r="EI289" s="83"/>
      <c r="EJ289" s="83"/>
      <c r="EK289" s="83"/>
      <c r="EL289" s="83"/>
      <c r="EM289" s="83"/>
      <c r="EN289" s="83"/>
      <c r="EO289" s="83"/>
      <c r="EP289" s="83"/>
      <c r="EQ289" s="83"/>
      <c r="ER289" s="83"/>
      <c r="ES289" s="83"/>
      <c r="ET289" s="83"/>
      <c r="EU289" s="83"/>
      <c r="EV289" s="83"/>
      <c r="EW289" s="81">
        <f>DJ289+DN289+DS289+DX289+EB289+EF289+EJ289+EN289+ES289</f>
        <v>50000000</v>
      </c>
      <c r="EX289" s="86">
        <f>DK289+DO289+DT289+DY289+EC289+EG289+EK289+EO289+ET289</f>
        <v>90000000</v>
      </c>
      <c r="EY289" s="86">
        <f>DL289+DP289+DU289+DZ289+ED289+EH289+EL289+EP289+EU289</f>
        <v>85954500</v>
      </c>
      <c r="EZ289" s="86">
        <f>DM289+DQ289+DV289+EA289+EE289+EI289+EM289+EQ289+EV289</f>
        <v>79266500</v>
      </c>
      <c r="FA289" s="176"/>
      <c r="FB289" s="83"/>
      <c r="FC289" s="84"/>
      <c r="FD289" s="84"/>
      <c r="FE289" s="84"/>
      <c r="FF289" s="140"/>
      <c r="FG289" s="83"/>
      <c r="FH289" s="83"/>
      <c r="FI289" s="83"/>
      <c r="FJ289" s="83"/>
      <c r="FK289" s="83"/>
      <c r="FL289" s="83">
        <v>50000000</v>
      </c>
      <c r="FM289" s="83">
        <v>100000000</v>
      </c>
      <c r="FN289" s="83">
        <v>34261500</v>
      </c>
      <c r="FO289" s="83">
        <v>10271500</v>
      </c>
      <c r="FP289" s="83">
        <v>6688000</v>
      </c>
      <c r="FQ289" s="83"/>
      <c r="FR289" s="83"/>
      <c r="FS289" s="83"/>
      <c r="FT289" s="83"/>
      <c r="FU289" s="83"/>
      <c r="FV289" s="83"/>
      <c r="FW289" s="83"/>
      <c r="FX289" s="83"/>
      <c r="FY289" s="83"/>
      <c r="FZ289" s="83"/>
      <c r="GA289" s="83"/>
      <c r="GB289" s="83"/>
      <c r="GC289" s="83"/>
      <c r="GD289" s="83"/>
      <c r="GE289" s="83"/>
      <c r="GF289" s="83"/>
      <c r="GG289" s="83"/>
      <c r="GH289" s="83"/>
      <c r="GI289" s="83"/>
      <c r="GJ289" s="83"/>
      <c r="GK289" s="83"/>
      <c r="GL289" s="83"/>
      <c r="GM289" s="83"/>
      <c r="GN289" s="83"/>
      <c r="GO289" s="83"/>
      <c r="GP289" s="83"/>
      <c r="GQ289" s="83"/>
      <c r="GR289" s="83"/>
      <c r="GS289" s="83"/>
      <c r="GT289" s="83"/>
      <c r="GU289" s="81">
        <f>FB289+FG289+FL289+FQ289+FV289+GA289+GF289+GK289+GP289</f>
        <v>50000000</v>
      </c>
      <c r="GV289" s="81">
        <f>GQ289+GL289+GG289+GB289+FW289+FR289+FM289+FH289+FC289</f>
        <v>100000000</v>
      </c>
      <c r="GW289" s="81">
        <f>GR289+GM289+GH289+GC289+FX289+FS289+FN289+FI289+FD289</f>
        <v>34261500</v>
      </c>
      <c r="GX289" s="81">
        <f>GS289+GN289+GI289+GD289+FY289+FT289+FO289+FJ289+FE289</f>
        <v>10271500</v>
      </c>
      <c r="GY289" s="673">
        <f>GT289+GO289+GJ289+GE289+FZ289+FU289+FP289+FK289+FF289</f>
        <v>6688000</v>
      </c>
      <c r="GZ289" s="67">
        <f>BM289+DE289+EW289+GU289</f>
        <v>210000000</v>
      </c>
    </row>
    <row r="290" spans="1:208" ht="24.75" customHeight="1" x14ac:dyDescent="0.2">
      <c r="A290" s="326"/>
      <c r="B290" s="326"/>
      <c r="C290" s="246">
        <v>65</v>
      </c>
      <c r="D290" s="247" t="s">
        <v>681</v>
      </c>
      <c r="E290" s="250"/>
      <c r="F290" s="250"/>
      <c r="G290" s="249"/>
      <c r="H290" s="249"/>
      <c r="I290" s="249"/>
      <c r="J290" s="249"/>
      <c r="K290" s="249"/>
      <c r="L290" s="249"/>
      <c r="M290" s="249"/>
      <c r="N290" s="249"/>
      <c r="O290" s="249"/>
      <c r="P290" s="249"/>
      <c r="Q290" s="249"/>
      <c r="R290" s="249"/>
      <c r="S290" s="249"/>
      <c r="T290" s="249"/>
      <c r="U290" s="249"/>
      <c r="V290" s="249"/>
      <c r="W290" s="249"/>
      <c r="X290" s="249"/>
      <c r="Y290" s="296"/>
      <c r="Z290" s="249"/>
      <c r="AA290" s="249"/>
      <c r="AB290" s="249"/>
      <c r="AC290" s="201">
        <f t="shared" ref="AC290:BL290" si="631">SUM(AC291)</f>
        <v>0</v>
      </c>
      <c r="AD290" s="201">
        <f t="shared" si="631"/>
        <v>0</v>
      </c>
      <c r="AE290" s="201">
        <f t="shared" si="631"/>
        <v>0</v>
      </c>
      <c r="AF290" s="201">
        <f t="shared" si="631"/>
        <v>0</v>
      </c>
      <c r="AG290" s="201">
        <f t="shared" si="631"/>
        <v>0</v>
      </c>
      <c r="AH290" s="201">
        <f t="shared" si="631"/>
        <v>0</v>
      </c>
      <c r="AI290" s="201">
        <f t="shared" si="631"/>
        <v>0</v>
      </c>
      <c r="AJ290" s="201">
        <f t="shared" si="631"/>
        <v>0</v>
      </c>
      <c r="AK290" s="201">
        <f t="shared" si="631"/>
        <v>20000000</v>
      </c>
      <c r="AL290" s="201">
        <f t="shared" si="631"/>
        <v>40000000</v>
      </c>
      <c r="AM290" s="201">
        <f t="shared" si="631"/>
        <v>34399997</v>
      </c>
      <c r="AN290" s="201">
        <f t="shared" si="631"/>
        <v>34399997</v>
      </c>
      <c r="AO290" s="201">
        <f t="shared" si="631"/>
        <v>0</v>
      </c>
      <c r="AP290" s="201">
        <f t="shared" si="631"/>
        <v>0</v>
      </c>
      <c r="AQ290" s="201">
        <f t="shared" si="631"/>
        <v>0</v>
      </c>
      <c r="AR290" s="201">
        <f t="shared" si="631"/>
        <v>0</v>
      </c>
      <c r="AS290" s="201">
        <f t="shared" si="631"/>
        <v>0</v>
      </c>
      <c r="AT290" s="201">
        <f t="shared" si="631"/>
        <v>0</v>
      </c>
      <c r="AU290" s="201">
        <f t="shared" si="631"/>
        <v>0</v>
      </c>
      <c r="AV290" s="201">
        <f t="shared" si="631"/>
        <v>0</v>
      </c>
      <c r="AW290" s="201">
        <f t="shared" si="631"/>
        <v>0</v>
      </c>
      <c r="AX290" s="201">
        <f t="shared" si="631"/>
        <v>0</v>
      </c>
      <c r="AY290" s="201">
        <f t="shared" si="631"/>
        <v>0</v>
      </c>
      <c r="AZ290" s="201">
        <f t="shared" si="631"/>
        <v>0</v>
      </c>
      <c r="BA290" s="201">
        <f t="shared" si="631"/>
        <v>0</v>
      </c>
      <c r="BB290" s="201">
        <f t="shared" si="631"/>
        <v>0</v>
      </c>
      <c r="BC290" s="201">
        <f t="shared" si="631"/>
        <v>0</v>
      </c>
      <c r="BD290" s="201">
        <f t="shared" si="631"/>
        <v>0</v>
      </c>
      <c r="BE290" s="201">
        <f t="shared" si="631"/>
        <v>0</v>
      </c>
      <c r="BF290" s="201">
        <f t="shared" si="631"/>
        <v>0</v>
      </c>
      <c r="BG290" s="201">
        <f t="shared" si="631"/>
        <v>0</v>
      </c>
      <c r="BH290" s="201">
        <f t="shared" si="631"/>
        <v>0</v>
      </c>
      <c r="BI290" s="201">
        <f t="shared" si="631"/>
        <v>0</v>
      </c>
      <c r="BJ290" s="201">
        <f t="shared" si="631"/>
        <v>0</v>
      </c>
      <c r="BK290" s="201">
        <f t="shared" si="631"/>
        <v>0</v>
      </c>
      <c r="BL290" s="201">
        <f t="shared" si="631"/>
        <v>0</v>
      </c>
      <c r="BM290" s="201">
        <f t="shared" ref="BM290:DX290" si="632">SUM(BM291)</f>
        <v>20000000</v>
      </c>
      <c r="BN290" s="201">
        <f t="shared" si="632"/>
        <v>40000000</v>
      </c>
      <c r="BO290" s="201">
        <f t="shared" si="632"/>
        <v>34399997</v>
      </c>
      <c r="BP290" s="201">
        <f t="shared" si="632"/>
        <v>34399997</v>
      </c>
      <c r="BQ290" s="201">
        <f t="shared" si="632"/>
        <v>0</v>
      </c>
      <c r="BR290" s="201">
        <f t="shared" si="632"/>
        <v>0</v>
      </c>
      <c r="BS290" s="201">
        <f t="shared" si="632"/>
        <v>0</v>
      </c>
      <c r="BT290" s="201">
        <f t="shared" si="632"/>
        <v>0</v>
      </c>
      <c r="BU290" s="201">
        <f t="shared" si="632"/>
        <v>0</v>
      </c>
      <c r="BV290" s="201">
        <f t="shared" si="632"/>
        <v>49000000</v>
      </c>
      <c r="BW290" s="201">
        <f t="shared" si="632"/>
        <v>49000000</v>
      </c>
      <c r="BX290" s="201">
        <f t="shared" si="632"/>
        <v>49000000</v>
      </c>
      <c r="BY290" s="201">
        <f t="shared" si="632"/>
        <v>0</v>
      </c>
      <c r="BZ290" s="201">
        <f t="shared" si="632"/>
        <v>21000000</v>
      </c>
      <c r="CA290" s="201">
        <f t="shared" si="632"/>
        <v>41000000</v>
      </c>
      <c r="CB290" s="201">
        <f t="shared" si="632"/>
        <v>28284666</v>
      </c>
      <c r="CC290" s="201">
        <f t="shared" si="632"/>
        <v>28284666</v>
      </c>
      <c r="CD290" s="201">
        <f t="shared" si="632"/>
        <v>0</v>
      </c>
      <c r="CE290" s="201">
        <f t="shared" si="632"/>
        <v>0</v>
      </c>
      <c r="CF290" s="201">
        <f t="shared" si="632"/>
        <v>0</v>
      </c>
      <c r="CG290" s="201">
        <f t="shared" si="632"/>
        <v>0</v>
      </c>
      <c r="CH290" s="201">
        <f t="shared" si="632"/>
        <v>0</v>
      </c>
      <c r="CI290" s="201">
        <f t="shared" si="632"/>
        <v>0</v>
      </c>
      <c r="CJ290" s="201">
        <f t="shared" si="632"/>
        <v>0</v>
      </c>
      <c r="CK290" s="201">
        <f t="shared" si="632"/>
        <v>0</v>
      </c>
      <c r="CL290" s="201">
        <f t="shared" si="632"/>
        <v>0</v>
      </c>
      <c r="CM290" s="201">
        <f t="shared" si="632"/>
        <v>0</v>
      </c>
      <c r="CN290" s="201">
        <f t="shared" si="632"/>
        <v>0</v>
      </c>
      <c r="CO290" s="201">
        <f t="shared" si="632"/>
        <v>0</v>
      </c>
      <c r="CP290" s="201">
        <f t="shared" si="632"/>
        <v>0</v>
      </c>
      <c r="CQ290" s="201">
        <f t="shared" si="632"/>
        <v>0</v>
      </c>
      <c r="CR290" s="201">
        <f t="shared" si="632"/>
        <v>0</v>
      </c>
      <c r="CS290" s="201">
        <f t="shared" si="632"/>
        <v>0</v>
      </c>
      <c r="CT290" s="201">
        <f t="shared" si="632"/>
        <v>0</v>
      </c>
      <c r="CU290" s="201">
        <f t="shared" si="632"/>
        <v>0</v>
      </c>
      <c r="CV290" s="201">
        <f t="shared" si="632"/>
        <v>0</v>
      </c>
      <c r="CW290" s="201">
        <f t="shared" si="632"/>
        <v>0</v>
      </c>
      <c r="CX290" s="201">
        <f t="shared" si="632"/>
        <v>0</v>
      </c>
      <c r="CY290" s="201">
        <f t="shared" si="632"/>
        <v>0</v>
      </c>
      <c r="CZ290" s="201">
        <f t="shared" si="632"/>
        <v>0</v>
      </c>
      <c r="DA290" s="201">
        <f t="shared" si="632"/>
        <v>0</v>
      </c>
      <c r="DB290" s="201">
        <f t="shared" si="632"/>
        <v>0</v>
      </c>
      <c r="DC290" s="201">
        <f t="shared" si="632"/>
        <v>0</v>
      </c>
      <c r="DD290" s="201">
        <f t="shared" si="632"/>
        <v>0</v>
      </c>
      <c r="DE290" s="201">
        <f t="shared" si="632"/>
        <v>21000000</v>
      </c>
      <c r="DF290" s="201">
        <f t="shared" si="632"/>
        <v>90000000</v>
      </c>
      <c r="DG290" s="201">
        <f t="shared" si="632"/>
        <v>77284666</v>
      </c>
      <c r="DH290" s="201">
        <f t="shared" si="632"/>
        <v>77284666</v>
      </c>
      <c r="DI290" s="201">
        <f t="shared" si="632"/>
        <v>0</v>
      </c>
      <c r="DJ290" s="201">
        <f t="shared" si="632"/>
        <v>0</v>
      </c>
      <c r="DK290" s="201">
        <f t="shared" si="632"/>
        <v>0</v>
      </c>
      <c r="DL290" s="201">
        <f t="shared" si="632"/>
        <v>0</v>
      </c>
      <c r="DM290" s="201">
        <f t="shared" si="632"/>
        <v>0</v>
      </c>
      <c r="DN290" s="201">
        <f t="shared" si="632"/>
        <v>0</v>
      </c>
      <c r="DO290" s="201">
        <f t="shared" si="632"/>
        <v>31400000</v>
      </c>
      <c r="DP290" s="201">
        <f t="shared" si="632"/>
        <v>31400000</v>
      </c>
      <c r="DQ290" s="201">
        <f t="shared" si="632"/>
        <v>31400000</v>
      </c>
      <c r="DR290" s="201">
        <f t="shared" si="632"/>
        <v>0</v>
      </c>
      <c r="DS290" s="201">
        <f t="shared" si="632"/>
        <v>22000000</v>
      </c>
      <c r="DT290" s="201">
        <f t="shared" si="632"/>
        <v>25000000</v>
      </c>
      <c r="DU290" s="201">
        <f t="shared" si="632"/>
        <v>25000000</v>
      </c>
      <c r="DV290" s="201">
        <f t="shared" si="632"/>
        <v>25000000</v>
      </c>
      <c r="DW290" s="201">
        <f t="shared" si="632"/>
        <v>0</v>
      </c>
      <c r="DX290" s="201">
        <f t="shared" si="632"/>
        <v>0</v>
      </c>
      <c r="DY290" s="201">
        <f t="shared" ref="DY290:EW290" si="633">SUM(DY291)</f>
        <v>0</v>
      </c>
      <c r="DZ290" s="201">
        <f t="shared" si="633"/>
        <v>0</v>
      </c>
      <c r="EA290" s="201">
        <f t="shared" si="633"/>
        <v>0</v>
      </c>
      <c r="EB290" s="201">
        <f t="shared" si="633"/>
        <v>0</v>
      </c>
      <c r="EC290" s="201">
        <f t="shared" si="633"/>
        <v>0</v>
      </c>
      <c r="ED290" s="201">
        <f t="shared" si="633"/>
        <v>0</v>
      </c>
      <c r="EE290" s="201">
        <f t="shared" si="633"/>
        <v>0</v>
      </c>
      <c r="EF290" s="201">
        <f t="shared" si="633"/>
        <v>0</v>
      </c>
      <c r="EG290" s="201">
        <f t="shared" si="633"/>
        <v>0</v>
      </c>
      <c r="EH290" s="201">
        <f t="shared" si="633"/>
        <v>0</v>
      </c>
      <c r="EI290" s="201">
        <f t="shared" si="633"/>
        <v>0</v>
      </c>
      <c r="EJ290" s="201">
        <f t="shared" si="633"/>
        <v>0</v>
      </c>
      <c r="EK290" s="201">
        <f t="shared" si="633"/>
        <v>0</v>
      </c>
      <c r="EL290" s="201">
        <f t="shared" si="633"/>
        <v>0</v>
      </c>
      <c r="EM290" s="201">
        <f t="shared" si="633"/>
        <v>0</v>
      </c>
      <c r="EN290" s="201">
        <f t="shared" si="633"/>
        <v>0</v>
      </c>
      <c r="EO290" s="201">
        <f t="shared" si="633"/>
        <v>0</v>
      </c>
      <c r="EP290" s="201">
        <f t="shared" si="633"/>
        <v>0</v>
      </c>
      <c r="EQ290" s="201">
        <f t="shared" si="633"/>
        <v>0</v>
      </c>
      <c r="ER290" s="201">
        <f t="shared" si="633"/>
        <v>0</v>
      </c>
      <c r="ES290" s="201">
        <f t="shared" si="633"/>
        <v>0</v>
      </c>
      <c r="ET290" s="201">
        <f t="shared" si="633"/>
        <v>0</v>
      </c>
      <c r="EU290" s="201">
        <f t="shared" si="633"/>
        <v>0</v>
      </c>
      <c r="EV290" s="201">
        <f t="shared" si="633"/>
        <v>0</v>
      </c>
      <c r="EW290" s="201">
        <f t="shared" si="633"/>
        <v>22000000</v>
      </c>
      <c r="EX290" s="201">
        <f t="shared" ref="EX290:GZ290" si="634">SUM(EX291)</f>
        <v>56400000</v>
      </c>
      <c r="EY290" s="201">
        <f t="shared" si="634"/>
        <v>56400000</v>
      </c>
      <c r="EZ290" s="201">
        <f t="shared" si="634"/>
        <v>56400000</v>
      </c>
      <c r="FA290" s="201">
        <f t="shared" si="634"/>
        <v>0</v>
      </c>
      <c r="FB290" s="201">
        <f t="shared" si="634"/>
        <v>0</v>
      </c>
      <c r="FC290" s="201">
        <f t="shared" si="634"/>
        <v>0</v>
      </c>
      <c r="FD290" s="201">
        <f t="shared" si="634"/>
        <v>0</v>
      </c>
      <c r="FE290" s="201">
        <f t="shared" si="634"/>
        <v>0</v>
      </c>
      <c r="FF290" s="201">
        <f t="shared" si="634"/>
        <v>0</v>
      </c>
      <c r="FG290" s="201">
        <f t="shared" si="634"/>
        <v>0</v>
      </c>
      <c r="FH290" s="201">
        <f t="shared" si="634"/>
        <v>0</v>
      </c>
      <c r="FI290" s="201">
        <f t="shared" si="634"/>
        <v>0</v>
      </c>
      <c r="FJ290" s="201">
        <f t="shared" si="634"/>
        <v>0</v>
      </c>
      <c r="FK290" s="201">
        <f t="shared" si="634"/>
        <v>0</v>
      </c>
      <c r="FL290" s="201">
        <f t="shared" si="634"/>
        <v>23000000</v>
      </c>
      <c r="FM290" s="201">
        <f t="shared" si="634"/>
        <v>30000000</v>
      </c>
      <c r="FN290" s="201">
        <f t="shared" si="634"/>
        <v>18990000</v>
      </c>
      <c r="FO290" s="201">
        <f t="shared" si="634"/>
        <v>11192000</v>
      </c>
      <c r="FP290" s="201">
        <f t="shared" si="634"/>
        <v>0</v>
      </c>
      <c r="FQ290" s="201">
        <f t="shared" si="634"/>
        <v>0</v>
      </c>
      <c r="FR290" s="201">
        <f t="shared" si="634"/>
        <v>0</v>
      </c>
      <c r="FS290" s="201">
        <f t="shared" si="634"/>
        <v>0</v>
      </c>
      <c r="FT290" s="201">
        <f t="shared" si="634"/>
        <v>0</v>
      </c>
      <c r="FU290" s="201">
        <f t="shared" si="634"/>
        <v>0</v>
      </c>
      <c r="FV290" s="201">
        <f t="shared" si="634"/>
        <v>0</v>
      </c>
      <c r="FW290" s="201">
        <f t="shared" si="634"/>
        <v>0</v>
      </c>
      <c r="FX290" s="201">
        <f t="shared" si="634"/>
        <v>0</v>
      </c>
      <c r="FY290" s="201">
        <f t="shared" si="634"/>
        <v>0</v>
      </c>
      <c r="FZ290" s="201">
        <f t="shared" si="634"/>
        <v>0</v>
      </c>
      <c r="GA290" s="201">
        <f t="shared" si="634"/>
        <v>0</v>
      </c>
      <c r="GB290" s="201">
        <f t="shared" si="634"/>
        <v>0</v>
      </c>
      <c r="GC290" s="201">
        <f t="shared" si="634"/>
        <v>0</v>
      </c>
      <c r="GD290" s="201">
        <f t="shared" si="634"/>
        <v>0</v>
      </c>
      <c r="GE290" s="201">
        <f t="shared" si="634"/>
        <v>0</v>
      </c>
      <c r="GF290" s="201">
        <f t="shared" si="634"/>
        <v>0</v>
      </c>
      <c r="GG290" s="201">
        <f t="shared" si="634"/>
        <v>0</v>
      </c>
      <c r="GH290" s="201">
        <f t="shared" si="634"/>
        <v>0</v>
      </c>
      <c r="GI290" s="201">
        <f t="shared" si="634"/>
        <v>0</v>
      </c>
      <c r="GJ290" s="201">
        <f t="shared" si="634"/>
        <v>0</v>
      </c>
      <c r="GK290" s="201">
        <f t="shared" si="634"/>
        <v>0</v>
      </c>
      <c r="GL290" s="201">
        <f t="shared" si="634"/>
        <v>0</v>
      </c>
      <c r="GM290" s="201">
        <f t="shared" si="634"/>
        <v>0</v>
      </c>
      <c r="GN290" s="201">
        <f t="shared" si="634"/>
        <v>0</v>
      </c>
      <c r="GO290" s="201">
        <f t="shared" si="634"/>
        <v>0</v>
      </c>
      <c r="GP290" s="201">
        <f t="shared" si="634"/>
        <v>0</v>
      </c>
      <c r="GQ290" s="201">
        <f t="shared" si="634"/>
        <v>0</v>
      </c>
      <c r="GR290" s="201">
        <f t="shared" si="634"/>
        <v>0</v>
      </c>
      <c r="GS290" s="201">
        <f t="shared" si="634"/>
        <v>0</v>
      </c>
      <c r="GT290" s="201">
        <f t="shared" si="634"/>
        <v>0</v>
      </c>
      <c r="GU290" s="201">
        <f t="shared" si="634"/>
        <v>23000000</v>
      </c>
      <c r="GV290" s="201">
        <f t="shared" si="634"/>
        <v>30000000</v>
      </c>
      <c r="GW290" s="201">
        <f t="shared" si="634"/>
        <v>18990000</v>
      </c>
      <c r="GX290" s="201">
        <f t="shared" si="634"/>
        <v>11192000</v>
      </c>
      <c r="GY290" s="201">
        <f t="shared" si="634"/>
        <v>0</v>
      </c>
      <c r="GZ290" s="201">
        <f t="shared" si="634"/>
        <v>86000000</v>
      </c>
    </row>
    <row r="291" spans="1:208" ht="106.5" customHeight="1" x14ac:dyDescent="0.2">
      <c r="A291" s="326"/>
      <c r="B291" s="326"/>
      <c r="C291" s="264" t="s">
        <v>946</v>
      </c>
      <c r="D291" s="261" t="s">
        <v>957</v>
      </c>
      <c r="E291" s="261" t="s">
        <v>682</v>
      </c>
      <c r="F291" s="261" t="s">
        <v>683</v>
      </c>
      <c r="G291" s="265">
        <v>196</v>
      </c>
      <c r="H291" s="358" t="s">
        <v>684</v>
      </c>
      <c r="I291" s="258" t="s">
        <v>685</v>
      </c>
      <c r="J291" s="262" t="s">
        <v>636</v>
      </c>
      <c r="K291" s="262">
        <v>14</v>
      </c>
      <c r="L291" s="263" t="s">
        <v>58</v>
      </c>
      <c r="M291" s="264">
        <v>0</v>
      </c>
      <c r="N291" s="264">
        <v>1</v>
      </c>
      <c r="O291" s="265">
        <v>1</v>
      </c>
      <c r="P291" s="266">
        <v>0.4</v>
      </c>
      <c r="Q291" s="474">
        <v>1</v>
      </c>
      <c r="R291" s="268"/>
      <c r="S291" s="270">
        <v>0.95</v>
      </c>
      <c r="T291" s="264">
        <v>1</v>
      </c>
      <c r="U291" s="264"/>
      <c r="V291" s="270">
        <v>0.9</v>
      </c>
      <c r="W291" s="264">
        <v>1</v>
      </c>
      <c r="X291" s="263"/>
      <c r="Y291" s="271">
        <v>0.5</v>
      </c>
      <c r="Z291" s="315">
        <f>BM291/BM290</f>
        <v>1</v>
      </c>
      <c r="AA291" s="264">
        <v>5</v>
      </c>
      <c r="AB291" s="263" t="s">
        <v>686</v>
      </c>
      <c r="AC291" s="53"/>
      <c r="AD291" s="54"/>
      <c r="AE291" s="54"/>
      <c r="AF291" s="54"/>
      <c r="AG291" s="53"/>
      <c r="AH291" s="54"/>
      <c r="AI291" s="54"/>
      <c r="AJ291" s="54"/>
      <c r="AK291" s="57">
        <f>20000000</f>
        <v>20000000</v>
      </c>
      <c r="AL291" s="55">
        <v>40000000</v>
      </c>
      <c r="AM291" s="58">
        <v>34399997</v>
      </c>
      <c r="AN291" s="58">
        <v>34399997</v>
      </c>
      <c r="AO291" s="57"/>
      <c r="AP291" s="58"/>
      <c r="AQ291" s="58"/>
      <c r="AR291" s="54"/>
      <c r="AS291" s="53"/>
      <c r="AT291" s="54"/>
      <c r="AU291" s="54"/>
      <c r="AV291" s="54"/>
      <c r="AW291" s="53"/>
      <c r="AX291" s="54"/>
      <c r="AY291" s="54"/>
      <c r="AZ291" s="54"/>
      <c r="BA291" s="53"/>
      <c r="BB291" s="54"/>
      <c r="BC291" s="54"/>
      <c r="BD291" s="54"/>
      <c r="BE291" s="53"/>
      <c r="BF291" s="54"/>
      <c r="BG291" s="54"/>
      <c r="BH291" s="54"/>
      <c r="BI291" s="53"/>
      <c r="BJ291" s="54"/>
      <c r="BK291" s="54"/>
      <c r="BL291" s="54"/>
      <c r="BM291" s="53">
        <f>+AC291+AG291+AK291+AO291+AS291+AW291+BA291+BE291+BI291</f>
        <v>20000000</v>
      </c>
      <c r="BN291" s="54">
        <f>AD291+AH291+AL291+AP291+AT291+AX291+BB291+BF291+BJ291</f>
        <v>40000000</v>
      </c>
      <c r="BO291" s="54">
        <f>AE291+AI291+AM291+AQ291+AU291+AY291+BC291+BG291+BK291</f>
        <v>34399997</v>
      </c>
      <c r="BP291" s="54">
        <f>AF291+AJ291+AN291+AR291+AV291+AZ291+BD291+BH291+BL291</f>
        <v>34399997</v>
      </c>
      <c r="BQ291" s="83"/>
      <c r="BR291" s="83"/>
      <c r="BS291" s="83"/>
      <c r="BT291" s="83"/>
      <c r="BU291" s="83"/>
      <c r="BV291" s="83">
        <v>49000000</v>
      </c>
      <c r="BW291" s="83">
        <v>49000000</v>
      </c>
      <c r="BX291" s="83">
        <v>49000000</v>
      </c>
      <c r="BY291" s="83"/>
      <c r="BZ291" s="65">
        <v>21000000</v>
      </c>
      <c r="CA291" s="82">
        <v>41000000</v>
      </c>
      <c r="CB291" s="82">
        <v>28284666</v>
      </c>
      <c r="CC291" s="82">
        <v>28284666</v>
      </c>
      <c r="CD291" s="82"/>
      <c r="CE291" s="82"/>
      <c r="CF291" s="82"/>
      <c r="CG291" s="82"/>
      <c r="CH291" s="82"/>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1">
        <f t="shared" si="613"/>
        <v>21000000</v>
      </c>
      <c r="DF291" s="95">
        <f>BR291+BV291+CA291+CF291+CJ291+CN291+CR291+CW291+DB291</f>
        <v>90000000</v>
      </c>
      <c r="DG291" s="95">
        <f>BS291+BW291+CB291+CG291+CK291+CO291+CS291+CX291+DC291</f>
        <v>77284666</v>
      </c>
      <c r="DH291" s="95">
        <f>BT291+BX291+CC291+CH291+CL291+CP291+CT291+CY291+DD291</f>
        <v>77284666</v>
      </c>
      <c r="DI291" s="95"/>
      <c r="DJ291" s="65"/>
      <c r="DK291" s="65"/>
      <c r="DL291" s="65"/>
      <c r="DM291" s="65"/>
      <c r="DN291" s="65"/>
      <c r="DO291" s="65">
        <v>31400000</v>
      </c>
      <c r="DP291" s="65">
        <v>31400000</v>
      </c>
      <c r="DQ291" s="65">
        <v>31400000</v>
      </c>
      <c r="DR291" s="65"/>
      <c r="DS291" s="84">
        <v>22000000</v>
      </c>
      <c r="DT291" s="84">
        <v>25000000</v>
      </c>
      <c r="DU291" s="84">
        <v>25000000</v>
      </c>
      <c r="DV291" s="84">
        <v>25000000</v>
      </c>
      <c r="DW291" s="84"/>
      <c r="DX291" s="84"/>
      <c r="DY291" s="84"/>
      <c r="DZ291" s="84"/>
      <c r="EA291" s="84"/>
      <c r="EB291" s="65"/>
      <c r="EC291" s="65"/>
      <c r="ED291" s="65"/>
      <c r="EE291" s="65"/>
      <c r="EF291" s="65"/>
      <c r="EG291" s="65"/>
      <c r="EH291" s="65"/>
      <c r="EI291" s="65"/>
      <c r="EJ291" s="65"/>
      <c r="EK291" s="65"/>
      <c r="EL291" s="65"/>
      <c r="EM291" s="65"/>
      <c r="EN291" s="65"/>
      <c r="EO291" s="65"/>
      <c r="EP291" s="65"/>
      <c r="EQ291" s="65"/>
      <c r="ER291" s="65"/>
      <c r="ES291" s="65"/>
      <c r="ET291" s="82"/>
      <c r="EU291" s="82"/>
      <c r="EV291" s="82"/>
      <c r="EW291" s="81">
        <f>DJ291+DN291+DS291+DX291+EB291+EF291+EJ291+EN291+ES291</f>
        <v>22000000</v>
      </c>
      <c r="EX291" s="86">
        <f>DK291+DO291+DT291+DY291+EC291+EG291+EK291+EO291+ET291</f>
        <v>56400000</v>
      </c>
      <c r="EY291" s="86">
        <f>DL291+DP291+DU291+DZ291+ED291+EH291+EL291+EP291+EU291</f>
        <v>56400000</v>
      </c>
      <c r="EZ291" s="86">
        <f>DM291+DQ291+DV291+EA291+EE291+EI291+EM291+EQ291+EV291</f>
        <v>56400000</v>
      </c>
      <c r="FA291" s="176"/>
      <c r="FB291" s="83"/>
      <c r="FC291" s="84"/>
      <c r="FD291" s="84"/>
      <c r="FE291" s="84"/>
      <c r="FF291" s="140"/>
      <c r="FG291" s="83"/>
      <c r="FH291" s="83"/>
      <c r="FI291" s="83"/>
      <c r="FJ291" s="83"/>
      <c r="FK291" s="83"/>
      <c r="FL291" s="83">
        <v>23000000</v>
      </c>
      <c r="FM291" s="83">
        <v>30000000</v>
      </c>
      <c r="FN291" s="83">
        <v>18990000</v>
      </c>
      <c r="FO291" s="83">
        <v>11192000</v>
      </c>
      <c r="FP291" s="83"/>
      <c r="FQ291" s="83"/>
      <c r="FR291" s="83"/>
      <c r="FS291" s="83"/>
      <c r="FT291" s="83"/>
      <c r="FU291" s="83"/>
      <c r="FV291" s="83"/>
      <c r="FW291" s="83"/>
      <c r="FX291" s="83"/>
      <c r="FY291" s="83"/>
      <c r="FZ291" s="83"/>
      <c r="GA291" s="83"/>
      <c r="GB291" s="83"/>
      <c r="GC291" s="83"/>
      <c r="GD291" s="83"/>
      <c r="GE291" s="83"/>
      <c r="GF291" s="83"/>
      <c r="GG291" s="83"/>
      <c r="GH291" s="83"/>
      <c r="GI291" s="83"/>
      <c r="GJ291" s="83"/>
      <c r="GK291" s="83"/>
      <c r="GL291" s="83"/>
      <c r="GM291" s="83"/>
      <c r="GN291" s="83"/>
      <c r="GO291" s="83"/>
      <c r="GP291" s="83"/>
      <c r="GQ291" s="83"/>
      <c r="GR291" s="83"/>
      <c r="GS291" s="83"/>
      <c r="GT291" s="83"/>
      <c r="GU291" s="81">
        <f>FB291+FG291+FL291+FQ291+FV291+GA291+GF291+GK291+GP291</f>
        <v>23000000</v>
      </c>
      <c r="GV291" s="81">
        <f>GQ291+GL291+GG291+GB291+FW291+FR291+FM291+FH291+FC291</f>
        <v>30000000</v>
      </c>
      <c r="GW291" s="81">
        <f>GR291+GM291+GH291+GC291+FX291+FS291+FN291+FI291+FD291</f>
        <v>18990000</v>
      </c>
      <c r="GX291" s="81">
        <f>GS291+GN291+GI291+GD291+FY291+FT291+FO291+FJ291+FE291</f>
        <v>11192000</v>
      </c>
      <c r="GY291" s="673">
        <f>GT291+GO291+GJ291+GE291+FZ291+FU291+FP291+FK291+FF291</f>
        <v>0</v>
      </c>
      <c r="GZ291" s="67">
        <f>BM291+DE291+EW291+GU291</f>
        <v>86000000</v>
      </c>
    </row>
    <row r="292" spans="1:208" ht="24.75" customHeight="1" x14ac:dyDescent="0.2">
      <c r="A292" s="326"/>
      <c r="B292" s="326"/>
      <c r="C292" s="246">
        <v>66</v>
      </c>
      <c r="D292" s="247" t="s">
        <v>687</v>
      </c>
      <c r="E292" s="250"/>
      <c r="F292" s="250"/>
      <c r="G292" s="249"/>
      <c r="H292" s="249"/>
      <c r="I292" s="249"/>
      <c r="J292" s="249"/>
      <c r="K292" s="249"/>
      <c r="L292" s="249"/>
      <c r="M292" s="249"/>
      <c r="N292" s="249"/>
      <c r="O292" s="249"/>
      <c r="P292" s="249"/>
      <c r="Q292" s="249"/>
      <c r="R292" s="249"/>
      <c r="S292" s="249"/>
      <c r="T292" s="249"/>
      <c r="U292" s="249"/>
      <c r="V292" s="249"/>
      <c r="W292" s="249"/>
      <c r="X292" s="249"/>
      <c r="Y292" s="296"/>
      <c r="Z292" s="249"/>
      <c r="AA292" s="249"/>
      <c r="AB292" s="249"/>
      <c r="AC292" s="51">
        <f t="shared" ref="AC292:BL292" si="635">SUM(AC293)</f>
        <v>0</v>
      </c>
      <c r="AD292" s="51">
        <f t="shared" si="635"/>
        <v>0</v>
      </c>
      <c r="AE292" s="51">
        <f t="shared" si="635"/>
        <v>0</v>
      </c>
      <c r="AF292" s="51">
        <f t="shared" si="635"/>
        <v>0</v>
      </c>
      <c r="AG292" s="51">
        <f t="shared" si="635"/>
        <v>0</v>
      </c>
      <c r="AH292" s="51">
        <f t="shared" si="635"/>
        <v>0</v>
      </c>
      <c r="AI292" s="51">
        <f t="shared" si="635"/>
        <v>0</v>
      </c>
      <c r="AJ292" s="51">
        <f t="shared" si="635"/>
        <v>0</v>
      </c>
      <c r="AK292" s="51">
        <f t="shared" si="635"/>
        <v>40000000</v>
      </c>
      <c r="AL292" s="51">
        <f t="shared" si="635"/>
        <v>50000000</v>
      </c>
      <c r="AM292" s="51">
        <f t="shared" si="635"/>
        <v>47157475</v>
      </c>
      <c r="AN292" s="51">
        <f t="shared" si="635"/>
        <v>47157475</v>
      </c>
      <c r="AO292" s="51">
        <f t="shared" si="635"/>
        <v>0</v>
      </c>
      <c r="AP292" s="51">
        <f t="shared" si="635"/>
        <v>0</v>
      </c>
      <c r="AQ292" s="51">
        <f t="shared" si="635"/>
        <v>0</v>
      </c>
      <c r="AR292" s="51">
        <f t="shared" si="635"/>
        <v>0</v>
      </c>
      <c r="AS292" s="51">
        <f t="shared" si="635"/>
        <v>0</v>
      </c>
      <c r="AT292" s="51">
        <f t="shared" si="635"/>
        <v>0</v>
      </c>
      <c r="AU292" s="51">
        <f t="shared" si="635"/>
        <v>0</v>
      </c>
      <c r="AV292" s="51">
        <f t="shared" si="635"/>
        <v>0</v>
      </c>
      <c r="AW292" s="51">
        <f t="shared" si="635"/>
        <v>0</v>
      </c>
      <c r="AX292" s="51">
        <f t="shared" si="635"/>
        <v>0</v>
      </c>
      <c r="AY292" s="51">
        <f t="shared" si="635"/>
        <v>0</v>
      </c>
      <c r="AZ292" s="51">
        <f t="shared" si="635"/>
        <v>0</v>
      </c>
      <c r="BA292" s="51">
        <f t="shared" si="635"/>
        <v>0</v>
      </c>
      <c r="BB292" s="51">
        <f t="shared" si="635"/>
        <v>0</v>
      </c>
      <c r="BC292" s="51">
        <f t="shared" si="635"/>
        <v>0</v>
      </c>
      <c r="BD292" s="51">
        <f t="shared" si="635"/>
        <v>0</v>
      </c>
      <c r="BE292" s="51">
        <f t="shared" si="635"/>
        <v>0</v>
      </c>
      <c r="BF292" s="51">
        <f t="shared" si="635"/>
        <v>0</v>
      </c>
      <c r="BG292" s="51">
        <f t="shared" si="635"/>
        <v>0</v>
      </c>
      <c r="BH292" s="51">
        <f t="shared" si="635"/>
        <v>0</v>
      </c>
      <c r="BI292" s="51">
        <f t="shared" si="635"/>
        <v>0</v>
      </c>
      <c r="BJ292" s="51">
        <f t="shared" si="635"/>
        <v>0</v>
      </c>
      <c r="BK292" s="51">
        <f t="shared" si="635"/>
        <v>0</v>
      </c>
      <c r="BL292" s="51">
        <f t="shared" si="635"/>
        <v>0</v>
      </c>
      <c r="BM292" s="51">
        <f t="shared" ref="BM292:DX292" si="636">SUM(BM293)</f>
        <v>40000000</v>
      </c>
      <c r="BN292" s="51">
        <f t="shared" si="636"/>
        <v>50000000</v>
      </c>
      <c r="BO292" s="51">
        <f t="shared" si="636"/>
        <v>47157475</v>
      </c>
      <c r="BP292" s="51">
        <f t="shared" si="636"/>
        <v>47157475</v>
      </c>
      <c r="BQ292" s="51">
        <f t="shared" si="636"/>
        <v>0</v>
      </c>
      <c r="BR292" s="51">
        <f t="shared" si="636"/>
        <v>0</v>
      </c>
      <c r="BS292" s="51">
        <f t="shared" si="636"/>
        <v>0</v>
      </c>
      <c r="BT292" s="51">
        <f t="shared" si="636"/>
        <v>0</v>
      </c>
      <c r="BU292" s="51">
        <f t="shared" si="636"/>
        <v>0</v>
      </c>
      <c r="BV292" s="51">
        <f t="shared" si="636"/>
        <v>40000000</v>
      </c>
      <c r="BW292" s="51">
        <f t="shared" si="636"/>
        <v>36500000</v>
      </c>
      <c r="BX292" s="51">
        <f t="shared" si="636"/>
        <v>36500000</v>
      </c>
      <c r="BY292" s="51">
        <f t="shared" si="636"/>
        <v>0</v>
      </c>
      <c r="BZ292" s="51">
        <f t="shared" si="636"/>
        <v>42000000</v>
      </c>
      <c r="CA292" s="51">
        <f t="shared" si="636"/>
        <v>42000000</v>
      </c>
      <c r="CB292" s="51">
        <f t="shared" si="636"/>
        <v>42000000</v>
      </c>
      <c r="CC292" s="51">
        <f t="shared" si="636"/>
        <v>41894000</v>
      </c>
      <c r="CD292" s="51">
        <f t="shared" si="636"/>
        <v>0</v>
      </c>
      <c r="CE292" s="51">
        <f t="shared" si="636"/>
        <v>0</v>
      </c>
      <c r="CF292" s="51">
        <f t="shared" si="636"/>
        <v>0</v>
      </c>
      <c r="CG292" s="51">
        <f t="shared" si="636"/>
        <v>0</v>
      </c>
      <c r="CH292" s="51">
        <f t="shared" si="636"/>
        <v>0</v>
      </c>
      <c r="CI292" s="51">
        <f t="shared" si="636"/>
        <v>0</v>
      </c>
      <c r="CJ292" s="51">
        <f t="shared" si="636"/>
        <v>0</v>
      </c>
      <c r="CK292" s="51">
        <f t="shared" si="636"/>
        <v>0</v>
      </c>
      <c r="CL292" s="51">
        <f t="shared" si="636"/>
        <v>0</v>
      </c>
      <c r="CM292" s="51">
        <f t="shared" si="636"/>
        <v>0</v>
      </c>
      <c r="CN292" s="51">
        <f t="shared" si="636"/>
        <v>0</v>
      </c>
      <c r="CO292" s="51">
        <f t="shared" si="636"/>
        <v>0</v>
      </c>
      <c r="CP292" s="51">
        <f t="shared" si="636"/>
        <v>0</v>
      </c>
      <c r="CQ292" s="51">
        <f t="shared" si="636"/>
        <v>0</v>
      </c>
      <c r="CR292" s="51">
        <f t="shared" si="636"/>
        <v>0</v>
      </c>
      <c r="CS292" s="51">
        <f t="shared" si="636"/>
        <v>0</v>
      </c>
      <c r="CT292" s="51">
        <f t="shared" si="636"/>
        <v>0</v>
      </c>
      <c r="CU292" s="51">
        <f t="shared" si="636"/>
        <v>0</v>
      </c>
      <c r="CV292" s="51">
        <f t="shared" si="636"/>
        <v>0</v>
      </c>
      <c r="CW292" s="51">
        <f t="shared" si="636"/>
        <v>0</v>
      </c>
      <c r="CX292" s="51">
        <f t="shared" si="636"/>
        <v>0</v>
      </c>
      <c r="CY292" s="51">
        <f t="shared" si="636"/>
        <v>0</v>
      </c>
      <c r="CZ292" s="51">
        <f t="shared" si="636"/>
        <v>0</v>
      </c>
      <c r="DA292" s="51">
        <f t="shared" si="636"/>
        <v>0</v>
      </c>
      <c r="DB292" s="51">
        <f t="shared" si="636"/>
        <v>0</v>
      </c>
      <c r="DC292" s="51">
        <f t="shared" si="636"/>
        <v>0</v>
      </c>
      <c r="DD292" s="51">
        <f t="shared" si="636"/>
        <v>0</v>
      </c>
      <c r="DE292" s="51">
        <f t="shared" si="636"/>
        <v>42000000</v>
      </c>
      <c r="DF292" s="51">
        <f t="shared" si="636"/>
        <v>82000000</v>
      </c>
      <c r="DG292" s="51">
        <f t="shared" si="636"/>
        <v>78500000</v>
      </c>
      <c r="DH292" s="51">
        <f t="shared" si="636"/>
        <v>78394000</v>
      </c>
      <c r="DI292" s="51">
        <f t="shared" si="636"/>
        <v>0</v>
      </c>
      <c r="DJ292" s="51">
        <f t="shared" si="636"/>
        <v>0</v>
      </c>
      <c r="DK292" s="51">
        <f t="shared" si="636"/>
        <v>0</v>
      </c>
      <c r="DL292" s="51">
        <f t="shared" si="636"/>
        <v>0</v>
      </c>
      <c r="DM292" s="51">
        <f t="shared" si="636"/>
        <v>0</v>
      </c>
      <c r="DN292" s="51">
        <f t="shared" si="636"/>
        <v>0</v>
      </c>
      <c r="DO292" s="51">
        <f t="shared" si="636"/>
        <v>24300000</v>
      </c>
      <c r="DP292" s="51">
        <f t="shared" si="636"/>
        <v>24300000</v>
      </c>
      <c r="DQ292" s="51">
        <f t="shared" si="636"/>
        <v>24300000</v>
      </c>
      <c r="DR292" s="51">
        <f t="shared" si="636"/>
        <v>0</v>
      </c>
      <c r="DS292" s="51">
        <f t="shared" si="636"/>
        <v>43000000</v>
      </c>
      <c r="DT292" s="51">
        <f t="shared" si="636"/>
        <v>153520000</v>
      </c>
      <c r="DU292" s="51">
        <f t="shared" si="636"/>
        <v>123464200</v>
      </c>
      <c r="DV292" s="51">
        <f t="shared" si="636"/>
        <v>122607200</v>
      </c>
      <c r="DW292" s="51">
        <f t="shared" si="636"/>
        <v>0</v>
      </c>
      <c r="DX292" s="51">
        <f t="shared" si="636"/>
        <v>0</v>
      </c>
      <c r="DY292" s="51">
        <f t="shared" ref="DY292:EW292" si="637">SUM(DY293)</f>
        <v>0</v>
      </c>
      <c r="DZ292" s="51">
        <f t="shared" si="637"/>
        <v>0</v>
      </c>
      <c r="EA292" s="51">
        <f t="shared" si="637"/>
        <v>0</v>
      </c>
      <c r="EB292" s="51">
        <f t="shared" si="637"/>
        <v>0</v>
      </c>
      <c r="EC292" s="51">
        <f t="shared" si="637"/>
        <v>0</v>
      </c>
      <c r="ED292" s="51">
        <f t="shared" si="637"/>
        <v>0</v>
      </c>
      <c r="EE292" s="51">
        <f t="shared" si="637"/>
        <v>0</v>
      </c>
      <c r="EF292" s="51">
        <f t="shared" si="637"/>
        <v>0</v>
      </c>
      <c r="EG292" s="51">
        <f t="shared" si="637"/>
        <v>0</v>
      </c>
      <c r="EH292" s="51">
        <f t="shared" si="637"/>
        <v>0</v>
      </c>
      <c r="EI292" s="51">
        <f t="shared" si="637"/>
        <v>0</v>
      </c>
      <c r="EJ292" s="51">
        <f t="shared" si="637"/>
        <v>0</v>
      </c>
      <c r="EK292" s="51">
        <f t="shared" si="637"/>
        <v>0</v>
      </c>
      <c r="EL292" s="51">
        <f t="shared" si="637"/>
        <v>0</v>
      </c>
      <c r="EM292" s="51">
        <f t="shared" si="637"/>
        <v>0</v>
      </c>
      <c r="EN292" s="51">
        <f t="shared" si="637"/>
        <v>0</v>
      </c>
      <c r="EO292" s="51">
        <f t="shared" si="637"/>
        <v>0</v>
      </c>
      <c r="EP292" s="51">
        <f t="shared" si="637"/>
        <v>0</v>
      </c>
      <c r="EQ292" s="51">
        <f t="shared" si="637"/>
        <v>0</v>
      </c>
      <c r="ER292" s="51">
        <f t="shared" si="637"/>
        <v>0</v>
      </c>
      <c r="ES292" s="51">
        <f t="shared" si="637"/>
        <v>0</v>
      </c>
      <c r="ET292" s="51">
        <f t="shared" si="637"/>
        <v>0</v>
      </c>
      <c r="EU292" s="51">
        <f t="shared" si="637"/>
        <v>0</v>
      </c>
      <c r="EV292" s="51">
        <f t="shared" si="637"/>
        <v>0</v>
      </c>
      <c r="EW292" s="51">
        <f t="shared" si="637"/>
        <v>43000000</v>
      </c>
      <c r="EX292" s="51">
        <f t="shared" ref="EX292:GZ292" si="638">SUM(EX293)</f>
        <v>177820000</v>
      </c>
      <c r="EY292" s="51">
        <f t="shared" si="638"/>
        <v>147764200</v>
      </c>
      <c r="EZ292" s="51">
        <f t="shared" si="638"/>
        <v>146907200</v>
      </c>
      <c r="FA292" s="51">
        <f t="shared" si="638"/>
        <v>0</v>
      </c>
      <c r="FB292" s="51">
        <f t="shared" si="638"/>
        <v>0</v>
      </c>
      <c r="FC292" s="51">
        <f t="shared" si="638"/>
        <v>0</v>
      </c>
      <c r="FD292" s="51">
        <f t="shared" si="638"/>
        <v>0</v>
      </c>
      <c r="FE292" s="51">
        <f t="shared" si="638"/>
        <v>0</v>
      </c>
      <c r="FF292" s="51">
        <f t="shared" si="638"/>
        <v>0</v>
      </c>
      <c r="FG292" s="51">
        <f t="shared" si="638"/>
        <v>0</v>
      </c>
      <c r="FH292" s="51">
        <f t="shared" si="638"/>
        <v>0</v>
      </c>
      <c r="FI292" s="51">
        <f t="shared" si="638"/>
        <v>0</v>
      </c>
      <c r="FJ292" s="51">
        <f t="shared" si="638"/>
        <v>0</v>
      </c>
      <c r="FK292" s="51">
        <f t="shared" si="638"/>
        <v>0</v>
      </c>
      <c r="FL292" s="51">
        <f t="shared" si="638"/>
        <v>44000000</v>
      </c>
      <c r="FM292" s="51">
        <f t="shared" si="638"/>
        <v>50000000</v>
      </c>
      <c r="FN292" s="51">
        <f t="shared" si="638"/>
        <v>45299000</v>
      </c>
      <c r="FO292" s="51">
        <f t="shared" si="638"/>
        <v>37501000</v>
      </c>
      <c r="FP292" s="51">
        <f t="shared" si="638"/>
        <v>0</v>
      </c>
      <c r="FQ292" s="51">
        <f t="shared" si="638"/>
        <v>0</v>
      </c>
      <c r="FR292" s="51">
        <f t="shared" si="638"/>
        <v>0</v>
      </c>
      <c r="FS292" s="51">
        <f t="shared" si="638"/>
        <v>0</v>
      </c>
      <c r="FT292" s="51">
        <f t="shared" si="638"/>
        <v>0</v>
      </c>
      <c r="FU292" s="51">
        <f t="shared" si="638"/>
        <v>0</v>
      </c>
      <c r="FV292" s="51">
        <f t="shared" si="638"/>
        <v>0</v>
      </c>
      <c r="FW292" s="51">
        <f t="shared" si="638"/>
        <v>0</v>
      </c>
      <c r="FX292" s="51">
        <f t="shared" si="638"/>
        <v>0</v>
      </c>
      <c r="FY292" s="51">
        <f t="shared" si="638"/>
        <v>0</v>
      </c>
      <c r="FZ292" s="51">
        <f t="shared" si="638"/>
        <v>0</v>
      </c>
      <c r="GA292" s="51">
        <f t="shared" si="638"/>
        <v>0</v>
      </c>
      <c r="GB292" s="51">
        <f t="shared" si="638"/>
        <v>0</v>
      </c>
      <c r="GC292" s="51">
        <f t="shared" si="638"/>
        <v>0</v>
      </c>
      <c r="GD292" s="51">
        <f t="shared" si="638"/>
        <v>0</v>
      </c>
      <c r="GE292" s="51">
        <f t="shared" si="638"/>
        <v>0</v>
      </c>
      <c r="GF292" s="51">
        <f t="shared" si="638"/>
        <v>0</v>
      </c>
      <c r="GG292" s="51">
        <f t="shared" si="638"/>
        <v>0</v>
      </c>
      <c r="GH292" s="51">
        <f t="shared" si="638"/>
        <v>0</v>
      </c>
      <c r="GI292" s="51">
        <f t="shared" si="638"/>
        <v>0</v>
      </c>
      <c r="GJ292" s="51">
        <f t="shared" si="638"/>
        <v>0</v>
      </c>
      <c r="GK292" s="51">
        <f t="shared" si="638"/>
        <v>0</v>
      </c>
      <c r="GL292" s="51">
        <f t="shared" si="638"/>
        <v>0</v>
      </c>
      <c r="GM292" s="51">
        <f t="shared" si="638"/>
        <v>0</v>
      </c>
      <c r="GN292" s="51">
        <f t="shared" si="638"/>
        <v>0</v>
      </c>
      <c r="GO292" s="51">
        <f t="shared" si="638"/>
        <v>0</v>
      </c>
      <c r="GP292" s="51">
        <f t="shared" si="638"/>
        <v>0</v>
      </c>
      <c r="GQ292" s="51">
        <f t="shared" si="638"/>
        <v>0</v>
      </c>
      <c r="GR292" s="51">
        <f t="shared" si="638"/>
        <v>0</v>
      </c>
      <c r="GS292" s="51">
        <f t="shared" si="638"/>
        <v>0</v>
      </c>
      <c r="GT292" s="51">
        <f t="shared" si="638"/>
        <v>0</v>
      </c>
      <c r="GU292" s="51">
        <f t="shared" si="638"/>
        <v>44000000</v>
      </c>
      <c r="GV292" s="51">
        <f t="shared" si="638"/>
        <v>50000000</v>
      </c>
      <c r="GW292" s="51">
        <f t="shared" si="638"/>
        <v>45299000</v>
      </c>
      <c r="GX292" s="51">
        <f t="shared" si="638"/>
        <v>37501000</v>
      </c>
      <c r="GY292" s="51">
        <f t="shared" si="638"/>
        <v>0</v>
      </c>
      <c r="GZ292" s="51">
        <f t="shared" si="638"/>
        <v>169000000</v>
      </c>
    </row>
    <row r="293" spans="1:208" ht="93" customHeight="1" x14ac:dyDescent="0.2">
      <c r="A293" s="326"/>
      <c r="B293" s="326"/>
      <c r="C293" s="264" t="s">
        <v>946</v>
      </c>
      <c r="D293" s="261" t="s">
        <v>688</v>
      </c>
      <c r="E293" s="526">
        <v>0.307</v>
      </c>
      <c r="F293" s="527">
        <v>0.27</v>
      </c>
      <c r="G293" s="988">
        <v>197</v>
      </c>
      <c r="H293" s="1048" t="s">
        <v>689</v>
      </c>
      <c r="I293" s="991" t="s">
        <v>690</v>
      </c>
      <c r="J293" s="262" t="s">
        <v>636</v>
      </c>
      <c r="K293" s="988">
        <v>14</v>
      </c>
      <c r="L293" s="717" t="s">
        <v>58</v>
      </c>
      <c r="M293" s="717">
        <v>1</v>
      </c>
      <c r="N293" s="717">
        <v>1</v>
      </c>
      <c r="O293" s="988">
        <v>1</v>
      </c>
      <c r="P293" s="990">
        <v>1</v>
      </c>
      <c r="Q293" s="1049">
        <v>1</v>
      </c>
      <c r="R293" s="268"/>
      <c r="S293" s="373">
        <v>1</v>
      </c>
      <c r="T293" s="717">
        <v>1</v>
      </c>
      <c r="U293" s="717"/>
      <c r="V293" s="373">
        <v>1</v>
      </c>
      <c r="W293" s="717">
        <v>1</v>
      </c>
      <c r="X293" s="717"/>
      <c r="Y293" s="373">
        <v>1</v>
      </c>
      <c r="Z293" s="1050">
        <f>BM293/BM292</f>
        <v>1</v>
      </c>
      <c r="AA293" s="717">
        <v>5</v>
      </c>
      <c r="AB293" s="717" t="s">
        <v>686</v>
      </c>
      <c r="AC293" s="103"/>
      <c r="AD293" s="59"/>
      <c r="AE293" s="59"/>
      <c r="AF293" s="59"/>
      <c r="AG293" s="103"/>
      <c r="AH293" s="59"/>
      <c r="AI293" s="59"/>
      <c r="AJ293" s="59"/>
      <c r="AK293" s="103">
        <v>40000000</v>
      </c>
      <c r="AL293" s="59">
        <v>50000000</v>
      </c>
      <c r="AM293" s="54">
        <v>47157475</v>
      </c>
      <c r="AN293" s="54">
        <v>47157475</v>
      </c>
      <c r="AO293" s="103"/>
      <c r="AP293" s="59"/>
      <c r="AQ293" s="59"/>
      <c r="AR293" s="59"/>
      <c r="AS293" s="103"/>
      <c r="AT293" s="59"/>
      <c r="AU293" s="59"/>
      <c r="AV293" s="59"/>
      <c r="AW293" s="103"/>
      <c r="AX293" s="59"/>
      <c r="AY293" s="59"/>
      <c r="AZ293" s="59"/>
      <c r="BA293" s="103"/>
      <c r="BB293" s="59"/>
      <c r="BC293" s="59"/>
      <c r="BD293" s="59"/>
      <c r="BE293" s="103"/>
      <c r="BF293" s="59"/>
      <c r="BG293" s="59"/>
      <c r="BH293" s="59"/>
      <c r="BI293" s="103"/>
      <c r="BJ293" s="59"/>
      <c r="BK293" s="59"/>
      <c r="BL293" s="59"/>
      <c r="BM293" s="150">
        <f>+AC293+AG293+AK293+AO293+AS293+AW293+BA293+BE293+BI293</f>
        <v>40000000</v>
      </c>
      <c r="BN293" s="150">
        <f>AD293+AH293+AL293+AP293+AT293+AX293+BB293+BF293+BJ293</f>
        <v>50000000</v>
      </c>
      <c r="BO293" s="150">
        <f>AE293+AI293+AM293+AQ293+AU293+AY293+BC293+BG293+BK293</f>
        <v>47157475</v>
      </c>
      <c r="BP293" s="150">
        <f>AF293+AJ293+AN293+AR293+AV293+AZ293+BD293+BH293+BL293</f>
        <v>47157475</v>
      </c>
      <c r="BQ293" s="107"/>
      <c r="BR293" s="106"/>
      <c r="BS293" s="106"/>
      <c r="BT293" s="106"/>
      <c r="BU293" s="107"/>
      <c r="BV293" s="106">
        <v>40000000</v>
      </c>
      <c r="BW293" s="106">
        <v>36500000</v>
      </c>
      <c r="BX293" s="106">
        <v>36500000</v>
      </c>
      <c r="BY293" s="106"/>
      <c r="BZ293" s="107">
        <v>42000000</v>
      </c>
      <c r="CA293" s="107">
        <v>42000000</v>
      </c>
      <c r="CB293" s="107">
        <v>42000000</v>
      </c>
      <c r="CC293" s="107">
        <v>41894000</v>
      </c>
      <c r="CD293" s="107"/>
      <c r="CE293" s="106"/>
      <c r="CF293" s="106"/>
      <c r="CG293" s="106"/>
      <c r="CH293" s="106"/>
      <c r="CI293" s="107"/>
      <c r="CJ293" s="106"/>
      <c r="CK293" s="106"/>
      <c r="CL293" s="106"/>
      <c r="CM293" s="107"/>
      <c r="CN293" s="106"/>
      <c r="CO293" s="106"/>
      <c r="CP293" s="106"/>
      <c r="CQ293" s="107"/>
      <c r="CR293" s="106"/>
      <c r="CS293" s="106"/>
      <c r="CT293" s="106"/>
      <c r="CU293" s="106"/>
      <c r="CV293" s="107"/>
      <c r="CW293" s="106"/>
      <c r="CX293" s="106"/>
      <c r="CY293" s="106"/>
      <c r="CZ293" s="106"/>
      <c r="DA293" s="107"/>
      <c r="DB293" s="106"/>
      <c r="DC293" s="106"/>
      <c r="DD293" s="106"/>
      <c r="DE293" s="103">
        <f t="shared" si="613"/>
        <v>42000000</v>
      </c>
      <c r="DF293" s="150">
        <f>BR293+BV293+CA293+CF293+CJ293+CN293+CR293+CW293+DB293</f>
        <v>82000000</v>
      </c>
      <c r="DG293" s="150">
        <f>BS293+BW293+CB293+CG293+CK293+CO293+CS293+CX293+DC293</f>
        <v>78500000</v>
      </c>
      <c r="DH293" s="150">
        <f>BT293+BX293+CC293+CH293+CL293+CP293+CT293+CY293+DD293</f>
        <v>78394000</v>
      </c>
      <c r="DI293" s="150"/>
      <c r="DJ293" s="107"/>
      <c r="DK293" s="149"/>
      <c r="DL293" s="107"/>
      <c r="DM293" s="107"/>
      <c r="DN293" s="107"/>
      <c r="DO293" s="107">
        <v>24300000</v>
      </c>
      <c r="DP293" s="107">
        <v>24300000</v>
      </c>
      <c r="DQ293" s="107">
        <v>24300000</v>
      </c>
      <c r="DR293" s="107"/>
      <c r="DS293" s="107">
        <v>43000000</v>
      </c>
      <c r="DT293" s="149">
        <v>153520000</v>
      </c>
      <c r="DU293" s="107">
        <v>123464200</v>
      </c>
      <c r="DV293" s="107">
        <v>122607200</v>
      </c>
      <c r="DW293" s="107"/>
      <c r="DX293" s="106"/>
      <c r="DY293" s="106"/>
      <c r="DZ293" s="106"/>
      <c r="EA293" s="106"/>
      <c r="EB293" s="107"/>
      <c r="EC293" s="107"/>
      <c r="ED293" s="107"/>
      <c r="EE293" s="107"/>
      <c r="EF293" s="107"/>
      <c r="EG293" s="107"/>
      <c r="EH293" s="107"/>
      <c r="EI293" s="107"/>
      <c r="EJ293" s="107"/>
      <c r="EK293" s="107"/>
      <c r="EL293" s="107"/>
      <c r="EM293" s="107"/>
      <c r="EN293" s="107"/>
      <c r="EO293" s="107"/>
      <c r="EP293" s="107"/>
      <c r="EQ293" s="107"/>
      <c r="ER293" s="107"/>
      <c r="ES293" s="107"/>
      <c r="ET293" s="114"/>
      <c r="EU293" s="114"/>
      <c r="EV293" s="114"/>
      <c r="EW293" s="81">
        <f>DJ293+DN293+DS293+DX293+EB293+EF293+EJ293+EN293+ES293</f>
        <v>43000000</v>
      </c>
      <c r="EX293" s="85">
        <f>DK293+DO293+DT293+DY293+EC293+EG293+EK293+EO293+ET293</f>
        <v>177820000</v>
      </c>
      <c r="EY293" s="86">
        <f>DL293+DP293+DU293+DZ293+ED293+EH293+EL293+EP293+EU293</f>
        <v>147764200</v>
      </c>
      <c r="EZ293" s="86">
        <f>DM293+DQ293+DV293+EA293+EE293+EI293+EM293+EQ293+EV293</f>
        <v>146907200</v>
      </c>
      <c r="FA293" s="141"/>
      <c r="FB293" s="114"/>
      <c r="FC293" s="58"/>
      <c r="FD293" s="58"/>
      <c r="FE293" s="58"/>
      <c r="FF293" s="146"/>
      <c r="FG293" s="107"/>
      <c r="FH293" s="107"/>
      <c r="FI293" s="107"/>
      <c r="FJ293" s="107"/>
      <c r="FK293" s="107"/>
      <c r="FL293" s="107">
        <v>44000000</v>
      </c>
      <c r="FM293" s="107">
        <v>50000000</v>
      </c>
      <c r="FN293" s="107">
        <v>45299000</v>
      </c>
      <c r="FO293" s="107">
        <v>37501000</v>
      </c>
      <c r="FP293" s="107"/>
      <c r="FQ293" s="106"/>
      <c r="FR293" s="106"/>
      <c r="FS293" s="106"/>
      <c r="FT293" s="106"/>
      <c r="FU293" s="106"/>
      <c r="FV293" s="107"/>
      <c r="FW293" s="107"/>
      <c r="FX293" s="107"/>
      <c r="FY293" s="107"/>
      <c r="FZ293" s="107"/>
      <c r="GA293" s="107"/>
      <c r="GB293" s="107"/>
      <c r="GC293" s="107"/>
      <c r="GD293" s="107"/>
      <c r="GE293" s="107"/>
      <c r="GF293" s="107"/>
      <c r="GG293" s="107"/>
      <c r="GH293" s="107"/>
      <c r="GI293" s="107"/>
      <c r="GJ293" s="107"/>
      <c r="GK293" s="107"/>
      <c r="GL293" s="107"/>
      <c r="GM293" s="107"/>
      <c r="GN293" s="107"/>
      <c r="GO293" s="107"/>
      <c r="GP293" s="107"/>
      <c r="GQ293" s="114"/>
      <c r="GR293" s="114"/>
      <c r="GS293" s="114"/>
      <c r="GT293" s="114"/>
      <c r="GU293" s="81">
        <f>FB293+FG293+FL293+FQ293+FV293+GA293+GF293+GK293+GP293</f>
        <v>44000000</v>
      </c>
      <c r="GV293" s="81">
        <f>GQ293+GL293+GG293+GB293+FW293+FR293+FM293+FH293+FC293</f>
        <v>50000000</v>
      </c>
      <c r="GW293" s="81">
        <f>GR293+GM293+GH293+GC293+FX293+FS293+FN293+FI293+FD293</f>
        <v>45299000</v>
      </c>
      <c r="GX293" s="81">
        <f>GS293+GN293+GI293+GD293+FY293+FT293+FO293+FJ293+FE293</f>
        <v>37501000</v>
      </c>
      <c r="GY293" s="673">
        <f>GT293+GO293+GJ293+GE293+FZ293+FU293+FP293+FK293+FF293</f>
        <v>0</v>
      </c>
      <c r="GZ293" s="149">
        <f>BM293+DE293+EW293+GU293</f>
        <v>169000000</v>
      </c>
    </row>
    <row r="294" spans="1:208" ht="24.75" customHeight="1" x14ac:dyDescent="0.2">
      <c r="A294" s="326"/>
      <c r="B294" s="234">
        <v>19</v>
      </c>
      <c r="C294" s="324" t="s">
        <v>691</v>
      </c>
      <c r="D294" s="236"/>
      <c r="E294" s="236"/>
      <c r="F294" s="236"/>
      <c r="G294" s="325"/>
      <c r="H294" s="325"/>
      <c r="I294" s="325"/>
      <c r="J294" s="325"/>
      <c r="K294" s="325"/>
      <c r="L294" s="325"/>
      <c r="M294" s="325"/>
      <c r="N294" s="325"/>
      <c r="O294" s="325"/>
      <c r="P294" s="325"/>
      <c r="Q294" s="325"/>
      <c r="R294" s="325"/>
      <c r="S294" s="325"/>
      <c r="T294" s="325"/>
      <c r="U294" s="325"/>
      <c r="V294" s="325"/>
      <c r="W294" s="325"/>
      <c r="X294" s="325"/>
      <c r="Y294" s="627"/>
      <c r="Z294" s="325"/>
      <c r="AA294" s="325"/>
      <c r="AB294" s="325"/>
      <c r="AC294" s="50">
        <f t="shared" ref="AC294:CN294" si="639">AC295</f>
        <v>0</v>
      </c>
      <c r="AD294" s="50">
        <f t="shared" si="639"/>
        <v>0</v>
      </c>
      <c r="AE294" s="50">
        <f t="shared" si="639"/>
        <v>0</v>
      </c>
      <c r="AF294" s="50">
        <f t="shared" si="639"/>
        <v>0</v>
      </c>
      <c r="AG294" s="50">
        <f t="shared" si="639"/>
        <v>3245382763</v>
      </c>
      <c r="AH294" s="50">
        <f t="shared" si="639"/>
        <v>3247557575</v>
      </c>
      <c r="AI294" s="50">
        <f t="shared" si="639"/>
        <v>2631525507</v>
      </c>
      <c r="AJ294" s="50">
        <f t="shared" si="639"/>
        <v>2631525507</v>
      </c>
      <c r="AK294" s="50">
        <f t="shared" si="639"/>
        <v>20000000</v>
      </c>
      <c r="AL294" s="50">
        <f t="shared" si="639"/>
        <v>40000000</v>
      </c>
      <c r="AM294" s="50">
        <f t="shared" si="639"/>
        <v>16966667</v>
      </c>
      <c r="AN294" s="50">
        <f t="shared" si="639"/>
        <v>16966667</v>
      </c>
      <c r="AO294" s="50">
        <f t="shared" si="639"/>
        <v>0</v>
      </c>
      <c r="AP294" s="50">
        <f t="shared" si="639"/>
        <v>0</v>
      </c>
      <c r="AQ294" s="50">
        <f t="shared" si="639"/>
        <v>0</v>
      </c>
      <c r="AR294" s="50">
        <f t="shared" si="639"/>
        <v>0</v>
      </c>
      <c r="AS294" s="50">
        <f t="shared" si="639"/>
        <v>0</v>
      </c>
      <c r="AT294" s="50">
        <f t="shared" si="639"/>
        <v>0</v>
      </c>
      <c r="AU294" s="50">
        <f t="shared" si="639"/>
        <v>0</v>
      </c>
      <c r="AV294" s="50">
        <f t="shared" si="639"/>
        <v>0</v>
      </c>
      <c r="AW294" s="50">
        <f t="shared" si="639"/>
        <v>0</v>
      </c>
      <c r="AX294" s="50">
        <f t="shared" si="639"/>
        <v>0</v>
      </c>
      <c r="AY294" s="50">
        <f t="shared" si="639"/>
        <v>0</v>
      </c>
      <c r="AZ294" s="50">
        <f t="shared" si="639"/>
        <v>0</v>
      </c>
      <c r="BA294" s="50">
        <f t="shared" si="639"/>
        <v>0</v>
      </c>
      <c r="BB294" s="50">
        <f t="shared" si="639"/>
        <v>0</v>
      </c>
      <c r="BC294" s="50">
        <f t="shared" si="639"/>
        <v>0</v>
      </c>
      <c r="BD294" s="50">
        <f t="shared" si="639"/>
        <v>0</v>
      </c>
      <c r="BE294" s="50">
        <f t="shared" si="639"/>
        <v>0</v>
      </c>
      <c r="BF294" s="50">
        <f t="shared" si="639"/>
        <v>0</v>
      </c>
      <c r="BG294" s="50">
        <f t="shared" si="639"/>
        <v>0</v>
      </c>
      <c r="BH294" s="50">
        <f t="shared" si="639"/>
        <v>0</v>
      </c>
      <c r="BI294" s="50">
        <f t="shared" si="639"/>
        <v>0</v>
      </c>
      <c r="BJ294" s="50">
        <f t="shared" si="639"/>
        <v>0</v>
      </c>
      <c r="BK294" s="50">
        <f t="shared" si="639"/>
        <v>0</v>
      </c>
      <c r="BL294" s="50">
        <f t="shared" si="639"/>
        <v>0</v>
      </c>
      <c r="BM294" s="50">
        <f t="shared" si="639"/>
        <v>3265382763</v>
      </c>
      <c r="BN294" s="50">
        <f t="shared" si="639"/>
        <v>3287557575</v>
      </c>
      <c r="BO294" s="50">
        <f t="shared" si="639"/>
        <v>2648492174</v>
      </c>
      <c r="BP294" s="50">
        <f t="shared" si="639"/>
        <v>2648492174</v>
      </c>
      <c r="BQ294" s="50">
        <f t="shared" si="639"/>
        <v>0</v>
      </c>
      <c r="BR294" s="50">
        <f t="shared" si="639"/>
        <v>0</v>
      </c>
      <c r="BS294" s="50">
        <f t="shared" si="639"/>
        <v>0</v>
      </c>
      <c r="BT294" s="50">
        <f t="shared" si="639"/>
        <v>0</v>
      </c>
      <c r="BU294" s="50">
        <f t="shared" si="639"/>
        <v>2537920000</v>
      </c>
      <c r="BV294" s="50">
        <f t="shared" si="639"/>
        <v>1347273806</v>
      </c>
      <c r="BW294" s="50">
        <f t="shared" si="639"/>
        <v>1332273806</v>
      </c>
      <c r="BX294" s="50">
        <f t="shared" si="639"/>
        <v>1332273806</v>
      </c>
      <c r="BY294" s="50">
        <f t="shared" si="639"/>
        <v>0</v>
      </c>
      <c r="BZ294" s="50">
        <f t="shared" si="639"/>
        <v>20000000</v>
      </c>
      <c r="CA294" s="50">
        <f t="shared" si="639"/>
        <v>2878727976.29</v>
      </c>
      <c r="CB294" s="50">
        <f t="shared" si="639"/>
        <v>2726323679.9899998</v>
      </c>
      <c r="CC294" s="50">
        <f t="shared" si="639"/>
        <v>2726321329.9899998</v>
      </c>
      <c r="CD294" s="50">
        <f t="shared" si="639"/>
        <v>0</v>
      </c>
      <c r="CE294" s="50">
        <f t="shared" si="639"/>
        <v>0</v>
      </c>
      <c r="CF294" s="50">
        <f t="shared" si="639"/>
        <v>0</v>
      </c>
      <c r="CG294" s="50">
        <f t="shared" si="639"/>
        <v>0</v>
      </c>
      <c r="CH294" s="50">
        <f t="shared" si="639"/>
        <v>0</v>
      </c>
      <c r="CI294" s="50">
        <f t="shared" si="639"/>
        <v>0</v>
      </c>
      <c r="CJ294" s="50">
        <f t="shared" si="639"/>
        <v>0</v>
      </c>
      <c r="CK294" s="50">
        <f t="shared" si="639"/>
        <v>0</v>
      </c>
      <c r="CL294" s="50">
        <f t="shared" si="639"/>
        <v>0</v>
      </c>
      <c r="CM294" s="50">
        <f t="shared" si="639"/>
        <v>0</v>
      </c>
      <c r="CN294" s="50">
        <f t="shared" si="639"/>
        <v>0</v>
      </c>
      <c r="CO294" s="50">
        <f t="shared" ref="CO294:EV294" si="640">CO295</f>
        <v>0</v>
      </c>
      <c r="CP294" s="50">
        <f t="shared" si="640"/>
        <v>0</v>
      </c>
      <c r="CQ294" s="50">
        <f t="shared" si="640"/>
        <v>0</v>
      </c>
      <c r="CR294" s="50">
        <f t="shared" si="640"/>
        <v>0</v>
      </c>
      <c r="CS294" s="50">
        <f t="shared" si="640"/>
        <v>0</v>
      </c>
      <c r="CT294" s="50">
        <f t="shared" si="640"/>
        <v>0</v>
      </c>
      <c r="CU294" s="50">
        <f t="shared" si="640"/>
        <v>0</v>
      </c>
      <c r="CV294" s="50">
        <f t="shared" si="640"/>
        <v>0</v>
      </c>
      <c r="CW294" s="50">
        <f t="shared" si="640"/>
        <v>0</v>
      </c>
      <c r="CX294" s="50">
        <f t="shared" si="640"/>
        <v>0</v>
      </c>
      <c r="CY294" s="50">
        <f t="shared" si="640"/>
        <v>0</v>
      </c>
      <c r="CZ294" s="50">
        <f t="shared" si="640"/>
        <v>0</v>
      </c>
      <c r="DA294" s="50">
        <f t="shared" si="640"/>
        <v>0</v>
      </c>
      <c r="DB294" s="50">
        <f t="shared" si="640"/>
        <v>0</v>
      </c>
      <c r="DC294" s="50">
        <f t="shared" si="640"/>
        <v>0</v>
      </c>
      <c r="DD294" s="50">
        <f t="shared" si="640"/>
        <v>0</v>
      </c>
      <c r="DE294" s="50">
        <f t="shared" si="640"/>
        <v>2557920000</v>
      </c>
      <c r="DF294" s="50">
        <f t="shared" si="640"/>
        <v>4226001782.29</v>
      </c>
      <c r="DG294" s="50">
        <f t="shared" si="640"/>
        <v>4058597485.9899998</v>
      </c>
      <c r="DH294" s="50">
        <f t="shared" si="640"/>
        <v>4058595135.9899998</v>
      </c>
      <c r="DI294" s="50">
        <f t="shared" si="640"/>
        <v>0</v>
      </c>
      <c r="DJ294" s="50">
        <f t="shared" si="640"/>
        <v>0</v>
      </c>
      <c r="DK294" s="50">
        <f t="shared" si="640"/>
        <v>0</v>
      </c>
      <c r="DL294" s="50">
        <f t="shared" si="640"/>
        <v>0</v>
      </c>
      <c r="DM294" s="50">
        <f t="shared" si="640"/>
        <v>0</v>
      </c>
      <c r="DN294" s="50">
        <f t="shared" si="640"/>
        <v>2614057600</v>
      </c>
      <c r="DO294" s="50">
        <f t="shared" si="640"/>
        <v>290629092</v>
      </c>
      <c r="DP294" s="50">
        <f t="shared" si="640"/>
        <v>290629092</v>
      </c>
      <c r="DQ294" s="50">
        <f t="shared" si="640"/>
        <v>290629092</v>
      </c>
      <c r="DR294" s="50">
        <f t="shared" si="640"/>
        <v>0</v>
      </c>
      <c r="DS294" s="50">
        <f t="shared" si="640"/>
        <v>20000000</v>
      </c>
      <c r="DT294" s="50">
        <f t="shared" si="640"/>
        <v>3740581586</v>
      </c>
      <c r="DU294" s="50">
        <f t="shared" si="640"/>
        <v>3587080652</v>
      </c>
      <c r="DV294" s="50">
        <f t="shared" si="640"/>
        <v>3587080652</v>
      </c>
      <c r="DW294" s="50">
        <f t="shared" si="640"/>
        <v>0</v>
      </c>
      <c r="DX294" s="50">
        <f t="shared" si="640"/>
        <v>0</v>
      </c>
      <c r="DY294" s="50">
        <f t="shared" si="640"/>
        <v>0</v>
      </c>
      <c r="DZ294" s="50">
        <f t="shared" si="640"/>
        <v>0</v>
      </c>
      <c r="EA294" s="50">
        <f t="shared" si="640"/>
        <v>0</v>
      </c>
      <c r="EB294" s="50">
        <f t="shared" si="640"/>
        <v>0</v>
      </c>
      <c r="EC294" s="50">
        <f t="shared" si="640"/>
        <v>0</v>
      </c>
      <c r="ED294" s="50">
        <f t="shared" si="640"/>
        <v>0</v>
      </c>
      <c r="EE294" s="50">
        <f t="shared" si="640"/>
        <v>0</v>
      </c>
      <c r="EF294" s="50">
        <f t="shared" si="640"/>
        <v>0</v>
      </c>
      <c r="EG294" s="50">
        <f t="shared" si="640"/>
        <v>0</v>
      </c>
      <c r="EH294" s="50">
        <f t="shared" si="640"/>
        <v>0</v>
      </c>
      <c r="EI294" s="50">
        <f t="shared" si="640"/>
        <v>0</v>
      </c>
      <c r="EJ294" s="50">
        <f t="shared" si="640"/>
        <v>0</v>
      </c>
      <c r="EK294" s="50">
        <f t="shared" si="640"/>
        <v>0</v>
      </c>
      <c r="EL294" s="50">
        <f t="shared" si="640"/>
        <v>0</v>
      </c>
      <c r="EM294" s="50">
        <f t="shared" si="640"/>
        <v>0</v>
      </c>
      <c r="EN294" s="50">
        <f t="shared" si="640"/>
        <v>0</v>
      </c>
      <c r="EO294" s="50">
        <f t="shared" si="640"/>
        <v>0</v>
      </c>
      <c r="EP294" s="50">
        <f t="shared" si="640"/>
        <v>0</v>
      </c>
      <c r="EQ294" s="50">
        <f t="shared" si="640"/>
        <v>0</v>
      </c>
      <c r="ER294" s="50">
        <f t="shared" si="640"/>
        <v>0</v>
      </c>
      <c r="ES294" s="50">
        <f t="shared" si="640"/>
        <v>0</v>
      </c>
      <c r="ET294" s="50">
        <f t="shared" si="640"/>
        <v>0</v>
      </c>
      <c r="EU294" s="50">
        <f t="shared" si="640"/>
        <v>0</v>
      </c>
      <c r="EV294" s="50">
        <f t="shared" si="640"/>
        <v>0</v>
      </c>
      <c r="EW294" s="50">
        <f t="shared" ref="EW294" si="641">EW295</f>
        <v>2634057600</v>
      </c>
      <c r="EX294" s="50">
        <f t="shared" ref="EX294:GZ294" si="642">EX295</f>
        <v>4031210678</v>
      </c>
      <c r="EY294" s="50">
        <f t="shared" si="642"/>
        <v>3877709744</v>
      </c>
      <c r="EZ294" s="50">
        <f t="shared" si="642"/>
        <v>3877709744</v>
      </c>
      <c r="FA294" s="50">
        <f t="shared" si="642"/>
        <v>0</v>
      </c>
      <c r="FB294" s="50">
        <f t="shared" si="642"/>
        <v>0</v>
      </c>
      <c r="FC294" s="50">
        <f t="shared" si="642"/>
        <v>0</v>
      </c>
      <c r="FD294" s="50">
        <f t="shared" si="642"/>
        <v>0</v>
      </c>
      <c r="FE294" s="50">
        <f t="shared" si="642"/>
        <v>0</v>
      </c>
      <c r="FF294" s="50">
        <f t="shared" si="642"/>
        <v>0</v>
      </c>
      <c r="FG294" s="50">
        <f t="shared" si="642"/>
        <v>2692479328</v>
      </c>
      <c r="FH294" s="50">
        <f t="shared" si="642"/>
        <v>186956629</v>
      </c>
      <c r="FI294" s="50">
        <f t="shared" si="642"/>
        <v>186956629</v>
      </c>
      <c r="FJ294" s="50">
        <f t="shared" si="642"/>
        <v>186956629</v>
      </c>
      <c r="FK294" s="50">
        <f t="shared" si="642"/>
        <v>0</v>
      </c>
      <c r="FL294" s="50">
        <f t="shared" si="642"/>
        <v>20000000</v>
      </c>
      <c r="FM294" s="50">
        <f t="shared" si="642"/>
        <v>3790449314</v>
      </c>
      <c r="FN294" s="50">
        <f t="shared" si="642"/>
        <v>1280447586</v>
      </c>
      <c r="FO294" s="50">
        <f t="shared" si="642"/>
        <v>1263170520</v>
      </c>
      <c r="FP294" s="50">
        <f t="shared" si="642"/>
        <v>0</v>
      </c>
      <c r="FQ294" s="50">
        <f t="shared" si="642"/>
        <v>0</v>
      </c>
      <c r="FR294" s="50">
        <f t="shared" si="642"/>
        <v>0</v>
      </c>
      <c r="FS294" s="50">
        <f t="shared" si="642"/>
        <v>0</v>
      </c>
      <c r="FT294" s="50">
        <f t="shared" si="642"/>
        <v>0</v>
      </c>
      <c r="FU294" s="50">
        <f t="shared" si="642"/>
        <v>0</v>
      </c>
      <c r="FV294" s="50">
        <f t="shared" si="642"/>
        <v>0</v>
      </c>
      <c r="FW294" s="50">
        <f t="shared" si="642"/>
        <v>0</v>
      </c>
      <c r="FX294" s="50">
        <f t="shared" si="642"/>
        <v>0</v>
      </c>
      <c r="FY294" s="50">
        <f t="shared" si="642"/>
        <v>0</v>
      </c>
      <c r="FZ294" s="50">
        <f t="shared" si="642"/>
        <v>0</v>
      </c>
      <c r="GA294" s="50">
        <f t="shared" si="642"/>
        <v>0</v>
      </c>
      <c r="GB294" s="50">
        <f t="shared" si="642"/>
        <v>0</v>
      </c>
      <c r="GC294" s="50">
        <f t="shared" si="642"/>
        <v>0</v>
      </c>
      <c r="GD294" s="50">
        <f t="shared" si="642"/>
        <v>0</v>
      </c>
      <c r="GE294" s="50">
        <f t="shared" si="642"/>
        <v>0</v>
      </c>
      <c r="GF294" s="50">
        <f t="shared" si="642"/>
        <v>0</v>
      </c>
      <c r="GG294" s="50">
        <f t="shared" si="642"/>
        <v>0</v>
      </c>
      <c r="GH294" s="50">
        <f t="shared" si="642"/>
        <v>0</v>
      </c>
      <c r="GI294" s="50">
        <f t="shared" si="642"/>
        <v>0</v>
      </c>
      <c r="GJ294" s="50">
        <f t="shared" si="642"/>
        <v>0</v>
      </c>
      <c r="GK294" s="50">
        <f t="shared" si="642"/>
        <v>0</v>
      </c>
      <c r="GL294" s="50">
        <f t="shared" si="642"/>
        <v>0</v>
      </c>
      <c r="GM294" s="50">
        <f t="shared" si="642"/>
        <v>0</v>
      </c>
      <c r="GN294" s="50">
        <f t="shared" si="642"/>
        <v>0</v>
      </c>
      <c r="GO294" s="50">
        <f t="shared" si="642"/>
        <v>0</v>
      </c>
      <c r="GP294" s="50">
        <f t="shared" si="642"/>
        <v>0</v>
      </c>
      <c r="GQ294" s="50">
        <f t="shared" si="642"/>
        <v>0</v>
      </c>
      <c r="GR294" s="50">
        <f t="shared" si="642"/>
        <v>0</v>
      </c>
      <c r="GS294" s="50">
        <f t="shared" si="642"/>
        <v>0</v>
      </c>
      <c r="GT294" s="50">
        <f t="shared" si="642"/>
        <v>0</v>
      </c>
      <c r="GU294" s="50">
        <f t="shared" si="642"/>
        <v>2712479328</v>
      </c>
      <c r="GV294" s="50">
        <f t="shared" si="642"/>
        <v>3977405943</v>
      </c>
      <c r="GW294" s="50">
        <f t="shared" si="642"/>
        <v>1467404215</v>
      </c>
      <c r="GX294" s="50">
        <f t="shared" si="642"/>
        <v>1450127149</v>
      </c>
      <c r="GY294" s="50">
        <f t="shared" si="642"/>
        <v>0</v>
      </c>
      <c r="GZ294" s="50">
        <f t="shared" si="642"/>
        <v>11169839691</v>
      </c>
    </row>
    <row r="295" spans="1:208" ht="24.75" customHeight="1" x14ac:dyDescent="0.2">
      <c r="A295" s="326"/>
      <c r="B295" s="993"/>
      <c r="C295" s="246">
        <v>67</v>
      </c>
      <c r="D295" s="247" t="s">
        <v>692</v>
      </c>
      <c r="E295" s="250"/>
      <c r="F295" s="250"/>
      <c r="G295" s="246"/>
      <c r="H295" s="246"/>
      <c r="I295" s="246"/>
      <c r="J295" s="246"/>
      <c r="K295" s="246"/>
      <c r="L295" s="246"/>
      <c r="M295" s="246"/>
      <c r="N295" s="246"/>
      <c r="O295" s="246"/>
      <c r="P295" s="246"/>
      <c r="Q295" s="246"/>
      <c r="R295" s="246"/>
      <c r="S295" s="246"/>
      <c r="T295" s="246"/>
      <c r="U295" s="246"/>
      <c r="V295" s="246"/>
      <c r="W295" s="246"/>
      <c r="X295" s="246"/>
      <c r="Y295" s="625"/>
      <c r="Z295" s="246"/>
      <c r="AA295" s="246"/>
      <c r="AB295" s="246"/>
      <c r="AC295" s="51">
        <f t="shared" ref="AC295:BL295" si="643">SUM(AC296:AC299)</f>
        <v>0</v>
      </c>
      <c r="AD295" s="51">
        <f t="shared" si="643"/>
        <v>0</v>
      </c>
      <c r="AE295" s="51">
        <f t="shared" si="643"/>
        <v>0</v>
      </c>
      <c r="AF295" s="51">
        <f t="shared" si="643"/>
        <v>0</v>
      </c>
      <c r="AG295" s="51">
        <f t="shared" si="643"/>
        <v>3245382763</v>
      </c>
      <c r="AH295" s="51">
        <f t="shared" si="643"/>
        <v>3247557575</v>
      </c>
      <c r="AI295" s="51">
        <f t="shared" si="643"/>
        <v>2631525507</v>
      </c>
      <c r="AJ295" s="51">
        <f t="shared" si="643"/>
        <v>2631525507</v>
      </c>
      <c r="AK295" s="51">
        <f t="shared" si="643"/>
        <v>20000000</v>
      </c>
      <c r="AL295" s="51">
        <f t="shared" si="643"/>
        <v>40000000</v>
      </c>
      <c r="AM295" s="51">
        <f t="shared" si="643"/>
        <v>16966667</v>
      </c>
      <c r="AN295" s="51">
        <f t="shared" si="643"/>
        <v>16966667</v>
      </c>
      <c r="AO295" s="51">
        <f t="shared" si="643"/>
        <v>0</v>
      </c>
      <c r="AP295" s="51">
        <f t="shared" si="643"/>
        <v>0</v>
      </c>
      <c r="AQ295" s="51">
        <f t="shared" si="643"/>
        <v>0</v>
      </c>
      <c r="AR295" s="51">
        <f t="shared" si="643"/>
        <v>0</v>
      </c>
      <c r="AS295" s="51">
        <f t="shared" si="643"/>
        <v>0</v>
      </c>
      <c r="AT295" s="51">
        <f t="shared" si="643"/>
        <v>0</v>
      </c>
      <c r="AU295" s="51">
        <f t="shared" si="643"/>
        <v>0</v>
      </c>
      <c r="AV295" s="51">
        <f t="shared" si="643"/>
        <v>0</v>
      </c>
      <c r="AW295" s="51">
        <f t="shared" si="643"/>
        <v>0</v>
      </c>
      <c r="AX295" s="51">
        <f t="shared" si="643"/>
        <v>0</v>
      </c>
      <c r="AY295" s="51">
        <f t="shared" si="643"/>
        <v>0</v>
      </c>
      <c r="AZ295" s="51">
        <f t="shared" si="643"/>
        <v>0</v>
      </c>
      <c r="BA295" s="51">
        <f t="shared" si="643"/>
        <v>0</v>
      </c>
      <c r="BB295" s="51">
        <f t="shared" si="643"/>
        <v>0</v>
      </c>
      <c r="BC295" s="51">
        <f t="shared" si="643"/>
        <v>0</v>
      </c>
      <c r="BD295" s="51">
        <f t="shared" si="643"/>
        <v>0</v>
      </c>
      <c r="BE295" s="51">
        <f t="shared" si="643"/>
        <v>0</v>
      </c>
      <c r="BF295" s="51">
        <f t="shared" si="643"/>
        <v>0</v>
      </c>
      <c r="BG295" s="51">
        <f t="shared" si="643"/>
        <v>0</v>
      </c>
      <c r="BH295" s="51">
        <f t="shared" si="643"/>
        <v>0</v>
      </c>
      <c r="BI295" s="51">
        <f t="shared" si="643"/>
        <v>0</v>
      </c>
      <c r="BJ295" s="51">
        <f t="shared" si="643"/>
        <v>0</v>
      </c>
      <c r="BK295" s="51">
        <f t="shared" si="643"/>
        <v>0</v>
      </c>
      <c r="BL295" s="51">
        <f t="shared" si="643"/>
        <v>0</v>
      </c>
      <c r="BM295" s="51">
        <f t="shared" ref="BM295:DX295" si="644">SUM(BM296:BM299)</f>
        <v>3265382763</v>
      </c>
      <c r="BN295" s="51">
        <f t="shared" si="644"/>
        <v>3287557575</v>
      </c>
      <c r="BO295" s="51">
        <f t="shared" si="644"/>
        <v>2648492174</v>
      </c>
      <c r="BP295" s="51">
        <f t="shared" si="644"/>
        <v>2648492174</v>
      </c>
      <c r="BQ295" s="51">
        <f t="shared" si="644"/>
        <v>0</v>
      </c>
      <c r="BR295" s="51">
        <f t="shared" si="644"/>
        <v>0</v>
      </c>
      <c r="BS295" s="51">
        <f t="shared" si="644"/>
        <v>0</v>
      </c>
      <c r="BT295" s="51">
        <f t="shared" si="644"/>
        <v>0</v>
      </c>
      <c r="BU295" s="51">
        <f t="shared" si="644"/>
        <v>2537920000</v>
      </c>
      <c r="BV295" s="51">
        <f t="shared" si="644"/>
        <v>1347273806</v>
      </c>
      <c r="BW295" s="51">
        <f t="shared" si="644"/>
        <v>1332273806</v>
      </c>
      <c r="BX295" s="51">
        <f t="shared" si="644"/>
        <v>1332273806</v>
      </c>
      <c r="BY295" s="51">
        <f t="shared" si="644"/>
        <v>0</v>
      </c>
      <c r="BZ295" s="51">
        <f t="shared" si="644"/>
        <v>20000000</v>
      </c>
      <c r="CA295" s="51">
        <f t="shared" si="644"/>
        <v>2878727976.29</v>
      </c>
      <c r="CB295" s="51">
        <f t="shared" si="644"/>
        <v>2726323679.9899998</v>
      </c>
      <c r="CC295" s="51">
        <f t="shared" si="644"/>
        <v>2726321329.9899998</v>
      </c>
      <c r="CD295" s="51">
        <f t="shared" si="644"/>
        <v>0</v>
      </c>
      <c r="CE295" s="51">
        <f t="shared" si="644"/>
        <v>0</v>
      </c>
      <c r="CF295" s="51">
        <f t="shared" si="644"/>
        <v>0</v>
      </c>
      <c r="CG295" s="51">
        <f t="shared" si="644"/>
        <v>0</v>
      </c>
      <c r="CH295" s="51">
        <f t="shared" si="644"/>
        <v>0</v>
      </c>
      <c r="CI295" s="51">
        <f t="shared" si="644"/>
        <v>0</v>
      </c>
      <c r="CJ295" s="51">
        <f t="shared" si="644"/>
        <v>0</v>
      </c>
      <c r="CK295" s="51">
        <f t="shared" si="644"/>
        <v>0</v>
      </c>
      <c r="CL295" s="51">
        <f t="shared" si="644"/>
        <v>0</v>
      </c>
      <c r="CM295" s="51">
        <f t="shared" si="644"/>
        <v>0</v>
      </c>
      <c r="CN295" s="51">
        <f t="shared" si="644"/>
        <v>0</v>
      </c>
      <c r="CO295" s="51">
        <f t="shared" si="644"/>
        <v>0</v>
      </c>
      <c r="CP295" s="51">
        <f t="shared" si="644"/>
        <v>0</v>
      </c>
      <c r="CQ295" s="51">
        <f t="shared" si="644"/>
        <v>0</v>
      </c>
      <c r="CR295" s="51">
        <f t="shared" si="644"/>
        <v>0</v>
      </c>
      <c r="CS295" s="51">
        <f t="shared" si="644"/>
        <v>0</v>
      </c>
      <c r="CT295" s="51">
        <f t="shared" si="644"/>
        <v>0</v>
      </c>
      <c r="CU295" s="51">
        <f t="shared" si="644"/>
        <v>0</v>
      </c>
      <c r="CV295" s="51">
        <f t="shared" si="644"/>
        <v>0</v>
      </c>
      <c r="CW295" s="51">
        <f t="shared" si="644"/>
        <v>0</v>
      </c>
      <c r="CX295" s="51">
        <f t="shared" si="644"/>
        <v>0</v>
      </c>
      <c r="CY295" s="51">
        <f t="shared" si="644"/>
        <v>0</v>
      </c>
      <c r="CZ295" s="51">
        <f t="shared" si="644"/>
        <v>0</v>
      </c>
      <c r="DA295" s="51">
        <f t="shared" si="644"/>
        <v>0</v>
      </c>
      <c r="DB295" s="51">
        <f t="shared" si="644"/>
        <v>0</v>
      </c>
      <c r="DC295" s="51">
        <f t="shared" si="644"/>
        <v>0</v>
      </c>
      <c r="DD295" s="51">
        <f t="shared" si="644"/>
        <v>0</v>
      </c>
      <c r="DE295" s="51">
        <f t="shared" si="644"/>
        <v>2557920000</v>
      </c>
      <c r="DF295" s="51">
        <f t="shared" si="644"/>
        <v>4226001782.29</v>
      </c>
      <c r="DG295" s="51">
        <f t="shared" si="644"/>
        <v>4058597485.9899998</v>
      </c>
      <c r="DH295" s="51">
        <f t="shared" si="644"/>
        <v>4058595135.9899998</v>
      </c>
      <c r="DI295" s="51">
        <f t="shared" si="644"/>
        <v>0</v>
      </c>
      <c r="DJ295" s="51">
        <f t="shared" si="644"/>
        <v>0</v>
      </c>
      <c r="DK295" s="51">
        <f t="shared" si="644"/>
        <v>0</v>
      </c>
      <c r="DL295" s="51">
        <f t="shared" si="644"/>
        <v>0</v>
      </c>
      <c r="DM295" s="51">
        <f t="shared" si="644"/>
        <v>0</v>
      </c>
      <c r="DN295" s="51">
        <f t="shared" si="644"/>
        <v>2614057600</v>
      </c>
      <c r="DO295" s="51">
        <f t="shared" si="644"/>
        <v>290629092</v>
      </c>
      <c r="DP295" s="51">
        <f t="shared" si="644"/>
        <v>290629092</v>
      </c>
      <c r="DQ295" s="51">
        <f t="shared" si="644"/>
        <v>290629092</v>
      </c>
      <c r="DR295" s="51">
        <f t="shared" si="644"/>
        <v>0</v>
      </c>
      <c r="DS295" s="51">
        <f t="shared" si="644"/>
        <v>20000000</v>
      </c>
      <c r="DT295" s="51">
        <f t="shared" si="644"/>
        <v>3740581586</v>
      </c>
      <c r="DU295" s="51">
        <f t="shared" si="644"/>
        <v>3587080652</v>
      </c>
      <c r="DV295" s="51">
        <f t="shared" si="644"/>
        <v>3587080652</v>
      </c>
      <c r="DW295" s="51">
        <f t="shared" si="644"/>
        <v>0</v>
      </c>
      <c r="DX295" s="51">
        <f t="shared" si="644"/>
        <v>0</v>
      </c>
      <c r="DY295" s="51">
        <f t="shared" ref="DY295:EW295" si="645">SUM(DY296:DY299)</f>
        <v>0</v>
      </c>
      <c r="DZ295" s="51">
        <f t="shared" si="645"/>
        <v>0</v>
      </c>
      <c r="EA295" s="51">
        <f t="shared" si="645"/>
        <v>0</v>
      </c>
      <c r="EB295" s="51">
        <f t="shared" si="645"/>
        <v>0</v>
      </c>
      <c r="EC295" s="51">
        <f t="shared" si="645"/>
        <v>0</v>
      </c>
      <c r="ED295" s="51">
        <f t="shared" si="645"/>
        <v>0</v>
      </c>
      <c r="EE295" s="51">
        <f t="shared" si="645"/>
        <v>0</v>
      </c>
      <c r="EF295" s="51">
        <f t="shared" si="645"/>
        <v>0</v>
      </c>
      <c r="EG295" s="51">
        <f t="shared" si="645"/>
        <v>0</v>
      </c>
      <c r="EH295" s="51">
        <f t="shared" si="645"/>
        <v>0</v>
      </c>
      <c r="EI295" s="51">
        <f t="shared" si="645"/>
        <v>0</v>
      </c>
      <c r="EJ295" s="51">
        <f t="shared" si="645"/>
        <v>0</v>
      </c>
      <c r="EK295" s="51">
        <f t="shared" si="645"/>
        <v>0</v>
      </c>
      <c r="EL295" s="51">
        <f t="shared" si="645"/>
        <v>0</v>
      </c>
      <c r="EM295" s="51">
        <f t="shared" si="645"/>
        <v>0</v>
      </c>
      <c r="EN295" s="51">
        <f t="shared" si="645"/>
        <v>0</v>
      </c>
      <c r="EO295" s="51">
        <f t="shared" si="645"/>
        <v>0</v>
      </c>
      <c r="EP295" s="51">
        <f t="shared" si="645"/>
        <v>0</v>
      </c>
      <c r="EQ295" s="51">
        <f t="shared" si="645"/>
        <v>0</v>
      </c>
      <c r="ER295" s="51">
        <f t="shared" si="645"/>
        <v>0</v>
      </c>
      <c r="ES295" s="51">
        <f t="shared" si="645"/>
        <v>0</v>
      </c>
      <c r="ET295" s="51">
        <f t="shared" si="645"/>
        <v>0</v>
      </c>
      <c r="EU295" s="51">
        <f t="shared" si="645"/>
        <v>0</v>
      </c>
      <c r="EV295" s="51">
        <f t="shared" si="645"/>
        <v>0</v>
      </c>
      <c r="EW295" s="51">
        <f t="shared" si="645"/>
        <v>2634057600</v>
      </c>
      <c r="EX295" s="51">
        <f t="shared" ref="EX295:GZ295" si="646">SUM(EX296:EX299)</f>
        <v>4031210678</v>
      </c>
      <c r="EY295" s="51">
        <f t="shared" si="646"/>
        <v>3877709744</v>
      </c>
      <c r="EZ295" s="51">
        <f t="shared" si="646"/>
        <v>3877709744</v>
      </c>
      <c r="FA295" s="51">
        <f t="shared" si="646"/>
        <v>0</v>
      </c>
      <c r="FB295" s="51">
        <f t="shared" si="646"/>
        <v>0</v>
      </c>
      <c r="FC295" s="51">
        <f t="shared" si="646"/>
        <v>0</v>
      </c>
      <c r="FD295" s="51">
        <f t="shared" si="646"/>
        <v>0</v>
      </c>
      <c r="FE295" s="51">
        <f t="shared" si="646"/>
        <v>0</v>
      </c>
      <c r="FF295" s="51">
        <f t="shared" si="646"/>
        <v>0</v>
      </c>
      <c r="FG295" s="51">
        <f t="shared" si="646"/>
        <v>2692479328</v>
      </c>
      <c r="FH295" s="51">
        <f t="shared" si="646"/>
        <v>186956629</v>
      </c>
      <c r="FI295" s="51">
        <f t="shared" si="646"/>
        <v>186956629</v>
      </c>
      <c r="FJ295" s="51">
        <f t="shared" si="646"/>
        <v>186956629</v>
      </c>
      <c r="FK295" s="51">
        <f t="shared" si="646"/>
        <v>0</v>
      </c>
      <c r="FL295" s="51">
        <f t="shared" si="646"/>
        <v>20000000</v>
      </c>
      <c r="FM295" s="51">
        <f t="shared" si="646"/>
        <v>3790449314</v>
      </c>
      <c r="FN295" s="51">
        <f t="shared" si="646"/>
        <v>1280447586</v>
      </c>
      <c r="FO295" s="51">
        <f t="shared" si="646"/>
        <v>1263170520</v>
      </c>
      <c r="FP295" s="51">
        <f t="shared" si="646"/>
        <v>0</v>
      </c>
      <c r="FQ295" s="51">
        <f t="shared" si="646"/>
        <v>0</v>
      </c>
      <c r="FR295" s="51">
        <f t="shared" si="646"/>
        <v>0</v>
      </c>
      <c r="FS295" s="51">
        <f t="shared" si="646"/>
        <v>0</v>
      </c>
      <c r="FT295" s="51">
        <f t="shared" si="646"/>
        <v>0</v>
      </c>
      <c r="FU295" s="51">
        <f t="shared" si="646"/>
        <v>0</v>
      </c>
      <c r="FV295" s="51">
        <f t="shared" si="646"/>
        <v>0</v>
      </c>
      <c r="FW295" s="51">
        <f t="shared" si="646"/>
        <v>0</v>
      </c>
      <c r="FX295" s="51">
        <f t="shared" si="646"/>
        <v>0</v>
      </c>
      <c r="FY295" s="51">
        <f t="shared" si="646"/>
        <v>0</v>
      </c>
      <c r="FZ295" s="51">
        <f t="shared" si="646"/>
        <v>0</v>
      </c>
      <c r="GA295" s="51">
        <f t="shared" si="646"/>
        <v>0</v>
      </c>
      <c r="GB295" s="51">
        <f t="shared" si="646"/>
        <v>0</v>
      </c>
      <c r="GC295" s="51">
        <f t="shared" si="646"/>
        <v>0</v>
      </c>
      <c r="GD295" s="51">
        <f t="shared" si="646"/>
        <v>0</v>
      </c>
      <c r="GE295" s="51">
        <f t="shared" si="646"/>
        <v>0</v>
      </c>
      <c r="GF295" s="51">
        <f t="shared" si="646"/>
        <v>0</v>
      </c>
      <c r="GG295" s="51">
        <f t="shared" si="646"/>
        <v>0</v>
      </c>
      <c r="GH295" s="51">
        <f t="shared" si="646"/>
        <v>0</v>
      </c>
      <c r="GI295" s="51">
        <f t="shared" si="646"/>
        <v>0</v>
      </c>
      <c r="GJ295" s="51">
        <f t="shared" si="646"/>
        <v>0</v>
      </c>
      <c r="GK295" s="51">
        <f t="shared" si="646"/>
        <v>0</v>
      </c>
      <c r="GL295" s="51">
        <f t="shared" si="646"/>
        <v>0</v>
      </c>
      <c r="GM295" s="51">
        <f t="shared" si="646"/>
        <v>0</v>
      </c>
      <c r="GN295" s="51">
        <f t="shared" si="646"/>
        <v>0</v>
      </c>
      <c r="GO295" s="51">
        <f t="shared" si="646"/>
        <v>0</v>
      </c>
      <c r="GP295" s="51">
        <f t="shared" si="646"/>
        <v>0</v>
      </c>
      <c r="GQ295" s="51">
        <f t="shared" si="646"/>
        <v>0</v>
      </c>
      <c r="GR295" s="51">
        <f t="shared" si="646"/>
        <v>0</v>
      </c>
      <c r="GS295" s="51">
        <f t="shared" si="646"/>
        <v>0</v>
      </c>
      <c r="GT295" s="51">
        <f t="shared" si="646"/>
        <v>0</v>
      </c>
      <c r="GU295" s="51">
        <f t="shared" si="646"/>
        <v>2712479328</v>
      </c>
      <c r="GV295" s="51">
        <f t="shared" si="646"/>
        <v>3977405943</v>
      </c>
      <c r="GW295" s="51">
        <f t="shared" si="646"/>
        <v>1467404215</v>
      </c>
      <c r="GX295" s="51">
        <f t="shared" si="646"/>
        <v>1450127149</v>
      </c>
      <c r="GY295" s="51">
        <f t="shared" si="646"/>
        <v>0</v>
      </c>
      <c r="GZ295" s="51">
        <f t="shared" si="646"/>
        <v>11169839691</v>
      </c>
    </row>
    <row r="296" spans="1:208" ht="69" customHeight="1" x14ac:dyDescent="0.2">
      <c r="A296" s="326"/>
      <c r="B296" s="326"/>
      <c r="C296" s="456">
        <v>35</v>
      </c>
      <c r="D296" s="721" t="s">
        <v>693</v>
      </c>
      <c r="E296" s="988" t="s">
        <v>694</v>
      </c>
      <c r="F296" s="988" t="s">
        <v>695</v>
      </c>
      <c r="G296" s="265">
        <v>198</v>
      </c>
      <c r="H296" s="358" t="s">
        <v>696</v>
      </c>
      <c r="I296" s="258" t="s">
        <v>697</v>
      </c>
      <c r="J296" s="262" t="s">
        <v>636</v>
      </c>
      <c r="K296" s="262">
        <v>14</v>
      </c>
      <c r="L296" s="263" t="s">
        <v>58</v>
      </c>
      <c r="M296" s="264">
        <v>1</v>
      </c>
      <c r="N296" s="264">
        <v>1</v>
      </c>
      <c r="O296" s="265">
        <v>1</v>
      </c>
      <c r="P296" s="528">
        <v>0.8</v>
      </c>
      <c r="Q296" s="474">
        <v>1</v>
      </c>
      <c r="R296" s="268"/>
      <c r="S296" s="270">
        <v>1</v>
      </c>
      <c r="T296" s="264">
        <v>1</v>
      </c>
      <c r="U296" s="264"/>
      <c r="V296" s="270">
        <v>0.8</v>
      </c>
      <c r="W296" s="264">
        <v>1</v>
      </c>
      <c r="X296" s="263"/>
      <c r="Y296" s="271">
        <v>0.65</v>
      </c>
      <c r="Z296" s="371">
        <f>BM296/$BM$295</f>
        <v>6.1248562424655638E-3</v>
      </c>
      <c r="AA296" s="265">
        <v>10</v>
      </c>
      <c r="AB296" s="262" t="s">
        <v>389</v>
      </c>
      <c r="AC296" s="60"/>
      <c r="AD296" s="59"/>
      <c r="AE296" s="59"/>
      <c r="AF296" s="59"/>
      <c r="AG296" s="60"/>
      <c r="AH296" s="59"/>
      <c r="AI296" s="59"/>
      <c r="AJ296" s="59"/>
      <c r="AK296" s="60">
        <f>20000000</f>
        <v>20000000</v>
      </c>
      <c r="AL296" s="55">
        <v>40000000</v>
      </c>
      <c r="AM296" s="54">
        <v>16966667</v>
      </c>
      <c r="AN296" s="54">
        <v>16966667</v>
      </c>
      <c r="AO296" s="60"/>
      <c r="AP296" s="59"/>
      <c r="AQ296" s="59"/>
      <c r="AR296" s="59"/>
      <c r="AS296" s="60"/>
      <c r="AT296" s="59"/>
      <c r="AU296" s="59"/>
      <c r="AV296" s="59"/>
      <c r="AW296" s="60"/>
      <c r="AX296" s="59"/>
      <c r="AY296" s="59"/>
      <c r="AZ296" s="59"/>
      <c r="BA296" s="60"/>
      <c r="BB296" s="59"/>
      <c r="BC296" s="59"/>
      <c r="BD296" s="59"/>
      <c r="BE296" s="60"/>
      <c r="BF296" s="59"/>
      <c r="BG296" s="59"/>
      <c r="BH296" s="59"/>
      <c r="BI296" s="60"/>
      <c r="BJ296" s="59"/>
      <c r="BK296" s="59"/>
      <c r="BL296" s="59"/>
      <c r="BM296" s="53">
        <f>+AC296+AG296+AK296+AO296+AS296+AW296+BA296+BE296+BI296</f>
        <v>20000000</v>
      </c>
      <c r="BN296" s="54">
        <f t="shared" ref="BN296:BP299" si="647">AD296+AH296+AL296+AP296+AT296+AX296+BB296+BF296+BJ296</f>
        <v>40000000</v>
      </c>
      <c r="BO296" s="54">
        <f t="shared" si="647"/>
        <v>16966667</v>
      </c>
      <c r="BP296" s="54">
        <f t="shared" si="647"/>
        <v>16966667</v>
      </c>
      <c r="BQ296" s="83"/>
      <c r="BR296" s="83"/>
      <c r="BS296" s="83"/>
      <c r="BT296" s="83"/>
      <c r="BU296" s="83"/>
      <c r="BV296" s="83">
        <v>40000000</v>
      </c>
      <c r="BW296" s="83">
        <v>25000000</v>
      </c>
      <c r="BX296" s="83">
        <v>25000000</v>
      </c>
      <c r="BY296" s="83"/>
      <c r="BZ296" s="83">
        <v>10000000</v>
      </c>
      <c r="CA296" s="83">
        <v>70000000</v>
      </c>
      <c r="CB296" s="83">
        <v>69268000</v>
      </c>
      <c r="CC296" s="83">
        <v>69265650</v>
      </c>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1">
        <f t="shared" ref="DE296:DH299" si="648">BQ296+BU296+BZ296+CE296+CI296+CM296+CQ296+CV296+DA296</f>
        <v>10000000</v>
      </c>
      <c r="DF296" s="95">
        <f t="shared" si="648"/>
        <v>110000000</v>
      </c>
      <c r="DG296" s="95">
        <f t="shared" si="648"/>
        <v>94268000</v>
      </c>
      <c r="DH296" s="95">
        <f t="shared" si="648"/>
        <v>94265650</v>
      </c>
      <c r="DI296" s="95"/>
      <c r="DJ296" s="83"/>
      <c r="DK296" s="82"/>
      <c r="DL296" s="83"/>
      <c r="DM296" s="83"/>
      <c r="DN296" s="83"/>
      <c r="DO296" s="83"/>
      <c r="DP296" s="83"/>
      <c r="DQ296" s="83"/>
      <c r="DR296" s="83"/>
      <c r="DS296" s="83">
        <v>10000000</v>
      </c>
      <c r="DT296" s="82">
        <v>84480000</v>
      </c>
      <c r="DU296" s="83">
        <v>82492333</v>
      </c>
      <c r="DV296" s="83">
        <v>82492333</v>
      </c>
      <c r="DW296" s="83"/>
      <c r="DX296" s="83"/>
      <c r="DY296" s="83"/>
      <c r="DZ296" s="83"/>
      <c r="EA296" s="83"/>
      <c r="EB296" s="83"/>
      <c r="EC296" s="83"/>
      <c r="ED296" s="83"/>
      <c r="EE296" s="83"/>
      <c r="EF296" s="83"/>
      <c r="EG296" s="83"/>
      <c r="EH296" s="83"/>
      <c r="EI296" s="83"/>
      <c r="EJ296" s="83"/>
      <c r="EK296" s="83"/>
      <c r="EL296" s="83"/>
      <c r="EM296" s="83"/>
      <c r="EN296" s="83"/>
      <c r="EO296" s="83"/>
      <c r="EP296" s="83"/>
      <c r="EQ296" s="83"/>
      <c r="ER296" s="83"/>
      <c r="ES296" s="83"/>
      <c r="ET296" s="83"/>
      <c r="EU296" s="83"/>
      <c r="EV296" s="83"/>
      <c r="EW296" s="81">
        <f t="shared" ref="EW296:EX299" si="649">DJ296+DN296+DS296+DX296+EB296+EF296+EJ296+EN296+ES296</f>
        <v>10000000</v>
      </c>
      <c r="EX296" s="85">
        <f t="shared" si="649"/>
        <v>84480000</v>
      </c>
      <c r="EY296" s="86">
        <f t="shared" ref="EY296:EZ299" si="650">DL296+DP296+DU296+DZ296+ED296+EH296+EL296+EP296+EU296</f>
        <v>82492333</v>
      </c>
      <c r="EZ296" s="86">
        <f t="shared" si="650"/>
        <v>82492333</v>
      </c>
      <c r="FA296" s="176"/>
      <c r="FB296" s="83"/>
      <c r="FC296" s="84"/>
      <c r="FD296" s="84"/>
      <c r="FE296" s="84"/>
      <c r="FF296" s="140"/>
      <c r="FG296" s="83"/>
      <c r="FH296" s="83"/>
      <c r="FI296" s="83"/>
      <c r="FJ296" s="83"/>
      <c r="FK296" s="83"/>
      <c r="FL296" s="83">
        <v>10000000</v>
      </c>
      <c r="FM296" s="83">
        <v>43828198</v>
      </c>
      <c r="FN296" s="83">
        <v>31556198</v>
      </c>
      <c r="FO296" s="83">
        <v>25806198</v>
      </c>
      <c r="FP296" s="83"/>
      <c r="FQ296" s="83"/>
      <c r="FR296" s="83"/>
      <c r="FS296" s="83"/>
      <c r="FT296" s="83"/>
      <c r="FU296" s="83"/>
      <c r="FV296" s="83"/>
      <c r="FW296" s="83"/>
      <c r="FX296" s="83"/>
      <c r="FY296" s="83"/>
      <c r="FZ296" s="83"/>
      <c r="GA296" s="83"/>
      <c r="GB296" s="83"/>
      <c r="GC296" s="83"/>
      <c r="GD296" s="83"/>
      <c r="GE296" s="83"/>
      <c r="GF296" s="83"/>
      <c r="GG296" s="83"/>
      <c r="GH296" s="83"/>
      <c r="GI296" s="83"/>
      <c r="GJ296" s="83"/>
      <c r="GK296" s="83"/>
      <c r="GL296" s="83"/>
      <c r="GM296" s="83"/>
      <c r="GN296" s="83"/>
      <c r="GO296" s="83"/>
      <c r="GP296" s="83"/>
      <c r="GQ296" s="83"/>
      <c r="GR296" s="83"/>
      <c r="GS296" s="83"/>
      <c r="GT296" s="83"/>
      <c r="GU296" s="81">
        <f>FB296+FG296+FL296+FQ296+FV296+GA296+GF296+GK296+GP296</f>
        <v>10000000</v>
      </c>
      <c r="GV296" s="81">
        <f t="shared" ref="GV296:GY299" si="651">GQ296+GL296+GG296+GB296+FW296+FR296+FM296+FH296+FC296</f>
        <v>43828198</v>
      </c>
      <c r="GW296" s="81">
        <f t="shared" si="651"/>
        <v>31556198</v>
      </c>
      <c r="GX296" s="81">
        <f t="shared" si="651"/>
        <v>25806198</v>
      </c>
      <c r="GY296" s="673">
        <f t="shared" si="651"/>
        <v>0</v>
      </c>
      <c r="GZ296" s="67">
        <f>BM296+DE296+EW296+GU296</f>
        <v>50000000</v>
      </c>
    </row>
    <row r="297" spans="1:208" ht="75" customHeight="1" x14ac:dyDescent="0.2">
      <c r="A297" s="326"/>
      <c r="B297" s="326"/>
      <c r="C297" s="279"/>
      <c r="D297" s="722"/>
      <c r="E297" s="340"/>
      <c r="F297" s="340"/>
      <c r="G297" s="265">
        <v>199</v>
      </c>
      <c r="H297" s="358" t="s">
        <v>698</v>
      </c>
      <c r="I297" s="258" t="s">
        <v>699</v>
      </c>
      <c r="J297" s="262" t="s">
        <v>636</v>
      </c>
      <c r="K297" s="262">
        <v>14</v>
      </c>
      <c r="L297" s="262" t="s">
        <v>73</v>
      </c>
      <c r="M297" s="265">
        <v>0</v>
      </c>
      <c r="N297" s="265">
        <v>12</v>
      </c>
      <c r="O297" s="265">
        <v>0</v>
      </c>
      <c r="P297" s="266"/>
      <c r="Q297" s="529">
        <v>4</v>
      </c>
      <c r="R297" s="268"/>
      <c r="S297" s="266">
        <v>4</v>
      </c>
      <c r="T297" s="265">
        <v>4</v>
      </c>
      <c r="U297" s="265"/>
      <c r="V297" s="266">
        <v>4</v>
      </c>
      <c r="W297" s="265">
        <v>4</v>
      </c>
      <c r="X297" s="262"/>
      <c r="Y297" s="283">
        <v>2</v>
      </c>
      <c r="Z297" s="371">
        <f>BM297/$BM$295</f>
        <v>0</v>
      </c>
      <c r="AA297" s="265">
        <v>10</v>
      </c>
      <c r="AB297" s="262" t="s">
        <v>389</v>
      </c>
      <c r="AC297" s="53"/>
      <c r="AD297" s="54"/>
      <c r="AE297" s="54"/>
      <c r="AF297" s="54"/>
      <c r="AG297" s="53"/>
      <c r="AH297" s="54"/>
      <c r="AI297" s="54"/>
      <c r="AJ297" s="54"/>
      <c r="AK297" s="53"/>
      <c r="AL297" s="54"/>
      <c r="AM297" s="54"/>
      <c r="AN297" s="54"/>
      <c r="AO297" s="53"/>
      <c r="AP297" s="54"/>
      <c r="AQ297" s="54"/>
      <c r="AR297" s="54"/>
      <c r="AS297" s="53"/>
      <c r="AT297" s="54"/>
      <c r="AU297" s="54"/>
      <c r="AV297" s="54"/>
      <c r="AW297" s="53"/>
      <c r="AX297" s="54"/>
      <c r="AY297" s="54"/>
      <c r="AZ297" s="54"/>
      <c r="BA297" s="53"/>
      <c r="BB297" s="54"/>
      <c r="BC297" s="54"/>
      <c r="BD297" s="54"/>
      <c r="BE297" s="53"/>
      <c r="BF297" s="54"/>
      <c r="BG297" s="54"/>
      <c r="BH297" s="54"/>
      <c r="BI297" s="53"/>
      <c r="BJ297" s="54"/>
      <c r="BK297" s="54"/>
      <c r="BL297" s="54"/>
      <c r="BM297" s="53">
        <f>+AC297+AG297+AK297+AO297+AS297+AW297+BA297+BE297+BI297</f>
        <v>0</v>
      </c>
      <c r="BN297" s="54">
        <f t="shared" si="647"/>
        <v>0</v>
      </c>
      <c r="BO297" s="54">
        <f t="shared" si="647"/>
        <v>0</v>
      </c>
      <c r="BP297" s="54">
        <f t="shared" si="647"/>
        <v>0</v>
      </c>
      <c r="BQ297" s="83"/>
      <c r="BR297" s="83"/>
      <c r="BS297" s="83"/>
      <c r="BT297" s="83"/>
      <c r="BU297" s="83"/>
      <c r="BV297" s="83"/>
      <c r="BW297" s="83"/>
      <c r="BX297" s="83"/>
      <c r="BY297" s="83"/>
      <c r="BZ297" s="83">
        <v>10000000</v>
      </c>
      <c r="CA297" s="83">
        <v>10000000</v>
      </c>
      <c r="CB297" s="83">
        <v>10000000</v>
      </c>
      <c r="CC297" s="83">
        <v>10000000</v>
      </c>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1">
        <f t="shared" si="648"/>
        <v>10000000</v>
      </c>
      <c r="DF297" s="95">
        <f t="shared" si="648"/>
        <v>10000000</v>
      </c>
      <c r="DG297" s="95">
        <f t="shared" si="648"/>
        <v>10000000</v>
      </c>
      <c r="DH297" s="95">
        <f t="shared" si="648"/>
        <v>10000000</v>
      </c>
      <c r="DI297" s="95"/>
      <c r="DJ297" s="83"/>
      <c r="DK297" s="82"/>
      <c r="DL297" s="83"/>
      <c r="DM297" s="83"/>
      <c r="DN297" s="83"/>
      <c r="DO297" s="83">
        <v>24300000</v>
      </c>
      <c r="DP297" s="83">
        <v>24300000</v>
      </c>
      <c r="DQ297" s="83">
        <v>24300000</v>
      </c>
      <c r="DR297" s="83"/>
      <c r="DS297" s="83">
        <v>10000000</v>
      </c>
      <c r="DT297" s="83">
        <v>37000000</v>
      </c>
      <c r="DU297" s="83">
        <v>37000000</v>
      </c>
      <c r="DV297" s="83">
        <v>37000000</v>
      </c>
      <c r="DW297" s="83"/>
      <c r="DX297" s="83"/>
      <c r="DY297" s="83"/>
      <c r="DZ297" s="83"/>
      <c r="EA297" s="83"/>
      <c r="EB297" s="83"/>
      <c r="EC297" s="83"/>
      <c r="ED297" s="83"/>
      <c r="EE297" s="83"/>
      <c r="EF297" s="83"/>
      <c r="EG297" s="83"/>
      <c r="EH297" s="83"/>
      <c r="EI297" s="83"/>
      <c r="EJ297" s="83"/>
      <c r="EK297" s="83"/>
      <c r="EL297" s="83"/>
      <c r="EM297" s="83"/>
      <c r="EN297" s="83"/>
      <c r="EO297" s="83"/>
      <c r="EP297" s="83"/>
      <c r="EQ297" s="83"/>
      <c r="ER297" s="83"/>
      <c r="ES297" s="83"/>
      <c r="ET297" s="83"/>
      <c r="EU297" s="83"/>
      <c r="EV297" s="83"/>
      <c r="EW297" s="81">
        <f t="shared" si="649"/>
        <v>10000000</v>
      </c>
      <c r="EX297" s="86">
        <f t="shared" si="649"/>
        <v>61300000</v>
      </c>
      <c r="EY297" s="86">
        <f t="shared" si="650"/>
        <v>61300000</v>
      </c>
      <c r="EZ297" s="86">
        <f t="shared" si="650"/>
        <v>61300000</v>
      </c>
      <c r="FA297" s="176"/>
      <c r="FB297" s="83"/>
      <c r="FC297" s="84"/>
      <c r="FD297" s="84"/>
      <c r="FE297" s="84"/>
      <c r="FF297" s="140"/>
      <c r="FG297" s="83"/>
      <c r="FH297" s="83"/>
      <c r="FI297" s="83"/>
      <c r="FJ297" s="83"/>
      <c r="FK297" s="83"/>
      <c r="FL297" s="83">
        <v>10000000</v>
      </c>
      <c r="FM297" s="83">
        <v>40000000</v>
      </c>
      <c r="FN297" s="83">
        <v>20695868</v>
      </c>
      <c r="FO297" s="83">
        <v>9168802</v>
      </c>
      <c r="FP297" s="83"/>
      <c r="FQ297" s="83"/>
      <c r="FR297" s="83"/>
      <c r="FS297" s="83"/>
      <c r="FT297" s="83"/>
      <c r="FU297" s="83"/>
      <c r="FV297" s="83"/>
      <c r="FW297" s="83"/>
      <c r="FX297" s="83"/>
      <c r="FY297" s="83"/>
      <c r="FZ297" s="83"/>
      <c r="GA297" s="83"/>
      <c r="GB297" s="83"/>
      <c r="GC297" s="83"/>
      <c r="GD297" s="83"/>
      <c r="GE297" s="83"/>
      <c r="GF297" s="83"/>
      <c r="GG297" s="83"/>
      <c r="GH297" s="83"/>
      <c r="GI297" s="83"/>
      <c r="GJ297" s="83"/>
      <c r="GK297" s="83"/>
      <c r="GL297" s="83"/>
      <c r="GM297" s="83"/>
      <c r="GN297" s="83"/>
      <c r="GO297" s="83"/>
      <c r="GP297" s="83"/>
      <c r="GQ297" s="83"/>
      <c r="GR297" s="83"/>
      <c r="GS297" s="83"/>
      <c r="GT297" s="83"/>
      <c r="GU297" s="81">
        <f>FB297+FG297+FL297+FQ297+FV297+GA297+GF297+GK297+GP297</f>
        <v>10000000</v>
      </c>
      <c r="GV297" s="81">
        <f t="shared" si="651"/>
        <v>40000000</v>
      </c>
      <c r="GW297" s="81">
        <f t="shared" si="651"/>
        <v>20695868</v>
      </c>
      <c r="GX297" s="81">
        <f t="shared" si="651"/>
        <v>9168802</v>
      </c>
      <c r="GY297" s="673">
        <f t="shared" si="651"/>
        <v>0</v>
      </c>
      <c r="GZ297" s="67">
        <f>BM297+DE297+EW297+GU297</f>
        <v>30000000</v>
      </c>
    </row>
    <row r="298" spans="1:208" ht="71.25" customHeight="1" x14ac:dyDescent="0.2">
      <c r="A298" s="326"/>
      <c r="B298" s="326"/>
      <c r="C298" s="279"/>
      <c r="D298" s="722"/>
      <c r="E298" s="340"/>
      <c r="F298" s="340"/>
      <c r="G298" s="265">
        <v>200</v>
      </c>
      <c r="H298" s="358" t="s">
        <v>977</v>
      </c>
      <c r="I298" s="258" t="s">
        <v>700</v>
      </c>
      <c r="J298" s="262" t="s">
        <v>636</v>
      </c>
      <c r="K298" s="262">
        <v>14</v>
      </c>
      <c r="L298" s="263" t="s">
        <v>58</v>
      </c>
      <c r="M298" s="264">
        <v>12</v>
      </c>
      <c r="N298" s="264">
        <v>12</v>
      </c>
      <c r="O298" s="265">
        <v>12</v>
      </c>
      <c r="P298" s="266">
        <v>20</v>
      </c>
      <c r="Q298" s="474">
        <v>12</v>
      </c>
      <c r="R298" s="268"/>
      <c r="S298" s="270">
        <v>12</v>
      </c>
      <c r="T298" s="264">
        <v>12</v>
      </c>
      <c r="U298" s="264"/>
      <c r="V298" s="270">
        <v>12</v>
      </c>
      <c r="W298" s="264">
        <v>12</v>
      </c>
      <c r="X298" s="263"/>
      <c r="Y298" s="271">
        <v>12</v>
      </c>
      <c r="Z298" s="371">
        <f>BM298/$BM$295</f>
        <v>0.29816254312726032</v>
      </c>
      <c r="AA298" s="265">
        <v>3</v>
      </c>
      <c r="AB298" s="262" t="s">
        <v>455</v>
      </c>
      <c r="AC298" s="60"/>
      <c r="AD298" s="59"/>
      <c r="AE298" s="59"/>
      <c r="AF298" s="59"/>
      <c r="AG298" s="57">
        <v>973614828.89999998</v>
      </c>
      <c r="AH298" s="55">
        <v>974267272.89999998</v>
      </c>
      <c r="AI298" s="55">
        <v>789457652</v>
      </c>
      <c r="AJ298" s="58">
        <v>789457652</v>
      </c>
      <c r="AK298" s="60"/>
      <c r="AL298" s="59"/>
      <c r="AM298" s="59"/>
      <c r="AN298" s="59"/>
      <c r="AO298" s="60"/>
      <c r="AP298" s="59"/>
      <c r="AQ298" s="59"/>
      <c r="AR298" s="59"/>
      <c r="AS298" s="60"/>
      <c r="AT298" s="59"/>
      <c r="AU298" s="59"/>
      <c r="AV298" s="59"/>
      <c r="AW298" s="60"/>
      <c r="AX298" s="59"/>
      <c r="AY298" s="59"/>
      <c r="AZ298" s="59"/>
      <c r="BA298" s="60"/>
      <c r="BB298" s="59"/>
      <c r="BC298" s="59"/>
      <c r="BD298" s="59"/>
      <c r="BE298" s="60"/>
      <c r="BF298" s="59"/>
      <c r="BG298" s="59"/>
      <c r="BH298" s="59"/>
      <c r="BI298" s="60"/>
      <c r="BJ298" s="59"/>
      <c r="BK298" s="59"/>
      <c r="BL298" s="59"/>
      <c r="BM298" s="53">
        <f>+AC298+AG298+AK298+AO298+AS298+AW298+BA298+BE298+BI298</f>
        <v>973614828.89999998</v>
      </c>
      <c r="BN298" s="54">
        <f t="shared" si="647"/>
        <v>974267272.89999998</v>
      </c>
      <c r="BO298" s="54">
        <f t="shared" si="647"/>
        <v>789457652</v>
      </c>
      <c r="BP298" s="54">
        <f t="shared" si="647"/>
        <v>789457652</v>
      </c>
      <c r="BQ298" s="83"/>
      <c r="BR298" s="83"/>
      <c r="BS298" s="83"/>
      <c r="BT298" s="83"/>
      <c r="BU298" s="83">
        <f>2537920000*0.3</f>
        <v>761376000</v>
      </c>
      <c r="BV298" s="83">
        <v>392182142</v>
      </c>
      <c r="BW298" s="82">
        <v>392182142</v>
      </c>
      <c r="BX298" s="82">
        <v>392182142</v>
      </c>
      <c r="BY298" s="82"/>
      <c r="BZ298" s="83"/>
      <c r="CA298" s="83">
        <v>839618392.88999999</v>
      </c>
      <c r="CB298" s="83">
        <v>794116703.99699998</v>
      </c>
      <c r="CC298" s="83">
        <v>794116703.99699998</v>
      </c>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1">
        <f t="shared" si="648"/>
        <v>761376000</v>
      </c>
      <c r="DF298" s="95">
        <f t="shared" si="648"/>
        <v>1231800534.8899999</v>
      </c>
      <c r="DG298" s="95">
        <f t="shared" si="648"/>
        <v>1186298845.997</v>
      </c>
      <c r="DH298" s="95">
        <f t="shared" si="648"/>
        <v>1186298845.997</v>
      </c>
      <c r="DI298" s="95"/>
      <c r="DJ298" s="83"/>
      <c r="DK298" s="82"/>
      <c r="DL298" s="83"/>
      <c r="DM298" s="83"/>
      <c r="DN298" s="83">
        <f>2614057600*0.3</f>
        <v>784217280</v>
      </c>
      <c r="DO298" s="83">
        <v>70461905.400000006</v>
      </c>
      <c r="DP298" s="83">
        <v>70461905.400000006</v>
      </c>
      <c r="DQ298" s="83">
        <v>70461905.400000006</v>
      </c>
      <c r="DR298" s="83"/>
      <c r="DS298" s="83"/>
      <c r="DT298" s="83">
        <v>1059360000</v>
      </c>
      <c r="DU298" s="83">
        <v>1013906020</v>
      </c>
      <c r="DV298" s="83">
        <v>1013906020</v>
      </c>
      <c r="DW298" s="83"/>
      <c r="DX298" s="83"/>
      <c r="DY298" s="83"/>
      <c r="DZ298" s="83"/>
      <c r="EA298" s="83"/>
      <c r="EB298" s="83"/>
      <c r="EC298" s="83"/>
      <c r="ED298" s="83"/>
      <c r="EE298" s="83"/>
      <c r="EF298" s="83"/>
      <c r="EG298" s="83"/>
      <c r="EH298" s="83"/>
      <c r="EI298" s="83"/>
      <c r="EJ298" s="83"/>
      <c r="EK298" s="83"/>
      <c r="EL298" s="83"/>
      <c r="EM298" s="83"/>
      <c r="EN298" s="83"/>
      <c r="EO298" s="83"/>
      <c r="EP298" s="83"/>
      <c r="EQ298" s="83"/>
      <c r="ER298" s="83"/>
      <c r="ES298" s="83"/>
      <c r="ET298" s="83"/>
      <c r="EU298" s="83"/>
      <c r="EV298" s="83"/>
      <c r="EW298" s="81">
        <f t="shared" si="649"/>
        <v>784217280</v>
      </c>
      <c r="EX298" s="86">
        <f t="shared" si="649"/>
        <v>1129821905.4000001</v>
      </c>
      <c r="EY298" s="86">
        <f t="shared" si="650"/>
        <v>1084367925.4000001</v>
      </c>
      <c r="EZ298" s="86">
        <f t="shared" si="650"/>
        <v>1084367925.4000001</v>
      </c>
      <c r="FA298" s="176"/>
      <c r="FB298" s="83"/>
      <c r="FC298" s="84"/>
      <c r="FD298" s="84"/>
      <c r="FE298" s="84"/>
      <c r="FF298" s="140"/>
      <c r="FG298" s="83">
        <v>807743798.39999998</v>
      </c>
      <c r="FH298" s="83">
        <v>56086989</v>
      </c>
      <c r="FI298" s="83">
        <v>56086989</v>
      </c>
      <c r="FJ298" s="83">
        <v>56086989</v>
      </c>
      <c r="FK298" s="83"/>
      <c r="FL298" s="83"/>
      <c r="FM298" s="83">
        <v>1111986335</v>
      </c>
      <c r="FN298" s="83">
        <v>368458656</v>
      </c>
      <c r="FO298" s="83">
        <v>368458656</v>
      </c>
      <c r="FP298" s="83"/>
      <c r="FQ298" s="83"/>
      <c r="FR298" s="83"/>
      <c r="FS298" s="83"/>
      <c r="FT298" s="83"/>
      <c r="FU298" s="83"/>
      <c r="FV298" s="83"/>
      <c r="FW298" s="83"/>
      <c r="FX298" s="83"/>
      <c r="FY298" s="83"/>
      <c r="FZ298" s="83"/>
      <c r="GA298" s="83"/>
      <c r="GB298" s="83"/>
      <c r="GC298" s="83"/>
      <c r="GD298" s="83"/>
      <c r="GE298" s="83"/>
      <c r="GF298" s="83"/>
      <c r="GG298" s="83"/>
      <c r="GH298" s="83"/>
      <c r="GI298" s="83"/>
      <c r="GJ298" s="83"/>
      <c r="GK298" s="83"/>
      <c r="GL298" s="83"/>
      <c r="GM298" s="83"/>
      <c r="GN298" s="83"/>
      <c r="GO298" s="83"/>
      <c r="GP298" s="83"/>
      <c r="GQ298" s="83"/>
      <c r="GR298" s="83"/>
      <c r="GS298" s="83"/>
      <c r="GT298" s="83"/>
      <c r="GU298" s="81">
        <f>FB298+FG298+FL298+FQ298+FV298+GA298+GF298+GK298+GP298</f>
        <v>807743798.39999998</v>
      </c>
      <c r="GV298" s="81">
        <f t="shared" si="651"/>
        <v>1168073324</v>
      </c>
      <c r="GW298" s="81">
        <f t="shared" si="651"/>
        <v>424545645</v>
      </c>
      <c r="GX298" s="81">
        <f t="shared" si="651"/>
        <v>424545645</v>
      </c>
      <c r="GY298" s="673">
        <f t="shared" si="651"/>
        <v>0</v>
      </c>
      <c r="GZ298" s="67">
        <f>BM298+DE298+EW298+GU298</f>
        <v>3326951907.3000002</v>
      </c>
    </row>
    <row r="299" spans="1:208" ht="71.25" customHeight="1" x14ac:dyDescent="0.2">
      <c r="A299" s="326"/>
      <c r="B299" s="372"/>
      <c r="C299" s="277"/>
      <c r="D299" s="723"/>
      <c r="E299" s="724"/>
      <c r="F299" s="724"/>
      <c r="G299" s="265">
        <v>201</v>
      </c>
      <c r="H299" s="358" t="s">
        <v>701</v>
      </c>
      <c r="I299" s="258" t="s">
        <v>702</v>
      </c>
      <c r="J299" s="262" t="s">
        <v>636</v>
      </c>
      <c r="K299" s="262">
        <v>14</v>
      </c>
      <c r="L299" s="263" t="s">
        <v>58</v>
      </c>
      <c r="M299" s="264">
        <v>14</v>
      </c>
      <c r="N299" s="264">
        <v>14</v>
      </c>
      <c r="O299" s="265">
        <v>14</v>
      </c>
      <c r="P299" s="266">
        <v>18</v>
      </c>
      <c r="Q299" s="474">
        <v>14</v>
      </c>
      <c r="R299" s="268"/>
      <c r="S299" s="270">
        <v>14</v>
      </c>
      <c r="T299" s="264">
        <v>14</v>
      </c>
      <c r="U299" s="264"/>
      <c r="V299" s="270">
        <v>14</v>
      </c>
      <c r="W299" s="264">
        <v>14</v>
      </c>
      <c r="X299" s="263"/>
      <c r="Y299" s="271">
        <v>14</v>
      </c>
      <c r="Z299" s="371">
        <f>BM299/$BM$295</f>
        <v>0.69571260063027407</v>
      </c>
      <c r="AA299" s="265">
        <v>3</v>
      </c>
      <c r="AB299" s="262" t="s">
        <v>455</v>
      </c>
      <c r="AC299" s="60"/>
      <c r="AD299" s="59"/>
      <c r="AE299" s="59"/>
      <c r="AF299" s="59"/>
      <c r="AG299" s="57">
        <v>2271767934.0999999</v>
      </c>
      <c r="AH299" s="55">
        <v>2273290302.0999999</v>
      </c>
      <c r="AI299" s="58">
        <v>1842067855</v>
      </c>
      <c r="AJ299" s="58">
        <v>1842067855</v>
      </c>
      <c r="AK299" s="60"/>
      <c r="AL299" s="59"/>
      <c r="AM299" s="59"/>
      <c r="AN299" s="59"/>
      <c r="AO299" s="60"/>
      <c r="AP299" s="59"/>
      <c r="AQ299" s="59"/>
      <c r="AR299" s="59"/>
      <c r="AS299" s="60"/>
      <c r="AT299" s="59"/>
      <c r="AU299" s="59"/>
      <c r="AV299" s="59"/>
      <c r="AW299" s="60"/>
      <c r="AX299" s="59"/>
      <c r="AY299" s="59"/>
      <c r="AZ299" s="59"/>
      <c r="BA299" s="60"/>
      <c r="BB299" s="59"/>
      <c r="BC299" s="59"/>
      <c r="BD299" s="59"/>
      <c r="BE299" s="60"/>
      <c r="BF299" s="59"/>
      <c r="BG299" s="59"/>
      <c r="BH299" s="59"/>
      <c r="BI299" s="60"/>
      <c r="BJ299" s="59"/>
      <c r="BK299" s="59"/>
      <c r="BL299" s="59"/>
      <c r="BM299" s="53">
        <f>+AC299+AG299+AK299+AO299+AS299+AW299+BA299+BE299+BI299</f>
        <v>2271767934.0999999</v>
      </c>
      <c r="BN299" s="54">
        <f t="shared" si="647"/>
        <v>2273290302.0999999</v>
      </c>
      <c r="BO299" s="54">
        <f t="shared" si="647"/>
        <v>1842067855</v>
      </c>
      <c r="BP299" s="54">
        <f t="shared" si="647"/>
        <v>1842067855</v>
      </c>
      <c r="BQ299" s="83"/>
      <c r="BR299" s="83"/>
      <c r="BS299" s="83"/>
      <c r="BT299" s="83"/>
      <c r="BU299" s="83">
        <f>2537920000*0.7</f>
        <v>1776544000</v>
      </c>
      <c r="BV299" s="83">
        <v>915091664</v>
      </c>
      <c r="BW299" s="82">
        <v>915091664</v>
      </c>
      <c r="BX299" s="82">
        <v>915091664</v>
      </c>
      <c r="BY299" s="82"/>
      <c r="BZ299" s="83"/>
      <c r="CA299" s="83">
        <v>1959109583.4000001</v>
      </c>
      <c r="CB299" s="83">
        <v>1852938975.9929998</v>
      </c>
      <c r="CC299" s="83">
        <v>1852938975.9929998</v>
      </c>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1">
        <f t="shared" si="648"/>
        <v>1776544000</v>
      </c>
      <c r="DF299" s="95">
        <f t="shared" si="648"/>
        <v>2874201247.4000001</v>
      </c>
      <c r="DG299" s="95">
        <f t="shared" si="648"/>
        <v>2768030639.993</v>
      </c>
      <c r="DH299" s="95">
        <f t="shared" si="648"/>
        <v>2768030639.993</v>
      </c>
      <c r="DI299" s="95"/>
      <c r="DJ299" s="83"/>
      <c r="DK299" s="82"/>
      <c r="DL299" s="83"/>
      <c r="DM299" s="83"/>
      <c r="DN299" s="83">
        <f>2614057600*0.7</f>
        <v>1829840320</v>
      </c>
      <c r="DO299" s="83">
        <v>195867186.59999999</v>
      </c>
      <c r="DP299" s="83">
        <v>195867186.59999999</v>
      </c>
      <c r="DQ299" s="83">
        <v>195867186.59999999</v>
      </c>
      <c r="DR299" s="83"/>
      <c r="DS299" s="83"/>
      <c r="DT299" s="83">
        <v>2559741586</v>
      </c>
      <c r="DU299" s="83">
        <v>2453682299</v>
      </c>
      <c r="DV299" s="83">
        <v>2453682299</v>
      </c>
      <c r="DW299" s="83"/>
      <c r="DX299" s="83"/>
      <c r="DY299" s="83"/>
      <c r="DZ299" s="83"/>
      <c r="EA299" s="83"/>
      <c r="EB299" s="83"/>
      <c r="EC299" s="83"/>
      <c r="ED299" s="83"/>
      <c r="EE299" s="83"/>
      <c r="EF299" s="83"/>
      <c r="EG299" s="83"/>
      <c r="EH299" s="83"/>
      <c r="EI299" s="83"/>
      <c r="EJ299" s="83"/>
      <c r="EK299" s="83"/>
      <c r="EL299" s="83"/>
      <c r="EM299" s="83"/>
      <c r="EN299" s="83"/>
      <c r="EO299" s="83"/>
      <c r="EP299" s="83"/>
      <c r="EQ299" s="83"/>
      <c r="ER299" s="83"/>
      <c r="ES299" s="83"/>
      <c r="ET299" s="83"/>
      <c r="EU299" s="83"/>
      <c r="EV299" s="83"/>
      <c r="EW299" s="81">
        <f t="shared" si="649"/>
        <v>1829840320</v>
      </c>
      <c r="EX299" s="86">
        <f t="shared" si="649"/>
        <v>2755608772.5999999</v>
      </c>
      <c r="EY299" s="86">
        <f t="shared" si="650"/>
        <v>2649549485.5999999</v>
      </c>
      <c r="EZ299" s="86">
        <f t="shared" si="650"/>
        <v>2649549485.5999999</v>
      </c>
      <c r="FA299" s="86"/>
      <c r="FB299" s="76"/>
      <c r="FC299" s="77"/>
      <c r="FD299" s="77"/>
      <c r="FE299" s="77"/>
      <c r="FF299" s="180"/>
      <c r="FG299" s="83">
        <v>1884735529.5999999</v>
      </c>
      <c r="FH299" s="83">
        <v>130869640</v>
      </c>
      <c r="FI299" s="83">
        <v>130869640</v>
      </c>
      <c r="FJ299" s="83">
        <v>130869640</v>
      </c>
      <c r="FK299" s="83"/>
      <c r="FL299" s="83"/>
      <c r="FM299" s="83">
        <v>2594634781</v>
      </c>
      <c r="FN299" s="83">
        <v>859736864</v>
      </c>
      <c r="FO299" s="83">
        <v>859736864</v>
      </c>
      <c r="FP299" s="83"/>
      <c r="FQ299" s="83"/>
      <c r="FR299" s="83"/>
      <c r="FS299" s="83"/>
      <c r="FT299" s="83"/>
      <c r="FU299" s="83"/>
      <c r="FV299" s="83"/>
      <c r="FW299" s="83"/>
      <c r="FX299" s="83"/>
      <c r="FY299" s="83"/>
      <c r="FZ299" s="83"/>
      <c r="GA299" s="83"/>
      <c r="GB299" s="83"/>
      <c r="GC299" s="83"/>
      <c r="GD299" s="83"/>
      <c r="GE299" s="83"/>
      <c r="GF299" s="83"/>
      <c r="GG299" s="83"/>
      <c r="GH299" s="83"/>
      <c r="GI299" s="83"/>
      <c r="GJ299" s="83"/>
      <c r="GK299" s="83"/>
      <c r="GL299" s="83"/>
      <c r="GM299" s="83"/>
      <c r="GN299" s="83"/>
      <c r="GO299" s="83"/>
      <c r="GP299" s="83"/>
      <c r="GQ299" s="83"/>
      <c r="GR299" s="83"/>
      <c r="GS299" s="83"/>
      <c r="GT299" s="83"/>
      <c r="GU299" s="81">
        <f>FB299+FG299+FL299+FQ299+FV299+GA299+GF299+GK299+GP299</f>
        <v>1884735529.5999999</v>
      </c>
      <c r="GV299" s="81">
        <f t="shared" si="651"/>
        <v>2725504421</v>
      </c>
      <c r="GW299" s="81">
        <f t="shared" si="651"/>
        <v>990606504</v>
      </c>
      <c r="GX299" s="81">
        <f t="shared" si="651"/>
        <v>990606504</v>
      </c>
      <c r="GY299" s="673">
        <f t="shared" si="651"/>
        <v>0</v>
      </c>
      <c r="GZ299" s="67">
        <f>BM299+DE299+EW299+GU299</f>
        <v>7762887783.7000008</v>
      </c>
    </row>
    <row r="300" spans="1:208" ht="24.75" customHeight="1" x14ac:dyDescent="0.2">
      <c r="A300" s="326"/>
      <c r="B300" s="234">
        <v>20</v>
      </c>
      <c r="C300" s="324" t="s">
        <v>703</v>
      </c>
      <c r="D300" s="236"/>
      <c r="E300" s="237"/>
      <c r="F300" s="237"/>
      <c r="G300" s="238"/>
      <c r="H300" s="238"/>
      <c r="I300" s="238"/>
      <c r="J300" s="238"/>
      <c r="K300" s="238"/>
      <c r="L300" s="238"/>
      <c r="M300" s="238"/>
      <c r="N300" s="238"/>
      <c r="O300" s="238"/>
      <c r="P300" s="238"/>
      <c r="Q300" s="238"/>
      <c r="R300" s="238"/>
      <c r="S300" s="238"/>
      <c r="T300" s="238"/>
      <c r="U300" s="238"/>
      <c r="V300" s="238"/>
      <c r="W300" s="238"/>
      <c r="X300" s="238"/>
      <c r="Y300" s="241"/>
      <c r="Z300" s="238"/>
      <c r="AA300" s="238"/>
      <c r="AB300" s="238"/>
      <c r="AC300" s="50">
        <f t="shared" ref="AC300:CN300" si="652">AC301+AC304+AC306+AC308</f>
        <v>0</v>
      </c>
      <c r="AD300" s="50">
        <f t="shared" si="652"/>
        <v>0</v>
      </c>
      <c r="AE300" s="50">
        <f t="shared" si="652"/>
        <v>0</v>
      </c>
      <c r="AF300" s="50">
        <f t="shared" si="652"/>
        <v>0</v>
      </c>
      <c r="AG300" s="50">
        <f t="shared" si="652"/>
        <v>382966448</v>
      </c>
      <c r="AH300" s="50">
        <f t="shared" si="652"/>
        <v>315032885</v>
      </c>
      <c r="AI300" s="50">
        <f t="shared" si="652"/>
        <v>216955584</v>
      </c>
      <c r="AJ300" s="50">
        <f t="shared" si="652"/>
        <v>216955584</v>
      </c>
      <c r="AK300" s="50">
        <f t="shared" si="652"/>
        <v>360787151.63999999</v>
      </c>
      <c r="AL300" s="50">
        <f t="shared" si="652"/>
        <v>454846986.63999999</v>
      </c>
      <c r="AM300" s="50">
        <f t="shared" si="652"/>
        <v>383634801</v>
      </c>
      <c r="AN300" s="50">
        <f t="shared" si="652"/>
        <v>383634801</v>
      </c>
      <c r="AO300" s="50">
        <f t="shared" si="652"/>
        <v>0</v>
      </c>
      <c r="AP300" s="50">
        <f t="shared" si="652"/>
        <v>0</v>
      </c>
      <c r="AQ300" s="50">
        <f t="shared" si="652"/>
        <v>0</v>
      </c>
      <c r="AR300" s="50">
        <f t="shared" si="652"/>
        <v>0</v>
      </c>
      <c r="AS300" s="50">
        <f t="shared" si="652"/>
        <v>0</v>
      </c>
      <c r="AT300" s="50">
        <f t="shared" si="652"/>
        <v>0</v>
      </c>
      <c r="AU300" s="50">
        <f t="shared" si="652"/>
        <v>0</v>
      </c>
      <c r="AV300" s="50">
        <f t="shared" si="652"/>
        <v>0</v>
      </c>
      <c r="AW300" s="50">
        <f t="shared" si="652"/>
        <v>0</v>
      </c>
      <c r="AX300" s="50">
        <f t="shared" si="652"/>
        <v>0</v>
      </c>
      <c r="AY300" s="50">
        <f t="shared" si="652"/>
        <v>0</v>
      </c>
      <c r="AZ300" s="50">
        <f t="shared" si="652"/>
        <v>0</v>
      </c>
      <c r="BA300" s="50">
        <f t="shared" si="652"/>
        <v>0</v>
      </c>
      <c r="BB300" s="50">
        <f t="shared" si="652"/>
        <v>0</v>
      </c>
      <c r="BC300" s="50">
        <f t="shared" si="652"/>
        <v>0</v>
      </c>
      <c r="BD300" s="50">
        <f t="shared" si="652"/>
        <v>0</v>
      </c>
      <c r="BE300" s="50">
        <f t="shared" si="652"/>
        <v>0</v>
      </c>
      <c r="BF300" s="50">
        <f t="shared" si="652"/>
        <v>0</v>
      </c>
      <c r="BG300" s="50">
        <f t="shared" si="652"/>
        <v>0</v>
      </c>
      <c r="BH300" s="50">
        <f t="shared" si="652"/>
        <v>0</v>
      </c>
      <c r="BI300" s="50">
        <f t="shared" si="652"/>
        <v>0</v>
      </c>
      <c r="BJ300" s="50">
        <f t="shared" si="652"/>
        <v>0</v>
      </c>
      <c r="BK300" s="50">
        <f t="shared" si="652"/>
        <v>0</v>
      </c>
      <c r="BL300" s="50">
        <f t="shared" si="652"/>
        <v>0</v>
      </c>
      <c r="BM300" s="50">
        <f t="shared" si="652"/>
        <v>743753599.63999999</v>
      </c>
      <c r="BN300" s="50">
        <f t="shared" si="652"/>
        <v>769879871.63999999</v>
      </c>
      <c r="BO300" s="50">
        <f t="shared" si="652"/>
        <v>600590385</v>
      </c>
      <c r="BP300" s="50">
        <f t="shared" si="652"/>
        <v>600590385</v>
      </c>
      <c r="BQ300" s="50">
        <f t="shared" si="652"/>
        <v>0</v>
      </c>
      <c r="BR300" s="50">
        <f t="shared" si="652"/>
        <v>0</v>
      </c>
      <c r="BS300" s="50">
        <f t="shared" si="652"/>
        <v>0</v>
      </c>
      <c r="BT300" s="50">
        <f t="shared" si="652"/>
        <v>0</v>
      </c>
      <c r="BU300" s="50">
        <f t="shared" si="652"/>
        <v>394455441.44</v>
      </c>
      <c r="BV300" s="50">
        <f t="shared" si="652"/>
        <v>1915638293.8099999</v>
      </c>
      <c r="BW300" s="50">
        <f t="shared" si="652"/>
        <v>1806759026</v>
      </c>
      <c r="BX300" s="50">
        <f t="shared" si="652"/>
        <v>1800234385.8099999</v>
      </c>
      <c r="BY300" s="50">
        <f t="shared" si="652"/>
        <v>0</v>
      </c>
      <c r="BZ300" s="50">
        <f t="shared" si="652"/>
        <v>371610766.18919998</v>
      </c>
      <c r="CA300" s="50">
        <f t="shared" si="652"/>
        <v>0</v>
      </c>
      <c r="CB300" s="50">
        <f t="shared" si="652"/>
        <v>0</v>
      </c>
      <c r="CC300" s="50">
        <f t="shared" si="652"/>
        <v>0</v>
      </c>
      <c r="CD300" s="50">
        <f t="shared" si="652"/>
        <v>0</v>
      </c>
      <c r="CE300" s="50">
        <f t="shared" si="652"/>
        <v>0</v>
      </c>
      <c r="CF300" s="50">
        <f t="shared" si="652"/>
        <v>0</v>
      </c>
      <c r="CG300" s="50">
        <f t="shared" si="652"/>
        <v>0</v>
      </c>
      <c r="CH300" s="50">
        <f t="shared" si="652"/>
        <v>0</v>
      </c>
      <c r="CI300" s="50">
        <f t="shared" si="652"/>
        <v>0</v>
      </c>
      <c r="CJ300" s="50">
        <f t="shared" si="652"/>
        <v>0</v>
      </c>
      <c r="CK300" s="50">
        <f t="shared" si="652"/>
        <v>0</v>
      </c>
      <c r="CL300" s="50">
        <f t="shared" si="652"/>
        <v>0</v>
      </c>
      <c r="CM300" s="50">
        <f t="shared" si="652"/>
        <v>0</v>
      </c>
      <c r="CN300" s="50">
        <f t="shared" si="652"/>
        <v>0</v>
      </c>
      <c r="CO300" s="50">
        <f t="shared" ref="CO300:EV300" si="653">CO301+CO304+CO306+CO308</f>
        <v>0</v>
      </c>
      <c r="CP300" s="50">
        <f t="shared" si="653"/>
        <v>0</v>
      </c>
      <c r="CQ300" s="50">
        <f t="shared" si="653"/>
        <v>0</v>
      </c>
      <c r="CR300" s="50">
        <f t="shared" si="653"/>
        <v>0</v>
      </c>
      <c r="CS300" s="50">
        <f t="shared" si="653"/>
        <v>0</v>
      </c>
      <c r="CT300" s="50">
        <f t="shared" si="653"/>
        <v>0</v>
      </c>
      <c r="CU300" s="50">
        <f t="shared" si="653"/>
        <v>0</v>
      </c>
      <c r="CV300" s="50">
        <f t="shared" si="653"/>
        <v>0</v>
      </c>
      <c r="CW300" s="50">
        <f t="shared" si="653"/>
        <v>0</v>
      </c>
      <c r="CX300" s="50">
        <f t="shared" si="653"/>
        <v>0</v>
      </c>
      <c r="CY300" s="50">
        <f t="shared" si="653"/>
        <v>0</v>
      </c>
      <c r="CZ300" s="50">
        <f t="shared" si="653"/>
        <v>0</v>
      </c>
      <c r="DA300" s="50">
        <f t="shared" si="653"/>
        <v>0</v>
      </c>
      <c r="DB300" s="50">
        <f t="shared" si="653"/>
        <v>0</v>
      </c>
      <c r="DC300" s="50">
        <f t="shared" si="653"/>
        <v>0</v>
      </c>
      <c r="DD300" s="50">
        <f t="shared" si="653"/>
        <v>0</v>
      </c>
      <c r="DE300" s="50">
        <f t="shared" si="653"/>
        <v>766066207.62919998</v>
      </c>
      <c r="DF300" s="50">
        <f t="shared" si="653"/>
        <v>1915638293.8099999</v>
      </c>
      <c r="DG300" s="50">
        <f t="shared" si="653"/>
        <v>1806759026</v>
      </c>
      <c r="DH300" s="50">
        <f t="shared" si="653"/>
        <v>1800234385.8099999</v>
      </c>
      <c r="DI300" s="50">
        <f t="shared" si="653"/>
        <v>0</v>
      </c>
      <c r="DJ300" s="50">
        <f t="shared" si="653"/>
        <v>0</v>
      </c>
      <c r="DK300" s="50">
        <f t="shared" si="653"/>
        <v>0</v>
      </c>
      <c r="DL300" s="50">
        <f t="shared" si="653"/>
        <v>0</v>
      </c>
      <c r="DM300" s="50">
        <f t="shared" si="653"/>
        <v>0</v>
      </c>
      <c r="DN300" s="50">
        <f t="shared" si="653"/>
        <v>406289104.6832</v>
      </c>
      <c r="DO300" s="50">
        <f t="shared" si="653"/>
        <v>2788476573.4899998</v>
      </c>
      <c r="DP300" s="50">
        <f t="shared" si="653"/>
        <v>2348281503</v>
      </c>
      <c r="DQ300" s="50">
        <f t="shared" si="653"/>
        <v>2348281503</v>
      </c>
      <c r="DR300" s="50">
        <f t="shared" si="653"/>
        <v>0</v>
      </c>
      <c r="DS300" s="50">
        <f t="shared" si="653"/>
        <v>382759089.17487597</v>
      </c>
      <c r="DT300" s="50">
        <f t="shared" si="653"/>
        <v>0</v>
      </c>
      <c r="DU300" s="50">
        <f t="shared" si="653"/>
        <v>0</v>
      </c>
      <c r="DV300" s="50">
        <f t="shared" si="653"/>
        <v>0</v>
      </c>
      <c r="DW300" s="50">
        <f t="shared" si="653"/>
        <v>0</v>
      </c>
      <c r="DX300" s="50">
        <f t="shared" si="653"/>
        <v>0</v>
      </c>
      <c r="DY300" s="50">
        <f t="shared" si="653"/>
        <v>0</v>
      </c>
      <c r="DZ300" s="50">
        <f t="shared" si="653"/>
        <v>0</v>
      </c>
      <c r="EA300" s="50">
        <f t="shared" si="653"/>
        <v>0</v>
      </c>
      <c r="EB300" s="50">
        <f t="shared" si="653"/>
        <v>0</v>
      </c>
      <c r="EC300" s="50">
        <f t="shared" si="653"/>
        <v>0</v>
      </c>
      <c r="ED300" s="50">
        <f t="shared" si="653"/>
        <v>0</v>
      </c>
      <c r="EE300" s="50">
        <f t="shared" si="653"/>
        <v>0</v>
      </c>
      <c r="EF300" s="50">
        <f t="shared" si="653"/>
        <v>0</v>
      </c>
      <c r="EG300" s="50">
        <f t="shared" si="653"/>
        <v>0</v>
      </c>
      <c r="EH300" s="50">
        <f t="shared" si="653"/>
        <v>0</v>
      </c>
      <c r="EI300" s="50">
        <f t="shared" si="653"/>
        <v>0</v>
      </c>
      <c r="EJ300" s="50">
        <f t="shared" si="653"/>
        <v>0</v>
      </c>
      <c r="EK300" s="50">
        <f t="shared" si="653"/>
        <v>0</v>
      </c>
      <c r="EL300" s="50">
        <f t="shared" si="653"/>
        <v>0</v>
      </c>
      <c r="EM300" s="50">
        <f t="shared" si="653"/>
        <v>0</v>
      </c>
      <c r="EN300" s="50">
        <f t="shared" si="653"/>
        <v>0</v>
      </c>
      <c r="EO300" s="50">
        <f t="shared" si="653"/>
        <v>0</v>
      </c>
      <c r="EP300" s="50">
        <f t="shared" si="653"/>
        <v>0</v>
      </c>
      <c r="EQ300" s="50">
        <f t="shared" si="653"/>
        <v>0</v>
      </c>
      <c r="ER300" s="50">
        <f t="shared" si="653"/>
        <v>0</v>
      </c>
      <c r="ES300" s="50">
        <f t="shared" si="653"/>
        <v>0</v>
      </c>
      <c r="ET300" s="50">
        <f t="shared" si="653"/>
        <v>0</v>
      </c>
      <c r="EU300" s="50">
        <f t="shared" si="653"/>
        <v>0</v>
      </c>
      <c r="EV300" s="50">
        <f t="shared" si="653"/>
        <v>0</v>
      </c>
      <c r="EW300" s="50">
        <f t="shared" ref="EW300" si="654">EW301+EW304+EW306+EW308</f>
        <v>789048193.85807598</v>
      </c>
      <c r="EX300" s="50">
        <f t="shared" ref="EX300:GZ300" si="655">EX301+EX304+EX306+EX308</f>
        <v>2788476573.4899998</v>
      </c>
      <c r="EY300" s="50">
        <f t="shared" si="655"/>
        <v>2348281503</v>
      </c>
      <c r="EZ300" s="50">
        <f t="shared" si="655"/>
        <v>2348281503</v>
      </c>
      <c r="FA300" s="50">
        <f t="shared" si="655"/>
        <v>0</v>
      </c>
      <c r="FB300" s="50">
        <f t="shared" si="655"/>
        <v>0</v>
      </c>
      <c r="FC300" s="50">
        <f t="shared" si="655"/>
        <v>0</v>
      </c>
      <c r="FD300" s="50">
        <f t="shared" si="655"/>
        <v>0</v>
      </c>
      <c r="FE300" s="50">
        <f t="shared" si="655"/>
        <v>0</v>
      </c>
      <c r="FF300" s="50">
        <f t="shared" si="655"/>
        <v>0</v>
      </c>
      <c r="FG300" s="50">
        <f t="shared" si="655"/>
        <v>418477777.82369602</v>
      </c>
      <c r="FH300" s="50">
        <f t="shared" si="655"/>
        <v>3079312421.1400003</v>
      </c>
      <c r="FI300" s="50">
        <f t="shared" si="655"/>
        <v>1078806861.8</v>
      </c>
      <c r="FJ300" s="50">
        <f t="shared" si="655"/>
        <v>521390101.60000002</v>
      </c>
      <c r="FK300" s="50">
        <f t="shared" si="655"/>
        <v>0</v>
      </c>
      <c r="FL300" s="50">
        <f t="shared" si="655"/>
        <v>394241861.85012227</v>
      </c>
      <c r="FM300" s="50">
        <f t="shared" si="655"/>
        <v>0</v>
      </c>
      <c r="FN300" s="50">
        <f t="shared" si="655"/>
        <v>0</v>
      </c>
      <c r="FO300" s="50">
        <f t="shared" si="655"/>
        <v>0</v>
      </c>
      <c r="FP300" s="50">
        <f t="shared" si="655"/>
        <v>0</v>
      </c>
      <c r="FQ300" s="50">
        <f t="shared" si="655"/>
        <v>0</v>
      </c>
      <c r="FR300" s="50">
        <f t="shared" si="655"/>
        <v>0</v>
      </c>
      <c r="FS300" s="50">
        <f t="shared" si="655"/>
        <v>0</v>
      </c>
      <c r="FT300" s="50">
        <f t="shared" si="655"/>
        <v>0</v>
      </c>
      <c r="FU300" s="50">
        <f t="shared" si="655"/>
        <v>0</v>
      </c>
      <c r="FV300" s="50">
        <f t="shared" si="655"/>
        <v>0</v>
      </c>
      <c r="FW300" s="50">
        <f t="shared" si="655"/>
        <v>0</v>
      </c>
      <c r="FX300" s="50">
        <f t="shared" si="655"/>
        <v>0</v>
      </c>
      <c r="FY300" s="50">
        <f t="shared" si="655"/>
        <v>0</v>
      </c>
      <c r="FZ300" s="50">
        <f t="shared" si="655"/>
        <v>0</v>
      </c>
      <c r="GA300" s="50">
        <f t="shared" si="655"/>
        <v>0</v>
      </c>
      <c r="GB300" s="50">
        <f t="shared" si="655"/>
        <v>0</v>
      </c>
      <c r="GC300" s="50">
        <f t="shared" si="655"/>
        <v>0</v>
      </c>
      <c r="GD300" s="50">
        <f t="shared" si="655"/>
        <v>0</v>
      </c>
      <c r="GE300" s="50">
        <f t="shared" si="655"/>
        <v>0</v>
      </c>
      <c r="GF300" s="50">
        <f t="shared" si="655"/>
        <v>0</v>
      </c>
      <c r="GG300" s="50">
        <f t="shared" si="655"/>
        <v>0</v>
      </c>
      <c r="GH300" s="50">
        <f t="shared" si="655"/>
        <v>0</v>
      </c>
      <c r="GI300" s="50">
        <f t="shared" si="655"/>
        <v>0</v>
      </c>
      <c r="GJ300" s="50">
        <f t="shared" si="655"/>
        <v>0</v>
      </c>
      <c r="GK300" s="50">
        <f t="shared" si="655"/>
        <v>0</v>
      </c>
      <c r="GL300" s="50">
        <f t="shared" si="655"/>
        <v>0</v>
      </c>
      <c r="GM300" s="50">
        <f t="shared" si="655"/>
        <v>0</v>
      </c>
      <c r="GN300" s="50">
        <f t="shared" si="655"/>
        <v>0</v>
      </c>
      <c r="GO300" s="50">
        <f t="shared" si="655"/>
        <v>0</v>
      </c>
      <c r="GP300" s="50">
        <f t="shared" si="655"/>
        <v>0</v>
      </c>
      <c r="GQ300" s="50">
        <f t="shared" si="655"/>
        <v>0</v>
      </c>
      <c r="GR300" s="50">
        <f t="shared" si="655"/>
        <v>0</v>
      </c>
      <c r="GS300" s="50">
        <f t="shared" si="655"/>
        <v>0</v>
      </c>
      <c r="GT300" s="50">
        <f t="shared" si="655"/>
        <v>0</v>
      </c>
      <c r="GU300" s="50">
        <f t="shared" si="655"/>
        <v>812719639.67381835</v>
      </c>
      <c r="GV300" s="50">
        <f t="shared" si="655"/>
        <v>3079312421.1400003</v>
      </c>
      <c r="GW300" s="50">
        <f t="shared" si="655"/>
        <v>1078806861.8</v>
      </c>
      <c r="GX300" s="50">
        <f t="shared" si="655"/>
        <v>521390101.60000002</v>
      </c>
      <c r="GY300" s="50">
        <f t="shared" si="655"/>
        <v>0</v>
      </c>
      <c r="GZ300" s="50">
        <f t="shared" si="655"/>
        <v>3111587640.8010941</v>
      </c>
    </row>
    <row r="301" spans="1:208" ht="24.75" customHeight="1" x14ac:dyDescent="0.2">
      <c r="A301" s="326"/>
      <c r="B301" s="993"/>
      <c r="C301" s="246">
        <v>68</v>
      </c>
      <c r="D301" s="247" t="s">
        <v>704</v>
      </c>
      <c r="E301" s="295"/>
      <c r="F301" s="295"/>
      <c r="G301" s="249"/>
      <c r="H301" s="249"/>
      <c r="I301" s="249"/>
      <c r="J301" s="249"/>
      <c r="K301" s="249"/>
      <c r="L301" s="249"/>
      <c r="M301" s="249"/>
      <c r="N301" s="249"/>
      <c r="O301" s="249"/>
      <c r="P301" s="249"/>
      <c r="Q301" s="249"/>
      <c r="R301" s="249"/>
      <c r="S301" s="249"/>
      <c r="T301" s="249"/>
      <c r="U301" s="249"/>
      <c r="V301" s="249"/>
      <c r="W301" s="249"/>
      <c r="X301" s="249"/>
      <c r="Y301" s="296"/>
      <c r="Z301" s="249"/>
      <c r="AA301" s="249"/>
      <c r="AB301" s="249"/>
      <c r="AC301" s="186">
        <f t="shared" ref="AC301:BL301" si="656">SUM(AC302:AC303)</f>
        <v>0</v>
      </c>
      <c r="AD301" s="186">
        <f t="shared" si="656"/>
        <v>0</v>
      </c>
      <c r="AE301" s="186">
        <f t="shared" si="656"/>
        <v>0</v>
      </c>
      <c r="AF301" s="186">
        <f t="shared" si="656"/>
        <v>0</v>
      </c>
      <c r="AG301" s="186">
        <f t="shared" si="656"/>
        <v>382966448</v>
      </c>
      <c r="AH301" s="186">
        <f t="shared" si="656"/>
        <v>311043032</v>
      </c>
      <c r="AI301" s="186">
        <f t="shared" si="656"/>
        <v>216955584</v>
      </c>
      <c r="AJ301" s="186">
        <f t="shared" si="656"/>
        <v>216955584</v>
      </c>
      <c r="AK301" s="186">
        <f t="shared" si="656"/>
        <v>258910352</v>
      </c>
      <c r="AL301" s="186">
        <f t="shared" si="656"/>
        <v>238654472</v>
      </c>
      <c r="AM301" s="186">
        <f t="shared" si="656"/>
        <v>197186333</v>
      </c>
      <c r="AN301" s="186">
        <f t="shared" si="656"/>
        <v>197186333</v>
      </c>
      <c r="AO301" s="186">
        <f t="shared" si="656"/>
        <v>0</v>
      </c>
      <c r="AP301" s="186">
        <f t="shared" si="656"/>
        <v>0</v>
      </c>
      <c r="AQ301" s="186">
        <f t="shared" si="656"/>
        <v>0</v>
      </c>
      <c r="AR301" s="186">
        <f t="shared" si="656"/>
        <v>0</v>
      </c>
      <c r="AS301" s="186">
        <f t="shared" si="656"/>
        <v>0</v>
      </c>
      <c r="AT301" s="186">
        <f t="shared" si="656"/>
        <v>0</v>
      </c>
      <c r="AU301" s="186">
        <f t="shared" si="656"/>
        <v>0</v>
      </c>
      <c r="AV301" s="186">
        <f t="shared" si="656"/>
        <v>0</v>
      </c>
      <c r="AW301" s="186">
        <f t="shared" si="656"/>
        <v>0</v>
      </c>
      <c r="AX301" s="186">
        <f t="shared" si="656"/>
        <v>0</v>
      </c>
      <c r="AY301" s="186">
        <f t="shared" si="656"/>
        <v>0</v>
      </c>
      <c r="AZ301" s="186">
        <f t="shared" si="656"/>
        <v>0</v>
      </c>
      <c r="BA301" s="186">
        <f t="shared" si="656"/>
        <v>0</v>
      </c>
      <c r="BB301" s="186">
        <f t="shared" si="656"/>
        <v>0</v>
      </c>
      <c r="BC301" s="186">
        <f t="shared" si="656"/>
        <v>0</v>
      </c>
      <c r="BD301" s="186">
        <f t="shared" si="656"/>
        <v>0</v>
      </c>
      <c r="BE301" s="186">
        <f t="shared" si="656"/>
        <v>0</v>
      </c>
      <c r="BF301" s="186">
        <f t="shared" si="656"/>
        <v>0</v>
      </c>
      <c r="BG301" s="186">
        <f t="shared" si="656"/>
        <v>0</v>
      </c>
      <c r="BH301" s="186">
        <f t="shared" si="656"/>
        <v>0</v>
      </c>
      <c r="BI301" s="186">
        <f t="shared" si="656"/>
        <v>0</v>
      </c>
      <c r="BJ301" s="186">
        <f t="shared" si="656"/>
        <v>0</v>
      </c>
      <c r="BK301" s="186">
        <f t="shared" si="656"/>
        <v>0</v>
      </c>
      <c r="BL301" s="186">
        <f t="shared" si="656"/>
        <v>0</v>
      </c>
      <c r="BM301" s="186">
        <f t="shared" ref="BM301:DX301" si="657">SUM(BM302:BM303)</f>
        <v>641876800</v>
      </c>
      <c r="BN301" s="186">
        <f t="shared" si="657"/>
        <v>549697504</v>
      </c>
      <c r="BO301" s="186">
        <f t="shared" si="657"/>
        <v>414141917</v>
      </c>
      <c r="BP301" s="186">
        <f t="shared" si="657"/>
        <v>414141917</v>
      </c>
      <c r="BQ301" s="186">
        <f t="shared" si="657"/>
        <v>0</v>
      </c>
      <c r="BR301" s="186">
        <f t="shared" si="657"/>
        <v>0</v>
      </c>
      <c r="BS301" s="186">
        <f t="shared" si="657"/>
        <v>0</v>
      </c>
      <c r="BT301" s="186">
        <f t="shared" si="657"/>
        <v>0</v>
      </c>
      <c r="BU301" s="186">
        <f t="shared" si="657"/>
        <v>394455441.44</v>
      </c>
      <c r="BV301" s="186">
        <f t="shared" si="657"/>
        <v>788589783</v>
      </c>
      <c r="BW301" s="186">
        <f t="shared" si="657"/>
        <v>739157959</v>
      </c>
      <c r="BX301" s="186">
        <f t="shared" si="657"/>
        <v>737357959</v>
      </c>
      <c r="BY301" s="186">
        <f t="shared" si="657"/>
        <v>0</v>
      </c>
      <c r="BZ301" s="186">
        <f t="shared" si="657"/>
        <v>266677662.56</v>
      </c>
      <c r="CA301" s="186">
        <f t="shared" si="657"/>
        <v>0</v>
      </c>
      <c r="CB301" s="186">
        <f t="shared" si="657"/>
        <v>0</v>
      </c>
      <c r="CC301" s="186">
        <f t="shared" si="657"/>
        <v>0</v>
      </c>
      <c r="CD301" s="186">
        <f t="shared" si="657"/>
        <v>0</v>
      </c>
      <c r="CE301" s="186">
        <f t="shared" si="657"/>
        <v>0</v>
      </c>
      <c r="CF301" s="186">
        <f t="shared" si="657"/>
        <v>0</v>
      </c>
      <c r="CG301" s="186">
        <f t="shared" si="657"/>
        <v>0</v>
      </c>
      <c r="CH301" s="186">
        <f t="shared" si="657"/>
        <v>0</v>
      </c>
      <c r="CI301" s="186">
        <f t="shared" si="657"/>
        <v>0</v>
      </c>
      <c r="CJ301" s="186">
        <f t="shared" si="657"/>
        <v>0</v>
      </c>
      <c r="CK301" s="186">
        <f t="shared" si="657"/>
        <v>0</v>
      </c>
      <c r="CL301" s="186">
        <f t="shared" si="657"/>
        <v>0</v>
      </c>
      <c r="CM301" s="186">
        <f t="shared" si="657"/>
        <v>0</v>
      </c>
      <c r="CN301" s="186">
        <f t="shared" si="657"/>
        <v>0</v>
      </c>
      <c r="CO301" s="186">
        <f t="shared" si="657"/>
        <v>0</v>
      </c>
      <c r="CP301" s="186">
        <f t="shared" si="657"/>
        <v>0</v>
      </c>
      <c r="CQ301" s="186">
        <f t="shared" si="657"/>
        <v>0</v>
      </c>
      <c r="CR301" s="186">
        <f t="shared" si="657"/>
        <v>0</v>
      </c>
      <c r="CS301" s="186">
        <f t="shared" si="657"/>
        <v>0</v>
      </c>
      <c r="CT301" s="186">
        <f t="shared" si="657"/>
        <v>0</v>
      </c>
      <c r="CU301" s="186">
        <f t="shared" si="657"/>
        <v>0</v>
      </c>
      <c r="CV301" s="186">
        <f t="shared" si="657"/>
        <v>0</v>
      </c>
      <c r="CW301" s="186">
        <f t="shared" si="657"/>
        <v>0</v>
      </c>
      <c r="CX301" s="186">
        <f t="shared" si="657"/>
        <v>0</v>
      </c>
      <c r="CY301" s="186">
        <f t="shared" si="657"/>
        <v>0</v>
      </c>
      <c r="CZ301" s="186">
        <f t="shared" si="657"/>
        <v>0</v>
      </c>
      <c r="DA301" s="186">
        <f t="shared" si="657"/>
        <v>0</v>
      </c>
      <c r="DB301" s="186">
        <f t="shared" si="657"/>
        <v>0</v>
      </c>
      <c r="DC301" s="186">
        <f t="shared" si="657"/>
        <v>0</v>
      </c>
      <c r="DD301" s="186">
        <f t="shared" si="657"/>
        <v>0</v>
      </c>
      <c r="DE301" s="186">
        <f t="shared" si="657"/>
        <v>661133104</v>
      </c>
      <c r="DF301" s="186">
        <f t="shared" si="657"/>
        <v>788589783</v>
      </c>
      <c r="DG301" s="186">
        <f t="shared" si="657"/>
        <v>739157959</v>
      </c>
      <c r="DH301" s="186">
        <f t="shared" si="657"/>
        <v>737357959</v>
      </c>
      <c r="DI301" s="186">
        <f t="shared" si="657"/>
        <v>0</v>
      </c>
      <c r="DJ301" s="186">
        <f t="shared" si="657"/>
        <v>0</v>
      </c>
      <c r="DK301" s="186">
        <f t="shared" si="657"/>
        <v>0</v>
      </c>
      <c r="DL301" s="186">
        <f t="shared" si="657"/>
        <v>0</v>
      </c>
      <c r="DM301" s="186">
        <f t="shared" si="657"/>
        <v>0</v>
      </c>
      <c r="DN301" s="186">
        <f t="shared" si="657"/>
        <v>406289104.6832</v>
      </c>
      <c r="DO301" s="186">
        <f t="shared" si="657"/>
        <v>1342174677</v>
      </c>
      <c r="DP301" s="186">
        <f t="shared" si="657"/>
        <v>1264702074</v>
      </c>
      <c r="DQ301" s="186">
        <f t="shared" si="657"/>
        <v>1264702074</v>
      </c>
      <c r="DR301" s="186">
        <f t="shared" si="657"/>
        <v>0</v>
      </c>
      <c r="DS301" s="186">
        <f t="shared" si="657"/>
        <v>274677992.4368</v>
      </c>
      <c r="DT301" s="186">
        <f t="shared" si="657"/>
        <v>0</v>
      </c>
      <c r="DU301" s="186">
        <f t="shared" si="657"/>
        <v>0</v>
      </c>
      <c r="DV301" s="186">
        <f t="shared" si="657"/>
        <v>0</v>
      </c>
      <c r="DW301" s="186">
        <f t="shared" si="657"/>
        <v>0</v>
      </c>
      <c r="DX301" s="186">
        <f t="shared" si="657"/>
        <v>0</v>
      </c>
      <c r="DY301" s="186">
        <f t="shared" ref="DY301:EW301" si="658">SUM(DY302:DY303)</f>
        <v>0</v>
      </c>
      <c r="DZ301" s="186">
        <f t="shared" si="658"/>
        <v>0</v>
      </c>
      <c r="EA301" s="186">
        <f t="shared" si="658"/>
        <v>0</v>
      </c>
      <c r="EB301" s="186">
        <f t="shared" si="658"/>
        <v>0</v>
      </c>
      <c r="EC301" s="186">
        <f t="shared" si="658"/>
        <v>0</v>
      </c>
      <c r="ED301" s="186">
        <f t="shared" si="658"/>
        <v>0</v>
      </c>
      <c r="EE301" s="186">
        <f t="shared" si="658"/>
        <v>0</v>
      </c>
      <c r="EF301" s="186">
        <f t="shared" si="658"/>
        <v>0</v>
      </c>
      <c r="EG301" s="186">
        <f t="shared" si="658"/>
        <v>0</v>
      </c>
      <c r="EH301" s="186">
        <f t="shared" si="658"/>
        <v>0</v>
      </c>
      <c r="EI301" s="186">
        <f t="shared" si="658"/>
        <v>0</v>
      </c>
      <c r="EJ301" s="186">
        <f t="shared" si="658"/>
        <v>0</v>
      </c>
      <c r="EK301" s="186">
        <f t="shared" si="658"/>
        <v>0</v>
      </c>
      <c r="EL301" s="186">
        <f t="shared" si="658"/>
        <v>0</v>
      </c>
      <c r="EM301" s="186">
        <f t="shared" si="658"/>
        <v>0</v>
      </c>
      <c r="EN301" s="186">
        <f t="shared" si="658"/>
        <v>0</v>
      </c>
      <c r="EO301" s="186">
        <f t="shared" si="658"/>
        <v>0</v>
      </c>
      <c r="EP301" s="186">
        <f t="shared" si="658"/>
        <v>0</v>
      </c>
      <c r="EQ301" s="186">
        <f t="shared" si="658"/>
        <v>0</v>
      </c>
      <c r="ER301" s="186">
        <f t="shared" si="658"/>
        <v>0</v>
      </c>
      <c r="ES301" s="186">
        <f t="shared" si="658"/>
        <v>0</v>
      </c>
      <c r="ET301" s="186">
        <f t="shared" si="658"/>
        <v>0</v>
      </c>
      <c r="EU301" s="186">
        <f t="shared" si="658"/>
        <v>0</v>
      </c>
      <c r="EV301" s="186">
        <f t="shared" si="658"/>
        <v>0</v>
      </c>
      <c r="EW301" s="186">
        <f t="shared" si="658"/>
        <v>680967097.12</v>
      </c>
      <c r="EX301" s="186">
        <f t="shared" ref="EX301:GZ301" si="659">SUM(EX302:EX303)</f>
        <v>1342174677</v>
      </c>
      <c r="EY301" s="186">
        <f t="shared" si="659"/>
        <v>1264702074</v>
      </c>
      <c r="EZ301" s="186">
        <f t="shared" si="659"/>
        <v>1264702074</v>
      </c>
      <c r="FA301" s="186">
        <f t="shared" si="659"/>
        <v>0</v>
      </c>
      <c r="FB301" s="186">
        <f t="shared" si="659"/>
        <v>0</v>
      </c>
      <c r="FC301" s="186">
        <f t="shared" si="659"/>
        <v>0</v>
      </c>
      <c r="FD301" s="186">
        <f t="shared" si="659"/>
        <v>0</v>
      </c>
      <c r="FE301" s="186">
        <f t="shared" si="659"/>
        <v>0</v>
      </c>
      <c r="FF301" s="186">
        <f t="shared" si="659"/>
        <v>0</v>
      </c>
      <c r="FG301" s="186">
        <f t="shared" si="659"/>
        <v>418477777.82369602</v>
      </c>
      <c r="FH301" s="186">
        <f t="shared" si="659"/>
        <v>2180137888.8000002</v>
      </c>
      <c r="FI301" s="186">
        <f t="shared" si="659"/>
        <v>699146205.79999995</v>
      </c>
      <c r="FJ301" s="186">
        <f t="shared" si="659"/>
        <v>370414869.5</v>
      </c>
      <c r="FK301" s="186">
        <f t="shared" si="659"/>
        <v>0</v>
      </c>
      <c r="FL301" s="186">
        <f t="shared" si="659"/>
        <v>282918332.20990402</v>
      </c>
      <c r="FM301" s="186">
        <f t="shared" si="659"/>
        <v>0</v>
      </c>
      <c r="FN301" s="186">
        <f t="shared" si="659"/>
        <v>0</v>
      </c>
      <c r="FO301" s="186">
        <f t="shared" si="659"/>
        <v>0</v>
      </c>
      <c r="FP301" s="186">
        <f t="shared" si="659"/>
        <v>0</v>
      </c>
      <c r="FQ301" s="186">
        <f t="shared" si="659"/>
        <v>0</v>
      </c>
      <c r="FR301" s="186">
        <f t="shared" si="659"/>
        <v>0</v>
      </c>
      <c r="FS301" s="186">
        <f t="shared" si="659"/>
        <v>0</v>
      </c>
      <c r="FT301" s="186">
        <f t="shared" si="659"/>
        <v>0</v>
      </c>
      <c r="FU301" s="186">
        <f t="shared" si="659"/>
        <v>0</v>
      </c>
      <c r="FV301" s="186">
        <f t="shared" si="659"/>
        <v>0</v>
      </c>
      <c r="FW301" s="186">
        <f t="shared" si="659"/>
        <v>0</v>
      </c>
      <c r="FX301" s="186">
        <f t="shared" si="659"/>
        <v>0</v>
      </c>
      <c r="FY301" s="186">
        <f t="shared" si="659"/>
        <v>0</v>
      </c>
      <c r="FZ301" s="186">
        <f t="shared" si="659"/>
        <v>0</v>
      </c>
      <c r="GA301" s="186">
        <f t="shared" si="659"/>
        <v>0</v>
      </c>
      <c r="GB301" s="186">
        <f t="shared" si="659"/>
        <v>0</v>
      </c>
      <c r="GC301" s="186">
        <f t="shared" si="659"/>
        <v>0</v>
      </c>
      <c r="GD301" s="186">
        <f t="shared" si="659"/>
        <v>0</v>
      </c>
      <c r="GE301" s="186">
        <f t="shared" si="659"/>
        <v>0</v>
      </c>
      <c r="GF301" s="186">
        <f t="shared" si="659"/>
        <v>0</v>
      </c>
      <c r="GG301" s="186">
        <f t="shared" si="659"/>
        <v>0</v>
      </c>
      <c r="GH301" s="186">
        <f t="shared" si="659"/>
        <v>0</v>
      </c>
      <c r="GI301" s="186">
        <f t="shared" si="659"/>
        <v>0</v>
      </c>
      <c r="GJ301" s="186">
        <f t="shared" si="659"/>
        <v>0</v>
      </c>
      <c r="GK301" s="186">
        <f t="shared" si="659"/>
        <v>0</v>
      </c>
      <c r="GL301" s="186">
        <f t="shared" si="659"/>
        <v>0</v>
      </c>
      <c r="GM301" s="186">
        <f t="shared" si="659"/>
        <v>0</v>
      </c>
      <c r="GN301" s="186">
        <f t="shared" si="659"/>
        <v>0</v>
      </c>
      <c r="GO301" s="186">
        <f t="shared" si="659"/>
        <v>0</v>
      </c>
      <c r="GP301" s="186">
        <f t="shared" si="659"/>
        <v>0</v>
      </c>
      <c r="GQ301" s="186">
        <f t="shared" si="659"/>
        <v>0</v>
      </c>
      <c r="GR301" s="186">
        <f t="shared" si="659"/>
        <v>0</v>
      </c>
      <c r="GS301" s="186">
        <f t="shared" si="659"/>
        <v>0</v>
      </c>
      <c r="GT301" s="186">
        <f t="shared" si="659"/>
        <v>0</v>
      </c>
      <c r="GU301" s="186">
        <f t="shared" si="659"/>
        <v>701396110.03360009</v>
      </c>
      <c r="GV301" s="186">
        <f t="shared" si="659"/>
        <v>2180137888.8000002</v>
      </c>
      <c r="GW301" s="186">
        <f t="shared" si="659"/>
        <v>699146205.79999995</v>
      </c>
      <c r="GX301" s="186">
        <f t="shared" si="659"/>
        <v>370414869.5</v>
      </c>
      <c r="GY301" s="186">
        <f t="shared" si="659"/>
        <v>0</v>
      </c>
      <c r="GZ301" s="186">
        <f t="shared" si="659"/>
        <v>2685373111.1535997</v>
      </c>
    </row>
    <row r="302" spans="1:208" ht="57.75" customHeight="1" x14ac:dyDescent="0.2">
      <c r="A302" s="326"/>
      <c r="B302" s="326"/>
      <c r="C302" s="456">
        <v>36</v>
      </c>
      <c r="D302" s="745" t="s">
        <v>705</v>
      </c>
      <c r="E302" s="1038">
        <v>0.4</v>
      </c>
      <c r="F302" s="1038">
        <v>0.6</v>
      </c>
      <c r="G302" s="265">
        <v>202</v>
      </c>
      <c r="H302" s="261" t="s">
        <v>706</v>
      </c>
      <c r="I302" s="275" t="s">
        <v>707</v>
      </c>
      <c r="J302" s="262" t="s">
        <v>708</v>
      </c>
      <c r="K302" s="415">
        <v>4</v>
      </c>
      <c r="L302" s="304" t="s">
        <v>58</v>
      </c>
      <c r="M302" s="288">
        <v>23</v>
      </c>
      <c r="N302" s="288">
        <v>23</v>
      </c>
      <c r="O302" s="259">
        <v>23</v>
      </c>
      <c r="P302" s="387">
        <v>23</v>
      </c>
      <c r="Q302" s="288">
        <v>23</v>
      </c>
      <c r="R302" s="268"/>
      <c r="S302" s="389">
        <v>23</v>
      </c>
      <c r="T302" s="288">
        <v>23</v>
      </c>
      <c r="U302" s="288"/>
      <c r="V302" s="389">
        <v>23</v>
      </c>
      <c r="W302" s="288">
        <v>23</v>
      </c>
      <c r="X302" s="304"/>
      <c r="Y302" s="631">
        <v>23</v>
      </c>
      <c r="Z302" s="443">
        <f>BM302/BM301</f>
        <v>0.71731335359059556</v>
      </c>
      <c r="AA302" s="264">
        <v>3</v>
      </c>
      <c r="AB302" s="263" t="s">
        <v>455</v>
      </c>
      <c r="AC302" s="57"/>
      <c r="AD302" s="58"/>
      <c r="AE302" s="59"/>
      <c r="AF302" s="59"/>
      <c r="AG302" s="74">
        <v>379516448</v>
      </c>
      <c r="AH302" s="55">
        <v>307593032</v>
      </c>
      <c r="AI302" s="58">
        <v>213505584</v>
      </c>
      <c r="AJ302" s="58">
        <v>213505584</v>
      </c>
      <c r="AK302" s="74">
        <f>97585333-16674981</f>
        <v>80910352</v>
      </c>
      <c r="AL302" s="55">
        <v>105582133</v>
      </c>
      <c r="AM302" s="58">
        <v>98246333</v>
      </c>
      <c r="AN302" s="58">
        <v>98246333</v>
      </c>
      <c r="AO302" s="57"/>
      <c r="AP302" s="58"/>
      <c r="AQ302" s="58"/>
      <c r="AR302" s="58"/>
      <c r="AS302" s="57"/>
      <c r="AT302" s="58"/>
      <c r="AU302" s="59"/>
      <c r="AV302" s="59"/>
      <c r="AW302" s="57"/>
      <c r="AX302" s="58"/>
      <c r="AY302" s="58"/>
      <c r="AZ302" s="58"/>
      <c r="BA302" s="57"/>
      <c r="BB302" s="58"/>
      <c r="BC302" s="58"/>
      <c r="BD302" s="58"/>
      <c r="BE302" s="57"/>
      <c r="BF302" s="58"/>
      <c r="BG302" s="59"/>
      <c r="BH302" s="59"/>
      <c r="BI302" s="57"/>
      <c r="BJ302" s="58"/>
      <c r="BK302" s="58"/>
      <c r="BL302" s="58"/>
      <c r="BM302" s="53">
        <f>+AC302+AG302+AK302+AO302+AS302+AW302+BA302+BE302+BI302</f>
        <v>460426800</v>
      </c>
      <c r="BN302" s="54">
        <f t="shared" ref="BN302:BP303" si="660">AD302+AH302+AL302+AP302+AT302+AX302+BB302+BF302+BJ302</f>
        <v>413175165</v>
      </c>
      <c r="BO302" s="54">
        <f t="shared" si="660"/>
        <v>311751917</v>
      </c>
      <c r="BP302" s="54">
        <f t="shared" si="660"/>
        <v>311751917</v>
      </c>
      <c r="BQ302" s="83"/>
      <c r="BR302" s="83"/>
      <c r="BS302" s="83"/>
      <c r="BT302" s="83"/>
      <c r="BU302" s="83">
        <f>379516448*1.03</f>
        <v>390901941.44</v>
      </c>
      <c r="BV302" s="83">
        <v>628589783</v>
      </c>
      <c r="BW302" s="83">
        <v>580027832</v>
      </c>
      <c r="BX302" s="83">
        <v>578227832</v>
      </c>
      <c r="BY302" s="83"/>
      <c r="BZ302" s="84">
        <f>80910352*1.03</f>
        <v>83337662.560000002</v>
      </c>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1">
        <f t="shared" ref="DE302:DH303" si="661">BQ302+BU302+BZ302+CE302+CI302+CM302+CQ302+CV302+DA302</f>
        <v>474239604</v>
      </c>
      <c r="DF302" s="95">
        <f t="shared" si="661"/>
        <v>628589783</v>
      </c>
      <c r="DG302" s="95">
        <f t="shared" si="661"/>
        <v>580027832</v>
      </c>
      <c r="DH302" s="95">
        <f t="shared" si="661"/>
        <v>578227832</v>
      </c>
      <c r="DI302" s="95"/>
      <c r="DJ302" s="84"/>
      <c r="DK302" s="82"/>
      <c r="DL302" s="83"/>
      <c r="DM302" s="83"/>
      <c r="DN302" s="83">
        <v>402628999.6832</v>
      </c>
      <c r="DO302" s="83">
        <v>1174174677</v>
      </c>
      <c r="DP302" s="83">
        <v>1100922074</v>
      </c>
      <c r="DQ302" s="83">
        <v>1100922074</v>
      </c>
      <c r="DR302" s="83"/>
      <c r="DS302" s="84">
        <v>85837792.436800003</v>
      </c>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3"/>
      <c r="EU302" s="83"/>
      <c r="EV302" s="83"/>
      <c r="EW302" s="81">
        <f t="shared" ref="EW302:EX303" si="662">DJ302+DN302+DS302+DX302+EB302+EF302+EJ302+EN302+ES302</f>
        <v>488466792.12</v>
      </c>
      <c r="EX302" s="86">
        <f t="shared" si="662"/>
        <v>1174174677</v>
      </c>
      <c r="EY302" s="86">
        <f t="shared" ref="EY302:EZ303" si="663">DL302+DP302+DU302+DZ302+ED302+EH302+EL302+EP302+EU302</f>
        <v>1100922074</v>
      </c>
      <c r="EZ302" s="86">
        <f t="shared" si="663"/>
        <v>1100922074</v>
      </c>
      <c r="FA302" s="176"/>
      <c r="FB302" s="83"/>
      <c r="FC302" s="84"/>
      <c r="FD302" s="84"/>
      <c r="FE302" s="84"/>
      <c r="FF302" s="140"/>
      <c r="FG302" s="83">
        <f>402628999.6832*1.03</f>
        <v>414707869.67369604</v>
      </c>
      <c r="FH302" s="83">
        <v>1989366808.8</v>
      </c>
      <c r="FI302" s="83">
        <v>623661205.79999995</v>
      </c>
      <c r="FJ302" s="83">
        <v>294929869.5</v>
      </c>
      <c r="FK302" s="83"/>
      <c r="FL302" s="84">
        <f>85837792.4368*1.03</f>
        <v>88412926.209904</v>
      </c>
      <c r="FM302" s="83"/>
      <c r="FN302" s="83"/>
      <c r="FO302" s="83"/>
      <c r="FP302" s="83"/>
      <c r="FQ302" s="83"/>
      <c r="FR302" s="83"/>
      <c r="FS302" s="83"/>
      <c r="FT302" s="83"/>
      <c r="FU302" s="83"/>
      <c r="FV302" s="83"/>
      <c r="FW302" s="83"/>
      <c r="FX302" s="83"/>
      <c r="FY302" s="83"/>
      <c r="FZ302" s="83"/>
      <c r="GA302" s="83"/>
      <c r="GB302" s="83"/>
      <c r="GC302" s="83"/>
      <c r="GD302" s="83"/>
      <c r="GE302" s="83"/>
      <c r="GF302" s="83"/>
      <c r="GG302" s="83"/>
      <c r="GH302" s="83"/>
      <c r="GI302" s="83"/>
      <c r="GJ302" s="83"/>
      <c r="GK302" s="83"/>
      <c r="GL302" s="83"/>
      <c r="GM302" s="83"/>
      <c r="GN302" s="83"/>
      <c r="GO302" s="83"/>
      <c r="GP302" s="83"/>
      <c r="GQ302" s="83"/>
      <c r="GR302" s="83"/>
      <c r="GS302" s="83"/>
      <c r="GT302" s="83"/>
      <c r="GU302" s="81">
        <f>FB302+FG302+FL302+FQ302+FV302+GA302+GF302+GK302+GP302</f>
        <v>503120795.88360006</v>
      </c>
      <c r="GV302" s="81">
        <f t="shared" ref="GV302:GY303" si="664">GQ302+GL302+GG302+GB302+FW302+FR302+FM302+FH302+FC302</f>
        <v>1989366808.8</v>
      </c>
      <c r="GW302" s="81">
        <f t="shared" si="664"/>
        <v>623661205.79999995</v>
      </c>
      <c r="GX302" s="81">
        <f t="shared" si="664"/>
        <v>294929869.5</v>
      </c>
      <c r="GY302" s="673">
        <f t="shared" si="664"/>
        <v>0</v>
      </c>
      <c r="GZ302" s="67">
        <f t="shared" ref="GZ302:GZ303" si="665">BM302+DE302+EW302+GU302</f>
        <v>1926253992.0035999</v>
      </c>
    </row>
    <row r="303" spans="1:208" ht="67.5" customHeight="1" x14ac:dyDescent="0.2">
      <c r="A303" s="326"/>
      <c r="B303" s="326"/>
      <c r="C303" s="277"/>
      <c r="D303" s="746"/>
      <c r="E303" s="380"/>
      <c r="F303" s="380"/>
      <c r="G303" s="265">
        <v>203</v>
      </c>
      <c r="H303" s="261" t="s">
        <v>709</v>
      </c>
      <c r="I303" s="275" t="s">
        <v>710</v>
      </c>
      <c r="J303" s="262" t="s">
        <v>708</v>
      </c>
      <c r="K303" s="415">
        <v>4</v>
      </c>
      <c r="L303" s="304" t="s">
        <v>58</v>
      </c>
      <c r="M303" s="288">
        <v>20</v>
      </c>
      <c r="N303" s="288">
        <v>20</v>
      </c>
      <c r="O303" s="259">
        <v>20</v>
      </c>
      <c r="P303" s="387">
        <v>20</v>
      </c>
      <c r="Q303" s="288">
        <v>20</v>
      </c>
      <c r="R303" s="268"/>
      <c r="S303" s="389">
        <v>20</v>
      </c>
      <c r="T303" s="288">
        <v>20</v>
      </c>
      <c r="U303" s="288"/>
      <c r="V303" s="389">
        <v>20</v>
      </c>
      <c r="W303" s="288">
        <v>20</v>
      </c>
      <c r="X303" s="304"/>
      <c r="Y303" s="631">
        <v>20</v>
      </c>
      <c r="Z303" s="443">
        <f>BM303/BM301</f>
        <v>0.28268664640940444</v>
      </c>
      <c r="AA303" s="264">
        <v>3</v>
      </c>
      <c r="AB303" s="263" t="s">
        <v>455</v>
      </c>
      <c r="AC303" s="57"/>
      <c r="AD303" s="58"/>
      <c r="AE303" s="59"/>
      <c r="AF303" s="59"/>
      <c r="AG303" s="56">
        <v>3450000</v>
      </c>
      <c r="AH303" s="55">
        <v>3450000</v>
      </c>
      <c r="AI303" s="58">
        <v>3450000</v>
      </c>
      <c r="AJ303" s="58">
        <v>3450000</v>
      </c>
      <c r="AK303" s="74">
        <f>100000000+78000000</f>
        <v>178000000</v>
      </c>
      <c r="AL303" s="55">
        <v>133072339</v>
      </c>
      <c r="AM303" s="58">
        <v>98940000</v>
      </c>
      <c r="AN303" s="58">
        <v>98940000</v>
      </c>
      <c r="AO303" s="57"/>
      <c r="AP303" s="58"/>
      <c r="AQ303" s="58"/>
      <c r="AR303" s="58"/>
      <c r="AS303" s="57"/>
      <c r="AT303" s="58"/>
      <c r="AU303" s="59"/>
      <c r="AV303" s="59"/>
      <c r="AW303" s="57"/>
      <c r="AX303" s="58"/>
      <c r="AY303" s="58"/>
      <c r="AZ303" s="58"/>
      <c r="BA303" s="57"/>
      <c r="BB303" s="58"/>
      <c r="BC303" s="58"/>
      <c r="BD303" s="58"/>
      <c r="BE303" s="57"/>
      <c r="BF303" s="58"/>
      <c r="BG303" s="59"/>
      <c r="BH303" s="59"/>
      <c r="BI303" s="57"/>
      <c r="BJ303" s="58"/>
      <c r="BK303" s="58"/>
      <c r="BL303" s="58"/>
      <c r="BM303" s="53">
        <f>+AC303+AG303+AK303+AO303+AS303+AW303+BA303+BE303+BI303</f>
        <v>181450000</v>
      </c>
      <c r="BN303" s="54">
        <f t="shared" si="660"/>
        <v>136522339</v>
      </c>
      <c r="BO303" s="54">
        <f t="shared" si="660"/>
        <v>102390000</v>
      </c>
      <c r="BP303" s="54">
        <f t="shared" si="660"/>
        <v>102390000</v>
      </c>
      <c r="BQ303" s="83"/>
      <c r="BR303" s="83"/>
      <c r="BS303" s="83"/>
      <c r="BT303" s="83"/>
      <c r="BU303" s="83">
        <f>3450000*1.03</f>
        <v>3553500</v>
      </c>
      <c r="BV303" s="83">
        <v>160000000</v>
      </c>
      <c r="BW303" s="83">
        <v>159130127</v>
      </c>
      <c r="BX303" s="83">
        <v>159130127</v>
      </c>
      <c r="BY303" s="83"/>
      <c r="BZ303" s="83">
        <f>178000000*1.03</f>
        <v>183340000</v>
      </c>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1">
        <f t="shared" si="661"/>
        <v>186893500</v>
      </c>
      <c r="DF303" s="95">
        <f t="shared" si="661"/>
        <v>160000000</v>
      </c>
      <c r="DG303" s="95">
        <f t="shared" si="661"/>
        <v>159130127</v>
      </c>
      <c r="DH303" s="95">
        <f t="shared" si="661"/>
        <v>159130127</v>
      </c>
      <c r="DI303" s="95"/>
      <c r="DJ303" s="84"/>
      <c r="DK303" s="82"/>
      <c r="DL303" s="83"/>
      <c r="DM303" s="83"/>
      <c r="DN303" s="83">
        <v>3660105</v>
      </c>
      <c r="DO303" s="83">
        <v>168000000</v>
      </c>
      <c r="DP303" s="83">
        <v>163780000</v>
      </c>
      <c r="DQ303" s="83">
        <v>163780000</v>
      </c>
      <c r="DR303" s="83"/>
      <c r="DS303" s="83">
        <v>188840200</v>
      </c>
      <c r="DT303" s="83"/>
      <c r="DU303" s="83"/>
      <c r="DV303" s="83"/>
      <c r="DW303" s="83"/>
      <c r="DX303" s="83"/>
      <c r="DY303" s="83"/>
      <c r="DZ303" s="83"/>
      <c r="EA303" s="83"/>
      <c r="EB303" s="84"/>
      <c r="EC303" s="84"/>
      <c r="ED303" s="84"/>
      <c r="EE303" s="84"/>
      <c r="EF303" s="84"/>
      <c r="EG303" s="84"/>
      <c r="EH303" s="84"/>
      <c r="EI303" s="84"/>
      <c r="EJ303" s="84"/>
      <c r="EK303" s="84"/>
      <c r="EL303" s="84"/>
      <c r="EM303" s="84"/>
      <c r="EN303" s="84"/>
      <c r="EO303" s="84"/>
      <c r="EP303" s="84"/>
      <c r="EQ303" s="84"/>
      <c r="ER303" s="84"/>
      <c r="ES303" s="84"/>
      <c r="ET303" s="83"/>
      <c r="EU303" s="83"/>
      <c r="EV303" s="83"/>
      <c r="EW303" s="81">
        <f t="shared" si="662"/>
        <v>192500305</v>
      </c>
      <c r="EX303" s="86">
        <f t="shared" si="662"/>
        <v>168000000</v>
      </c>
      <c r="EY303" s="86">
        <f t="shared" si="663"/>
        <v>163780000</v>
      </c>
      <c r="EZ303" s="86">
        <f t="shared" si="663"/>
        <v>163780000</v>
      </c>
      <c r="FA303" s="176"/>
      <c r="FB303" s="83"/>
      <c r="FC303" s="84"/>
      <c r="FD303" s="84"/>
      <c r="FE303" s="84"/>
      <c r="FF303" s="140"/>
      <c r="FG303" s="83">
        <f>3660105*1.03</f>
        <v>3769908.15</v>
      </c>
      <c r="FH303" s="83">
        <v>190771080</v>
      </c>
      <c r="FI303" s="83">
        <v>75485000</v>
      </c>
      <c r="FJ303" s="83">
        <v>75485000</v>
      </c>
      <c r="FK303" s="83"/>
      <c r="FL303" s="83">
        <f>188840200*1.03</f>
        <v>194505406</v>
      </c>
      <c r="FM303" s="83"/>
      <c r="FN303" s="83"/>
      <c r="FO303" s="83"/>
      <c r="FP303" s="83"/>
      <c r="FQ303" s="83"/>
      <c r="FR303" s="83"/>
      <c r="FS303" s="83"/>
      <c r="FT303" s="83"/>
      <c r="FU303" s="83"/>
      <c r="FV303" s="83"/>
      <c r="FW303" s="83"/>
      <c r="FX303" s="83"/>
      <c r="FY303" s="83"/>
      <c r="FZ303" s="83"/>
      <c r="GA303" s="83"/>
      <c r="GB303" s="83"/>
      <c r="GC303" s="83"/>
      <c r="GD303" s="83"/>
      <c r="GE303" s="83"/>
      <c r="GF303" s="83"/>
      <c r="GG303" s="83"/>
      <c r="GH303" s="83"/>
      <c r="GI303" s="83"/>
      <c r="GJ303" s="83"/>
      <c r="GK303" s="83"/>
      <c r="GL303" s="83"/>
      <c r="GM303" s="83"/>
      <c r="GN303" s="83"/>
      <c r="GO303" s="83"/>
      <c r="GP303" s="83"/>
      <c r="GQ303" s="83"/>
      <c r="GR303" s="83"/>
      <c r="GS303" s="83"/>
      <c r="GT303" s="83"/>
      <c r="GU303" s="81">
        <f>FB303+FG303+FL303+FQ303+FV303+GA303+GF303+GK303+GP303</f>
        <v>198275314.15000001</v>
      </c>
      <c r="GV303" s="81">
        <f t="shared" si="664"/>
        <v>190771080</v>
      </c>
      <c r="GW303" s="81">
        <f t="shared" si="664"/>
        <v>75485000</v>
      </c>
      <c r="GX303" s="81">
        <f t="shared" si="664"/>
        <v>75485000</v>
      </c>
      <c r="GY303" s="673">
        <f t="shared" si="664"/>
        <v>0</v>
      </c>
      <c r="GZ303" s="67">
        <f t="shared" si="665"/>
        <v>759119119.14999998</v>
      </c>
    </row>
    <row r="304" spans="1:208" ht="24.75" customHeight="1" x14ac:dyDescent="0.2">
      <c r="A304" s="326"/>
      <c r="B304" s="326"/>
      <c r="C304" s="246">
        <v>69</v>
      </c>
      <c r="D304" s="247" t="s">
        <v>711</v>
      </c>
      <c r="E304" s="250"/>
      <c r="F304" s="250"/>
      <c r="G304" s="246"/>
      <c r="H304" s="246"/>
      <c r="I304" s="246"/>
      <c r="J304" s="246"/>
      <c r="K304" s="246"/>
      <c r="L304" s="246"/>
      <c r="M304" s="246"/>
      <c r="N304" s="246"/>
      <c r="O304" s="246"/>
      <c r="P304" s="246"/>
      <c r="Q304" s="246"/>
      <c r="R304" s="246"/>
      <c r="S304" s="246"/>
      <c r="T304" s="246"/>
      <c r="U304" s="246"/>
      <c r="V304" s="246"/>
      <c r="W304" s="246"/>
      <c r="X304" s="246"/>
      <c r="Y304" s="625"/>
      <c r="Z304" s="246"/>
      <c r="AA304" s="246"/>
      <c r="AB304" s="246"/>
      <c r="AC304" s="51">
        <f t="shared" ref="AC304:BL304" si="666">SUM(AC305)</f>
        <v>0</v>
      </c>
      <c r="AD304" s="51">
        <f t="shared" si="666"/>
        <v>0</v>
      </c>
      <c r="AE304" s="51">
        <f t="shared" si="666"/>
        <v>0</v>
      </c>
      <c r="AF304" s="51">
        <f t="shared" si="666"/>
        <v>0</v>
      </c>
      <c r="AG304" s="51">
        <f t="shared" si="666"/>
        <v>0</v>
      </c>
      <c r="AH304" s="51">
        <f t="shared" si="666"/>
        <v>0</v>
      </c>
      <c r="AI304" s="51">
        <f t="shared" si="666"/>
        <v>0</v>
      </c>
      <c r="AJ304" s="51">
        <f t="shared" si="666"/>
        <v>0</v>
      </c>
      <c r="AK304" s="51">
        <f t="shared" si="666"/>
        <v>30000000</v>
      </c>
      <c r="AL304" s="51">
        <f t="shared" si="666"/>
        <v>30000000</v>
      </c>
      <c r="AM304" s="51">
        <f t="shared" si="666"/>
        <v>8000000</v>
      </c>
      <c r="AN304" s="51">
        <f t="shared" si="666"/>
        <v>8000000</v>
      </c>
      <c r="AO304" s="51">
        <f t="shared" si="666"/>
        <v>0</v>
      </c>
      <c r="AP304" s="51">
        <f t="shared" si="666"/>
        <v>0</v>
      </c>
      <c r="AQ304" s="51">
        <f t="shared" si="666"/>
        <v>0</v>
      </c>
      <c r="AR304" s="51">
        <f t="shared" si="666"/>
        <v>0</v>
      </c>
      <c r="AS304" s="51">
        <f t="shared" si="666"/>
        <v>0</v>
      </c>
      <c r="AT304" s="51">
        <f t="shared" si="666"/>
        <v>0</v>
      </c>
      <c r="AU304" s="51">
        <f t="shared" si="666"/>
        <v>0</v>
      </c>
      <c r="AV304" s="51">
        <f t="shared" si="666"/>
        <v>0</v>
      </c>
      <c r="AW304" s="51">
        <f t="shared" si="666"/>
        <v>0</v>
      </c>
      <c r="AX304" s="51">
        <f t="shared" si="666"/>
        <v>0</v>
      </c>
      <c r="AY304" s="51">
        <f t="shared" si="666"/>
        <v>0</v>
      </c>
      <c r="AZ304" s="51">
        <f t="shared" si="666"/>
        <v>0</v>
      </c>
      <c r="BA304" s="51">
        <f t="shared" si="666"/>
        <v>0</v>
      </c>
      <c r="BB304" s="51">
        <f t="shared" si="666"/>
        <v>0</v>
      </c>
      <c r="BC304" s="51">
        <f t="shared" si="666"/>
        <v>0</v>
      </c>
      <c r="BD304" s="51">
        <f t="shared" si="666"/>
        <v>0</v>
      </c>
      <c r="BE304" s="51">
        <f t="shared" si="666"/>
        <v>0</v>
      </c>
      <c r="BF304" s="51">
        <f t="shared" si="666"/>
        <v>0</v>
      </c>
      <c r="BG304" s="51">
        <f t="shared" si="666"/>
        <v>0</v>
      </c>
      <c r="BH304" s="51">
        <f t="shared" si="666"/>
        <v>0</v>
      </c>
      <c r="BI304" s="51">
        <f t="shared" si="666"/>
        <v>0</v>
      </c>
      <c r="BJ304" s="51">
        <f t="shared" si="666"/>
        <v>0</v>
      </c>
      <c r="BK304" s="51">
        <f t="shared" si="666"/>
        <v>0</v>
      </c>
      <c r="BL304" s="51">
        <f t="shared" si="666"/>
        <v>0</v>
      </c>
      <c r="BM304" s="51">
        <f t="shared" ref="BM304:DX304" si="667">SUM(BM305)</f>
        <v>30000000</v>
      </c>
      <c r="BN304" s="51">
        <f t="shared" si="667"/>
        <v>30000000</v>
      </c>
      <c r="BO304" s="51">
        <f t="shared" si="667"/>
        <v>8000000</v>
      </c>
      <c r="BP304" s="51">
        <f t="shared" si="667"/>
        <v>8000000</v>
      </c>
      <c r="BQ304" s="51">
        <f t="shared" si="667"/>
        <v>0</v>
      </c>
      <c r="BR304" s="51">
        <f t="shared" si="667"/>
        <v>0</v>
      </c>
      <c r="BS304" s="51">
        <f t="shared" si="667"/>
        <v>0</v>
      </c>
      <c r="BT304" s="51">
        <f t="shared" si="667"/>
        <v>0</v>
      </c>
      <c r="BU304" s="51">
        <f t="shared" si="667"/>
        <v>0</v>
      </c>
      <c r="BV304" s="51">
        <f t="shared" si="667"/>
        <v>231288679.81</v>
      </c>
      <c r="BW304" s="51">
        <f t="shared" si="667"/>
        <v>207953663.81</v>
      </c>
      <c r="BX304" s="51">
        <f t="shared" si="667"/>
        <v>203229023.62</v>
      </c>
      <c r="BY304" s="51">
        <f t="shared" si="667"/>
        <v>0</v>
      </c>
      <c r="BZ304" s="51">
        <f t="shared" si="667"/>
        <v>30900000</v>
      </c>
      <c r="CA304" s="51">
        <f t="shared" si="667"/>
        <v>0</v>
      </c>
      <c r="CB304" s="51">
        <f t="shared" si="667"/>
        <v>0</v>
      </c>
      <c r="CC304" s="51">
        <f t="shared" si="667"/>
        <v>0</v>
      </c>
      <c r="CD304" s="51">
        <f t="shared" si="667"/>
        <v>0</v>
      </c>
      <c r="CE304" s="51">
        <f t="shared" si="667"/>
        <v>0</v>
      </c>
      <c r="CF304" s="51">
        <f t="shared" si="667"/>
        <v>0</v>
      </c>
      <c r="CG304" s="51">
        <f t="shared" si="667"/>
        <v>0</v>
      </c>
      <c r="CH304" s="51">
        <f t="shared" si="667"/>
        <v>0</v>
      </c>
      <c r="CI304" s="51">
        <f t="shared" si="667"/>
        <v>0</v>
      </c>
      <c r="CJ304" s="51">
        <f t="shared" si="667"/>
        <v>0</v>
      </c>
      <c r="CK304" s="51">
        <f t="shared" si="667"/>
        <v>0</v>
      </c>
      <c r="CL304" s="51">
        <f t="shared" si="667"/>
        <v>0</v>
      </c>
      <c r="CM304" s="51">
        <f t="shared" si="667"/>
        <v>0</v>
      </c>
      <c r="CN304" s="51">
        <f t="shared" si="667"/>
        <v>0</v>
      </c>
      <c r="CO304" s="51">
        <f t="shared" si="667"/>
        <v>0</v>
      </c>
      <c r="CP304" s="51">
        <f t="shared" si="667"/>
        <v>0</v>
      </c>
      <c r="CQ304" s="51">
        <f t="shared" si="667"/>
        <v>0</v>
      </c>
      <c r="CR304" s="51">
        <f t="shared" si="667"/>
        <v>0</v>
      </c>
      <c r="CS304" s="51">
        <f t="shared" si="667"/>
        <v>0</v>
      </c>
      <c r="CT304" s="51">
        <f t="shared" si="667"/>
        <v>0</v>
      </c>
      <c r="CU304" s="51">
        <f t="shared" si="667"/>
        <v>0</v>
      </c>
      <c r="CV304" s="51">
        <f t="shared" si="667"/>
        <v>0</v>
      </c>
      <c r="CW304" s="51">
        <f t="shared" si="667"/>
        <v>0</v>
      </c>
      <c r="CX304" s="51">
        <f t="shared" si="667"/>
        <v>0</v>
      </c>
      <c r="CY304" s="51">
        <f t="shared" si="667"/>
        <v>0</v>
      </c>
      <c r="CZ304" s="51">
        <f t="shared" si="667"/>
        <v>0</v>
      </c>
      <c r="DA304" s="51">
        <f t="shared" si="667"/>
        <v>0</v>
      </c>
      <c r="DB304" s="51">
        <f t="shared" si="667"/>
        <v>0</v>
      </c>
      <c r="DC304" s="51">
        <f t="shared" si="667"/>
        <v>0</v>
      </c>
      <c r="DD304" s="51">
        <f t="shared" si="667"/>
        <v>0</v>
      </c>
      <c r="DE304" s="51">
        <f t="shared" si="667"/>
        <v>30900000</v>
      </c>
      <c r="DF304" s="51">
        <f t="shared" si="667"/>
        <v>231288679.81</v>
      </c>
      <c r="DG304" s="51">
        <f t="shared" si="667"/>
        <v>207953663.81</v>
      </c>
      <c r="DH304" s="51">
        <f t="shared" si="667"/>
        <v>203229023.62</v>
      </c>
      <c r="DI304" s="51">
        <f t="shared" si="667"/>
        <v>0</v>
      </c>
      <c r="DJ304" s="51">
        <f t="shared" si="667"/>
        <v>0</v>
      </c>
      <c r="DK304" s="51">
        <f t="shared" si="667"/>
        <v>0</v>
      </c>
      <c r="DL304" s="51">
        <f t="shared" si="667"/>
        <v>0</v>
      </c>
      <c r="DM304" s="51">
        <f t="shared" si="667"/>
        <v>0</v>
      </c>
      <c r="DN304" s="51">
        <f t="shared" si="667"/>
        <v>0</v>
      </c>
      <c r="DO304" s="51">
        <f t="shared" si="667"/>
        <v>170200000</v>
      </c>
      <c r="DP304" s="51">
        <f t="shared" si="667"/>
        <v>149731343</v>
      </c>
      <c r="DQ304" s="51">
        <f t="shared" si="667"/>
        <v>149731343</v>
      </c>
      <c r="DR304" s="51">
        <f t="shared" si="667"/>
        <v>0</v>
      </c>
      <c r="DS304" s="51">
        <f t="shared" si="667"/>
        <v>31827000</v>
      </c>
      <c r="DT304" s="51">
        <f t="shared" si="667"/>
        <v>0</v>
      </c>
      <c r="DU304" s="51">
        <f t="shared" si="667"/>
        <v>0</v>
      </c>
      <c r="DV304" s="51">
        <f t="shared" si="667"/>
        <v>0</v>
      </c>
      <c r="DW304" s="51">
        <f t="shared" si="667"/>
        <v>0</v>
      </c>
      <c r="DX304" s="51">
        <f t="shared" si="667"/>
        <v>0</v>
      </c>
      <c r="DY304" s="51">
        <f t="shared" ref="DY304:EW304" si="668">SUM(DY305)</f>
        <v>0</v>
      </c>
      <c r="DZ304" s="51">
        <f t="shared" si="668"/>
        <v>0</v>
      </c>
      <c r="EA304" s="51">
        <f t="shared" si="668"/>
        <v>0</v>
      </c>
      <c r="EB304" s="51">
        <f t="shared" si="668"/>
        <v>0</v>
      </c>
      <c r="EC304" s="51">
        <f t="shared" si="668"/>
        <v>0</v>
      </c>
      <c r="ED304" s="51">
        <f t="shared" si="668"/>
        <v>0</v>
      </c>
      <c r="EE304" s="51">
        <f t="shared" si="668"/>
        <v>0</v>
      </c>
      <c r="EF304" s="51">
        <f t="shared" si="668"/>
        <v>0</v>
      </c>
      <c r="EG304" s="51">
        <f t="shared" si="668"/>
        <v>0</v>
      </c>
      <c r="EH304" s="51">
        <f t="shared" si="668"/>
        <v>0</v>
      </c>
      <c r="EI304" s="51">
        <f t="shared" si="668"/>
        <v>0</v>
      </c>
      <c r="EJ304" s="51">
        <f t="shared" si="668"/>
        <v>0</v>
      </c>
      <c r="EK304" s="51">
        <f t="shared" si="668"/>
        <v>0</v>
      </c>
      <c r="EL304" s="51">
        <f t="shared" si="668"/>
        <v>0</v>
      </c>
      <c r="EM304" s="51">
        <f t="shared" si="668"/>
        <v>0</v>
      </c>
      <c r="EN304" s="51">
        <f t="shared" si="668"/>
        <v>0</v>
      </c>
      <c r="EO304" s="51">
        <f t="shared" si="668"/>
        <v>0</v>
      </c>
      <c r="EP304" s="51">
        <f t="shared" si="668"/>
        <v>0</v>
      </c>
      <c r="EQ304" s="51">
        <f t="shared" si="668"/>
        <v>0</v>
      </c>
      <c r="ER304" s="51">
        <f t="shared" si="668"/>
        <v>0</v>
      </c>
      <c r="ES304" s="51">
        <f t="shared" si="668"/>
        <v>0</v>
      </c>
      <c r="ET304" s="51">
        <f t="shared" si="668"/>
        <v>0</v>
      </c>
      <c r="EU304" s="51">
        <f t="shared" si="668"/>
        <v>0</v>
      </c>
      <c r="EV304" s="51">
        <f t="shared" si="668"/>
        <v>0</v>
      </c>
      <c r="EW304" s="51">
        <f t="shared" si="668"/>
        <v>31827000</v>
      </c>
      <c r="EX304" s="51">
        <f t="shared" ref="EX304:GZ304" si="669">SUM(EX305)</f>
        <v>170200000</v>
      </c>
      <c r="EY304" s="51">
        <f t="shared" si="669"/>
        <v>149731343</v>
      </c>
      <c r="EZ304" s="51">
        <f t="shared" si="669"/>
        <v>149731343</v>
      </c>
      <c r="FA304" s="51">
        <f t="shared" si="669"/>
        <v>0</v>
      </c>
      <c r="FB304" s="51">
        <f t="shared" si="669"/>
        <v>0</v>
      </c>
      <c r="FC304" s="51">
        <f t="shared" si="669"/>
        <v>0</v>
      </c>
      <c r="FD304" s="51">
        <f t="shared" si="669"/>
        <v>0</v>
      </c>
      <c r="FE304" s="51">
        <f t="shared" si="669"/>
        <v>0</v>
      </c>
      <c r="FF304" s="51">
        <f t="shared" si="669"/>
        <v>0</v>
      </c>
      <c r="FG304" s="51">
        <f t="shared" si="669"/>
        <v>0</v>
      </c>
      <c r="FH304" s="51">
        <f t="shared" si="669"/>
        <v>170200000</v>
      </c>
      <c r="FI304" s="51">
        <f t="shared" si="669"/>
        <v>107872580</v>
      </c>
      <c r="FJ304" s="51">
        <f t="shared" si="669"/>
        <v>45581632.100000001</v>
      </c>
      <c r="FK304" s="51">
        <f t="shared" si="669"/>
        <v>0</v>
      </c>
      <c r="FL304" s="51">
        <f t="shared" si="669"/>
        <v>32781810</v>
      </c>
      <c r="FM304" s="51">
        <f t="shared" si="669"/>
        <v>0</v>
      </c>
      <c r="FN304" s="51">
        <f t="shared" si="669"/>
        <v>0</v>
      </c>
      <c r="FO304" s="51">
        <f t="shared" si="669"/>
        <v>0</v>
      </c>
      <c r="FP304" s="51">
        <f t="shared" si="669"/>
        <v>0</v>
      </c>
      <c r="FQ304" s="51">
        <f t="shared" si="669"/>
        <v>0</v>
      </c>
      <c r="FR304" s="51">
        <f t="shared" si="669"/>
        <v>0</v>
      </c>
      <c r="FS304" s="51">
        <f t="shared" si="669"/>
        <v>0</v>
      </c>
      <c r="FT304" s="51">
        <f t="shared" si="669"/>
        <v>0</v>
      </c>
      <c r="FU304" s="51">
        <f t="shared" si="669"/>
        <v>0</v>
      </c>
      <c r="FV304" s="51">
        <f t="shared" si="669"/>
        <v>0</v>
      </c>
      <c r="FW304" s="51">
        <f t="shared" si="669"/>
        <v>0</v>
      </c>
      <c r="FX304" s="51">
        <f t="shared" si="669"/>
        <v>0</v>
      </c>
      <c r="FY304" s="51">
        <f t="shared" si="669"/>
        <v>0</v>
      </c>
      <c r="FZ304" s="51">
        <f t="shared" si="669"/>
        <v>0</v>
      </c>
      <c r="GA304" s="51">
        <f t="shared" si="669"/>
        <v>0</v>
      </c>
      <c r="GB304" s="51">
        <f t="shared" si="669"/>
        <v>0</v>
      </c>
      <c r="GC304" s="51">
        <f t="shared" si="669"/>
        <v>0</v>
      </c>
      <c r="GD304" s="51">
        <f t="shared" si="669"/>
        <v>0</v>
      </c>
      <c r="GE304" s="51">
        <f t="shared" si="669"/>
        <v>0</v>
      </c>
      <c r="GF304" s="51">
        <f t="shared" si="669"/>
        <v>0</v>
      </c>
      <c r="GG304" s="51">
        <f t="shared" si="669"/>
        <v>0</v>
      </c>
      <c r="GH304" s="51">
        <f t="shared" si="669"/>
        <v>0</v>
      </c>
      <c r="GI304" s="51">
        <f t="shared" si="669"/>
        <v>0</v>
      </c>
      <c r="GJ304" s="51">
        <f t="shared" si="669"/>
        <v>0</v>
      </c>
      <c r="GK304" s="51">
        <f t="shared" si="669"/>
        <v>0</v>
      </c>
      <c r="GL304" s="51">
        <f t="shared" si="669"/>
        <v>0</v>
      </c>
      <c r="GM304" s="51">
        <f t="shared" si="669"/>
        <v>0</v>
      </c>
      <c r="GN304" s="51">
        <f t="shared" si="669"/>
        <v>0</v>
      </c>
      <c r="GO304" s="51">
        <f t="shared" si="669"/>
        <v>0</v>
      </c>
      <c r="GP304" s="51">
        <f t="shared" si="669"/>
        <v>0</v>
      </c>
      <c r="GQ304" s="51">
        <f t="shared" si="669"/>
        <v>0</v>
      </c>
      <c r="GR304" s="51">
        <f t="shared" si="669"/>
        <v>0</v>
      </c>
      <c r="GS304" s="51">
        <f t="shared" si="669"/>
        <v>0</v>
      </c>
      <c r="GT304" s="51">
        <f t="shared" si="669"/>
        <v>0</v>
      </c>
      <c r="GU304" s="51">
        <f t="shared" si="669"/>
        <v>32781810</v>
      </c>
      <c r="GV304" s="51">
        <f t="shared" si="669"/>
        <v>170200000</v>
      </c>
      <c r="GW304" s="51">
        <f t="shared" si="669"/>
        <v>107872580</v>
      </c>
      <c r="GX304" s="51">
        <f t="shared" si="669"/>
        <v>45581632.100000001</v>
      </c>
      <c r="GY304" s="51">
        <f t="shared" si="669"/>
        <v>0</v>
      </c>
      <c r="GZ304" s="51">
        <f t="shared" si="669"/>
        <v>125508810</v>
      </c>
    </row>
    <row r="305" spans="1:208" ht="57.75" customHeight="1" x14ac:dyDescent="0.2">
      <c r="A305" s="326"/>
      <c r="B305" s="326"/>
      <c r="C305" s="288">
        <v>36</v>
      </c>
      <c r="D305" s="721" t="s">
        <v>705</v>
      </c>
      <c r="E305" s="1038">
        <v>0.4</v>
      </c>
      <c r="F305" s="1038">
        <v>0.6</v>
      </c>
      <c r="G305" s="265">
        <v>204</v>
      </c>
      <c r="H305" s="261" t="s">
        <v>712</v>
      </c>
      <c r="I305" s="275" t="s">
        <v>713</v>
      </c>
      <c r="J305" s="262" t="s">
        <v>708</v>
      </c>
      <c r="K305" s="415">
        <v>4</v>
      </c>
      <c r="L305" s="304" t="s">
        <v>58</v>
      </c>
      <c r="M305" s="288">
        <v>13</v>
      </c>
      <c r="N305" s="288">
        <v>13</v>
      </c>
      <c r="O305" s="259">
        <v>13</v>
      </c>
      <c r="P305" s="387">
        <v>13</v>
      </c>
      <c r="Q305" s="288">
        <v>13</v>
      </c>
      <c r="R305" s="268"/>
      <c r="S305" s="389">
        <v>13</v>
      </c>
      <c r="T305" s="288">
        <v>13</v>
      </c>
      <c r="U305" s="288"/>
      <c r="V305" s="389">
        <v>13</v>
      </c>
      <c r="W305" s="288">
        <v>13</v>
      </c>
      <c r="X305" s="304"/>
      <c r="Y305" s="631">
        <v>13</v>
      </c>
      <c r="Z305" s="443">
        <f>BM305/BM304</f>
        <v>1</v>
      </c>
      <c r="AA305" s="264">
        <v>3</v>
      </c>
      <c r="AB305" s="263" t="s">
        <v>455</v>
      </c>
      <c r="AC305" s="57"/>
      <c r="AD305" s="58"/>
      <c r="AE305" s="59"/>
      <c r="AF305" s="59"/>
      <c r="AG305" s="57"/>
      <c r="AH305" s="58"/>
      <c r="AI305" s="58"/>
      <c r="AJ305" s="58"/>
      <c r="AK305" s="57">
        <v>30000000</v>
      </c>
      <c r="AL305" s="55">
        <v>30000000</v>
      </c>
      <c r="AM305" s="58">
        <v>8000000</v>
      </c>
      <c r="AN305" s="58">
        <v>8000000</v>
      </c>
      <c r="AO305" s="57"/>
      <c r="AP305" s="58"/>
      <c r="AQ305" s="58"/>
      <c r="AR305" s="58"/>
      <c r="AS305" s="57"/>
      <c r="AT305" s="58"/>
      <c r="AU305" s="59"/>
      <c r="AV305" s="59"/>
      <c r="AW305" s="57"/>
      <c r="AX305" s="58"/>
      <c r="AY305" s="58"/>
      <c r="AZ305" s="58"/>
      <c r="BA305" s="57"/>
      <c r="BB305" s="58"/>
      <c r="BC305" s="58"/>
      <c r="BD305" s="58"/>
      <c r="BE305" s="57"/>
      <c r="BF305" s="58"/>
      <c r="BG305" s="59"/>
      <c r="BH305" s="59"/>
      <c r="BI305" s="57"/>
      <c r="BJ305" s="58"/>
      <c r="BK305" s="58"/>
      <c r="BL305" s="58"/>
      <c r="BM305" s="53">
        <f>+AC305+AG305+AK305+AO305+AS305+AW305+BA305+BE305+BI305</f>
        <v>30000000</v>
      </c>
      <c r="BN305" s="54">
        <f>AD305+AH305+AL305+AP305+AT305+AX305+BB305+BF305+BJ305</f>
        <v>30000000</v>
      </c>
      <c r="BO305" s="54">
        <f>AE305+AI305+AM305+AQ305+AU305+AY305+BC305+BG305+BK305</f>
        <v>8000000</v>
      </c>
      <c r="BP305" s="54">
        <f>AF305+AJ305+AN305+AR305+AV305+AZ305+BD305+BH305+BL305</f>
        <v>8000000</v>
      </c>
      <c r="BQ305" s="83"/>
      <c r="BR305" s="83"/>
      <c r="BS305" s="83"/>
      <c r="BT305" s="83"/>
      <c r="BU305" s="83"/>
      <c r="BV305" s="530">
        <v>231288679.81</v>
      </c>
      <c r="BW305" s="530">
        <v>207953663.81</v>
      </c>
      <c r="BX305" s="83">
        <v>203229023.62</v>
      </c>
      <c r="BY305" s="83"/>
      <c r="BZ305" s="84">
        <v>30900000</v>
      </c>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1">
        <f>BQ305+BU305+BZ305+CE305+CI305+CM305+CQ305+CV305+DA305</f>
        <v>30900000</v>
      </c>
      <c r="DF305" s="95">
        <f>BR305+BV305+CA305+CF305+CJ305+CN305+CR305+CW305+DB305</f>
        <v>231288679.81</v>
      </c>
      <c r="DG305" s="95">
        <f>BS305+BW305+CB305+CG305+CK305+CO305+CS305+CX305+DC305</f>
        <v>207953663.81</v>
      </c>
      <c r="DH305" s="95">
        <f>BT305+BX305+CC305+CH305+CL305+CP305+CT305+CY305+DD305</f>
        <v>203229023.62</v>
      </c>
      <c r="DI305" s="95"/>
      <c r="DJ305" s="84"/>
      <c r="DK305" s="65"/>
      <c r="DL305" s="84"/>
      <c r="DM305" s="84"/>
      <c r="DN305" s="84"/>
      <c r="DO305" s="84">
        <v>170200000</v>
      </c>
      <c r="DP305" s="84">
        <v>149731343</v>
      </c>
      <c r="DQ305" s="84">
        <v>149731343</v>
      </c>
      <c r="DR305" s="84"/>
      <c r="DS305" s="84">
        <v>31827000</v>
      </c>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3"/>
      <c r="EU305" s="83"/>
      <c r="EV305" s="83"/>
      <c r="EW305" s="81">
        <f>DJ305+DN305+DS305+DX305+EB305+EF305+EJ305+EN305+ES305</f>
        <v>31827000</v>
      </c>
      <c r="EX305" s="86">
        <f>DK305+DO305+DT305+DY305+EC305+EG305+EK305+EO305+ET305</f>
        <v>170200000</v>
      </c>
      <c r="EY305" s="86">
        <f>DL305+DP305+DU305+DZ305+ED305+EH305+EL305+EP305+EU305</f>
        <v>149731343</v>
      </c>
      <c r="EZ305" s="86">
        <f>DM305+DQ305+DV305+EA305+EE305+EI305+EM305+EQ305+EV305</f>
        <v>149731343</v>
      </c>
      <c r="FA305" s="176"/>
      <c r="FB305" s="83"/>
      <c r="FC305" s="84"/>
      <c r="FD305" s="84"/>
      <c r="FE305" s="84"/>
      <c r="FF305" s="140"/>
      <c r="FG305" s="83"/>
      <c r="FH305" s="83">
        <v>170200000</v>
      </c>
      <c r="FI305" s="83">
        <v>107872580</v>
      </c>
      <c r="FJ305" s="83">
        <v>45581632.100000001</v>
      </c>
      <c r="FK305" s="83"/>
      <c r="FL305" s="83">
        <v>32781810</v>
      </c>
      <c r="FM305" s="83"/>
      <c r="FN305" s="83"/>
      <c r="FO305" s="83"/>
      <c r="FP305" s="83"/>
      <c r="FQ305" s="83"/>
      <c r="FR305" s="83"/>
      <c r="FS305" s="83"/>
      <c r="FT305" s="83"/>
      <c r="FU305" s="83"/>
      <c r="FV305" s="83"/>
      <c r="FW305" s="83"/>
      <c r="FX305" s="83"/>
      <c r="FY305" s="83"/>
      <c r="FZ305" s="83"/>
      <c r="GA305" s="83"/>
      <c r="GB305" s="83"/>
      <c r="GC305" s="83"/>
      <c r="GD305" s="83"/>
      <c r="GE305" s="83"/>
      <c r="GF305" s="83"/>
      <c r="GG305" s="83"/>
      <c r="GH305" s="83"/>
      <c r="GI305" s="83"/>
      <c r="GJ305" s="83"/>
      <c r="GK305" s="83"/>
      <c r="GL305" s="83"/>
      <c r="GM305" s="83"/>
      <c r="GN305" s="83"/>
      <c r="GO305" s="83"/>
      <c r="GP305" s="83"/>
      <c r="GQ305" s="83"/>
      <c r="GR305" s="83"/>
      <c r="GS305" s="83"/>
      <c r="GT305" s="83"/>
      <c r="GU305" s="81">
        <f>FB305+FG305+FL305+FQ305+FV305+GA305+GF305+GK305+GP305</f>
        <v>32781810</v>
      </c>
      <c r="GV305" s="81">
        <f>GQ305+GL305+GG305+GB305+FW305+FR305+FM305+FH305+FC305</f>
        <v>170200000</v>
      </c>
      <c r="GW305" s="81">
        <f>GR305+GM305+GH305+GC305+FX305+FS305+FN305+FI305+FD305</f>
        <v>107872580</v>
      </c>
      <c r="GX305" s="81">
        <f>GS305+GN305+GI305+GD305+FY305+FT305+FO305+FJ305+FE305</f>
        <v>45581632.100000001</v>
      </c>
      <c r="GY305" s="673">
        <f>GT305+GO305+GJ305+GE305+FZ305+FU305+FP305+FK305+FF305</f>
        <v>0</v>
      </c>
      <c r="GZ305" s="67">
        <f>BM305+DE305+EW305+GU305</f>
        <v>125508810</v>
      </c>
    </row>
    <row r="306" spans="1:208" ht="24.75" customHeight="1" x14ac:dyDescent="0.2">
      <c r="A306" s="326"/>
      <c r="B306" s="326"/>
      <c r="C306" s="246">
        <v>70</v>
      </c>
      <c r="D306" s="412" t="s">
        <v>714</v>
      </c>
      <c r="E306" s="295"/>
      <c r="F306" s="295"/>
      <c r="G306" s="249"/>
      <c r="H306" s="249"/>
      <c r="I306" s="249"/>
      <c r="J306" s="249"/>
      <c r="K306" s="249"/>
      <c r="L306" s="249"/>
      <c r="M306" s="249"/>
      <c r="N306" s="249"/>
      <c r="O306" s="249"/>
      <c r="P306" s="249"/>
      <c r="Q306" s="249"/>
      <c r="R306" s="249"/>
      <c r="S306" s="249"/>
      <c r="T306" s="249"/>
      <c r="U306" s="249"/>
      <c r="V306" s="249"/>
      <c r="W306" s="249"/>
      <c r="X306" s="249"/>
      <c r="Y306" s="296"/>
      <c r="Z306" s="249"/>
      <c r="AA306" s="249"/>
      <c r="AB306" s="249"/>
      <c r="AC306" s="196">
        <f t="shared" ref="AC306:BL306" si="670">SUM(AC307)</f>
        <v>0</v>
      </c>
      <c r="AD306" s="196">
        <f t="shared" si="670"/>
        <v>0</v>
      </c>
      <c r="AE306" s="196">
        <f t="shared" si="670"/>
        <v>0</v>
      </c>
      <c r="AF306" s="196">
        <f t="shared" si="670"/>
        <v>0</v>
      </c>
      <c r="AG306" s="196">
        <f t="shared" si="670"/>
        <v>0</v>
      </c>
      <c r="AH306" s="196">
        <f t="shared" si="670"/>
        <v>3989853</v>
      </c>
      <c r="AI306" s="196">
        <f t="shared" si="670"/>
        <v>0</v>
      </c>
      <c r="AJ306" s="196">
        <f t="shared" si="670"/>
        <v>0</v>
      </c>
      <c r="AK306" s="196">
        <f t="shared" si="670"/>
        <v>41876799.640000001</v>
      </c>
      <c r="AL306" s="196">
        <f t="shared" si="670"/>
        <v>156192514.63999999</v>
      </c>
      <c r="AM306" s="196">
        <f t="shared" si="670"/>
        <v>150315135</v>
      </c>
      <c r="AN306" s="196">
        <f t="shared" si="670"/>
        <v>150315135</v>
      </c>
      <c r="AO306" s="196">
        <f t="shared" si="670"/>
        <v>0</v>
      </c>
      <c r="AP306" s="196">
        <f t="shared" si="670"/>
        <v>0</v>
      </c>
      <c r="AQ306" s="196">
        <f t="shared" si="670"/>
        <v>0</v>
      </c>
      <c r="AR306" s="196">
        <f t="shared" si="670"/>
        <v>0</v>
      </c>
      <c r="AS306" s="196">
        <f t="shared" si="670"/>
        <v>0</v>
      </c>
      <c r="AT306" s="196">
        <f t="shared" si="670"/>
        <v>0</v>
      </c>
      <c r="AU306" s="196">
        <f t="shared" si="670"/>
        <v>0</v>
      </c>
      <c r="AV306" s="196">
        <f t="shared" si="670"/>
        <v>0</v>
      </c>
      <c r="AW306" s="196">
        <f t="shared" si="670"/>
        <v>0</v>
      </c>
      <c r="AX306" s="196">
        <f t="shared" si="670"/>
        <v>0</v>
      </c>
      <c r="AY306" s="196">
        <f t="shared" si="670"/>
        <v>0</v>
      </c>
      <c r="AZ306" s="196">
        <f t="shared" si="670"/>
        <v>0</v>
      </c>
      <c r="BA306" s="196">
        <f t="shared" si="670"/>
        <v>0</v>
      </c>
      <c r="BB306" s="196">
        <f t="shared" si="670"/>
        <v>0</v>
      </c>
      <c r="BC306" s="196">
        <f t="shared" si="670"/>
        <v>0</v>
      </c>
      <c r="BD306" s="196">
        <f t="shared" si="670"/>
        <v>0</v>
      </c>
      <c r="BE306" s="196">
        <f t="shared" si="670"/>
        <v>0</v>
      </c>
      <c r="BF306" s="196">
        <f t="shared" si="670"/>
        <v>0</v>
      </c>
      <c r="BG306" s="196">
        <f t="shared" si="670"/>
        <v>0</v>
      </c>
      <c r="BH306" s="196">
        <f t="shared" si="670"/>
        <v>0</v>
      </c>
      <c r="BI306" s="196">
        <f t="shared" si="670"/>
        <v>0</v>
      </c>
      <c r="BJ306" s="196">
        <f t="shared" si="670"/>
        <v>0</v>
      </c>
      <c r="BK306" s="196">
        <f t="shared" si="670"/>
        <v>0</v>
      </c>
      <c r="BL306" s="196">
        <f t="shared" si="670"/>
        <v>0</v>
      </c>
      <c r="BM306" s="196">
        <f t="shared" ref="BM306:DX306" si="671">SUM(BM307)</f>
        <v>41876799.640000001</v>
      </c>
      <c r="BN306" s="196">
        <f t="shared" si="671"/>
        <v>160182367.63999999</v>
      </c>
      <c r="BO306" s="196">
        <f t="shared" si="671"/>
        <v>150315135</v>
      </c>
      <c r="BP306" s="196">
        <f t="shared" si="671"/>
        <v>150315135</v>
      </c>
      <c r="BQ306" s="196">
        <f t="shared" si="671"/>
        <v>0</v>
      </c>
      <c r="BR306" s="196">
        <f t="shared" si="671"/>
        <v>0</v>
      </c>
      <c r="BS306" s="196">
        <f t="shared" si="671"/>
        <v>0</v>
      </c>
      <c r="BT306" s="196">
        <f t="shared" si="671"/>
        <v>0</v>
      </c>
      <c r="BU306" s="196">
        <f t="shared" si="671"/>
        <v>0</v>
      </c>
      <c r="BV306" s="196">
        <f t="shared" si="671"/>
        <v>405652384</v>
      </c>
      <c r="BW306" s="196">
        <f t="shared" si="671"/>
        <v>384167978</v>
      </c>
      <c r="BX306" s="196">
        <f t="shared" si="671"/>
        <v>384167978</v>
      </c>
      <c r="BY306" s="196">
        <f t="shared" si="671"/>
        <v>0</v>
      </c>
      <c r="BZ306" s="196">
        <f t="shared" si="671"/>
        <v>43133103.629199989</v>
      </c>
      <c r="CA306" s="196">
        <f t="shared" si="671"/>
        <v>0</v>
      </c>
      <c r="CB306" s="196">
        <f t="shared" si="671"/>
        <v>0</v>
      </c>
      <c r="CC306" s="196">
        <f t="shared" si="671"/>
        <v>0</v>
      </c>
      <c r="CD306" s="196">
        <f t="shared" si="671"/>
        <v>0</v>
      </c>
      <c r="CE306" s="196">
        <f t="shared" si="671"/>
        <v>0</v>
      </c>
      <c r="CF306" s="196">
        <f t="shared" si="671"/>
        <v>0</v>
      </c>
      <c r="CG306" s="196">
        <f t="shared" si="671"/>
        <v>0</v>
      </c>
      <c r="CH306" s="196">
        <f t="shared" si="671"/>
        <v>0</v>
      </c>
      <c r="CI306" s="196">
        <f t="shared" si="671"/>
        <v>0</v>
      </c>
      <c r="CJ306" s="196">
        <f t="shared" si="671"/>
        <v>0</v>
      </c>
      <c r="CK306" s="196">
        <f t="shared" si="671"/>
        <v>0</v>
      </c>
      <c r="CL306" s="196">
        <f t="shared" si="671"/>
        <v>0</v>
      </c>
      <c r="CM306" s="196">
        <f t="shared" si="671"/>
        <v>0</v>
      </c>
      <c r="CN306" s="196">
        <f t="shared" si="671"/>
        <v>0</v>
      </c>
      <c r="CO306" s="196">
        <f t="shared" si="671"/>
        <v>0</v>
      </c>
      <c r="CP306" s="196">
        <f t="shared" si="671"/>
        <v>0</v>
      </c>
      <c r="CQ306" s="196">
        <f t="shared" si="671"/>
        <v>0</v>
      </c>
      <c r="CR306" s="196">
        <f t="shared" si="671"/>
        <v>0</v>
      </c>
      <c r="CS306" s="196">
        <f t="shared" si="671"/>
        <v>0</v>
      </c>
      <c r="CT306" s="196">
        <f t="shared" si="671"/>
        <v>0</v>
      </c>
      <c r="CU306" s="196">
        <f t="shared" si="671"/>
        <v>0</v>
      </c>
      <c r="CV306" s="196">
        <f t="shared" si="671"/>
        <v>0</v>
      </c>
      <c r="CW306" s="196">
        <f t="shared" si="671"/>
        <v>0</v>
      </c>
      <c r="CX306" s="196">
        <f t="shared" si="671"/>
        <v>0</v>
      </c>
      <c r="CY306" s="196">
        <f t="shared" si="671"/>
        <v>0</v>
      </c>
      <c r="CZ306" s="196">
        <f t="shared" si="671"/>
        <v>0</v>
      </c>
      <c r="DA306" s="196">
        <f t="shared" si="671"/>
        <v>0</v>
      </c>
      <c r="DB306" s="196">
        <f t="shared" si="671"/>
        <v>0</v>
      </c>
      <c r="DC306" s="196">
        <f t="shared" si="671"/>
        <v>0</v>
      </c>
      <c r="DD306" s="196">
        <f t="shared" si="671"/>
        <v>0</v>
      </c>
      <c r="DE306" s="196">
        <f t="shared" si="671"/>
        <v>43133103.629199989</v>
      </c>
      <c r="DF306" s="196">
        <f t="shared" si="671"/>
        <v>405652384</v>
      </c>
      <c r="DG306" s="196">
        <f t="shared" si="671"/>
        <v>384167978</v>
      </c>
      <c r="DH306" s="196">
        <f t="shared" si="671"/>
        <v>384167978</v>
      </c>
      <c r="DI306" s="196">
        <f t="shared" si="671"/>
        <v>0</v>
      </c>
      <c r="DJ306" s="196">
        <f t="shared" si="671"/>
        <v>0</v>
      </c>
      <c r="DK306" s="196">
        <f t="shared" si="671"/>
        <v>0</v>
      </c>
      <c r="DL306" s="196">
        <f t="shared" si="671"/>
        <v>0</v>
      </c>
      <c r="DM306" s="196">
        <f t="shared" si="671"/>
        <v>0</v>
      </c>
      <c r="DN306" s="196">
        <f t="shared" si="671"/>
        <v>0</v>
      </c>
      <c r="DO306" s="196">
        <f t="shared" si="671"/>
        <v>420107384.49000001</v>
      </c>
      <c r="DP306" s="196">
        <f t="shared" si="671"/>
        <v>366421084</v>
      </c>
      <c r="DQ306" s="196">
        <f t="shared" si="671"/>
        <v>366421084</v>
      </c>
      <c r="DR306" s="196">
        <f t="shared" si="671"/>
        <v>0</v>
      </c>
      <c r="DS306" s="196">
        <f t="shared" si="671"/>
        <v>44427096.738075987</v>
      </c>
      <c r="DT306" s="196">
        <f t="shared" si="671"/>
        <v>0</v>
      </c>
      <c r="DU306" s="196">
        <f t="shared" si="671"/>
        <v>0</v>
      </c>
      <c r="DV306" s="196">
        <f t="shared" si="671"/>
        <v>0</v>
      </c>
      <c r="DW306" s="196">
        <f t="shared" si="671"/>
        <v>0</v>
      </c>
      <c r="DX306" s="196">
        <f t="shared" si="671"/>
        <v>0</v>
      </c>
      <c r="DY306" s="196">
        <f t="shared" ref="DY306:EW306" si="672">SUM(DY307)</f>
        <v>0</v>
      </c>
      <c r="DZ306" s="196">
        <f t="shared" si="672"/>
        <v>0</v>
      </c>
      <c r="EA306" s="196">
        <f t="shared" si="672"/>
        <v>0</v>
      </c>
      <c r="EB306" s="196">
        <f t="shared" si="672"/>
        <v>0</v>
      </c>
      <c r="EC306" s="196">
        <f t="shared" si="672"/>
        <v>0</v>
      </c>
      <c r="ED306" s="196">
        <f t="shared" si="672"/>
        <v>0</v>
      </c>
      <c r="EE306" s="196">
        <f t="shared" si="672"/>
        <v>0</v>
      </c>
      <c r="EF306" s="196">
        <f t="shared" si="672"/>
        <v>0</v>
      </c>
      <c r="EG306" s="196">
        <f t="shared" si="672"/>
        <v>0</v>
      </c>
      <c r="EH306" s="196">
        <f t="shared" si="672"/>
        <v>0</v>
      </c>
      <c r="EI306" s="196">
        <f t="shared" si="672"/>
        <v>0</v>
      </c>
      <c r="EJ306" s="196">
        <f t="shared" si="672"/>
        <v>0</v>
      </c>
      <c r="EK306" s="196">
        <f t="shared" si="672"/>
        <v>0</v>
      </c>
      <c r="EL306" s="196">
        <f t="shared" si="672"/>
        <v>0</v>
      </c>
      <c r="EM306" s="196">
        <f t="shared" si="672"/>
        <v>0</v>
      </c>
      <c r="EN306" s="196">
        <f t="shared" si="672"/>
        <v>0</v>
      </c>
      <c r="EO306" s="196">
        <f t="shared" si="672"/>
        <v>0</v>
      </c>
      <c r="EP306" s="196">
        <f t="shared" si="672"/>
        <v>0</v>
      </c>
      <c r="EQ306" s="196">
        <f t="shared" si="672"/>
        <v>0</v>
      </c>
      <c r="ER306" s="196">
        <f t="shared" si="672"/>
        <v>0</v>
      </c>
      <c r="ES306" s="196">
        <f t="shared" si="672"/>
        <v>0</v>
      </c>
      <c r="ET306" s="196">
        <f t="shared" si="672"/>
        <v>0</v>
      </c>
      <c r="EU306" s="196">
        <f t="shared" si="672"/>
        <v>0</v>
      </c>
      <c r="EV306" s="196">
        <f t="shared" si="672"/>
        <v>0</v>
      </c>
      <c r="EW306" s="196">
        <f t="shared" si="672"/>
        <v>44427096.738075987</v>
      </c>
      <c r="EX306" s="196">
        <f t="shared" ref="EX306:GZ306" si="673">SUM(EX307)</f>
        <v>420107384.49000001</v>
      </c>
      <c r="EY306" s="196">
        <f t="shared" si="673"/>
        <v>366421084</v>
      </c>
      <c r="EZ306" s="196">
        <f t="shared" si="673"/>
        <v>366421084</v>
      </c>
      <c r="FA306" s="196">
        <f t="shared" si="673"/>
        <v>0</v>
      </c>
      <c r="FB306" s="196">
        <f t="shared" si="673"/>
        <v>0</v>
      </c>
      <c r="FC306" s="196">
        <f t="shared" si="673"/>
        <v>0</v>
      </c>
      <c r="FD306" s="196">
        <f t="shared" si="673"/>
        <v>0</v>
      </c>
      <c r="FE306" s="196">
        <f t="shared" si="673"/>
        <v>0</v>
      </c>
      <c r="FF306" s="196">
        <f t="shared" si="673"/>
        <v>0</v>
      </c>
      <c r="FG306" s="196">
        <f t="shared" si="673"/>
        <v>0</v>
      </c>
      <c r="FH306" s="196">
        <f t="shared" si="673"/>
        <v>378974532.34000003</v>
      </c>
      <c r="FI306" s="196">
        <f t="shared" si="673"/>
        <v>73243000</v>
      </c>
      <c r="FJ306" s="196">
        <f t="shared" si="673"/>
        <v>34350000</v>
      </c>
      <c r="FK306" s="196">
        <f t="shared" si="673"/>
        <v>0</v>
      </c>
      <c r="FL306" s="196">
        <f t="shared" si="673"/>
        <v>45759909.640218265</v>
      </c>
      <c r="FM306" s="196">
        <f t="shared" si="673"/>
        <v>0</v>
      </c>
      <c r="FN306" s="196">
        <f t="shared" si="673"/>
        <v>0</v>
      </c>
      <c r="FO306" s="196">
        <f t="shared" si="673"/>
        <v>0</v>
      </c>
      <c r="FP306" s="196">
        <f t="shared" si="673"/>
        <v>0</v>
      </c>
      <c r="FQ306" s="196">
        <f t="shared" si="673"/>
        <v>0</v>
      </c>
      <c r="FR306" s="196">
        <f t="shared" si="673"/>
        <v>0</v>
      </c>
      <c r="FS306" s="196">
        <f t="shared" si="673"/>
        <v>0</v>
      </c>
      <c r="FT306" s="196">
        <f t="shared" si="673"/>
        <v>0</v>
      </c>
      <c r="FU306" s="196">
        <f t="shared" si="673"/>
        <v>0</v>
      </c>
      <c r="FV306" s="196">
        <f t="shared" si="673"/>
        <v>0</v>
      </c>
      <c r="FW306" s="196">
        <f t="shared" si="673"/>
        <v>0</v>
      </c>
      <c r="FX306" s="196">
        <f t="shared" si="673"/>
        <v>0</v>
      </c>
      <c r="FY306" s="196">
        <f t="shared" si="673"/>
        <v>0</v>
      </c>
      <c r="FZ306" s="196">
        <f t="shared" si="673"/>
        <v>0</v>
      </c>
      <c r="GA306" s="196">
        <f t="shared" si="673"/>
        <v>0</v>
      </c>
      <c r="GB306" s="196">
        <f t="shared" si="673"/>
        <v>0</v>
      </c>
      <c r="GC306" s="196">
        <f t="shared" si="673"/>
        <v>0</v>
      </c>
      <c r="GD306" s="196">
        <f t="shared" si="673"/>
        <v>0</v>
      </c>
      <c r="GE306" s="196">
        <f t="shared" si="673"/>
        <v>0</v>
      </c>
      <c r="GF306" s="196">
        <f t="shared" si="673"/>
        <v>0</v>
      </c>
      <c r="GG306" s="196">
        <f t="shared" si="673"/>
        <v>0</v>
      </c>
      <c r="GH306" s="196">
        <f t="shared" si="673"/>
        <v>0</v>
      </c>
      <c r="GI306" s="196">
        <f t="shared" si="673"/>
        <v>0</v>
      </c>
      <c r="GJ306" s="196">
        <f t="shared" si="673"/>
        <v>0</v>
      </c>
      <c r="GK306" s="196">
        <f t="shared" si="673"/>
        <v>0</v>
      </c>
      <c r="GL306" s="196">
        <f t="shared" si="673"/>
        <v>0</v>
      </c>
      <c r="GM306" s="196">
        <f t="shared" si="673"/>
        <v>0</v>
      </c>
      <c r="GN306" s="196">
        <f t="shared" si="673"/>
        <v>0</v>
      </c>
      <c r="GO306" s="196">
        <f t="shared" si="673"/>
        <v>0</v>
      </c>
      <c r="GP306" s="196">
        <f t="shared" si="673"/>
        <v>0</v>
      </c>
      <c r="GQ306" s="196">
        <f t="shared" si="673"/>
        <v>0</v>
      </c>
      <c r="GR306" s="196">
        <f t="shared" si="673"/>
        <v>0</v>
      </c>
      <c r="GS306" s="196">
        <f t="shared" si="673"/>
        <v>0</v>
      </c>
      <c r="GT306" s="196">
        <f t="shared" si="673"/>
        <v>0</v>
      </c>
      <c r="GU306" s="196">
        <f t="shared" si="673"/>
        <v>45759909.640218265</v>
      </c>
      <c r="GV306" s="196">
        <f t="shared" si="673"/>
        <v>378974532.34000003</v>
      </c>
      <c r="GW306" s="196">
        <f t="shared" si="673"/>
        <v>73243000</v>
      </c>
      <c r="GX306" s="196">
        <f t="shared" si="673"/>
        <v>34350000</v>
      </c>
      <c r="GY306" s="196">
        <f t="shared" si="673"/>
        <v>0</v>
      </c>
      <c r="GZ306" s="186">
        <f t="shared" si="673"/>
        <v>175196909.64749426</v>
      </c>
    </row>
    <row r="307" spans="1:208" ht="152.25" customHeight="1" x14ac:dyDescent="0.2">
      <c r="A307" s="326"/>
      <c r="B307" s="326"/>
      <c r="C307" s="288">
        <v>36</v>
      </c>
      <c r="D307" s="721" t="s">
        <v>705</v>
      </c>
      <c r="E307" s="1038">
        <v>0.4</v>
      </c>
      <c r="F307" s="1038">
        <v>0.6</v>
      </c>
      <c r="G307" s="265">
        <v>205</v>
      </c>
      <c r="H307" s="261" t="s">
        <v>715</v>
      </c>
      <c r="I307" s="275" t="s">
        <v>716</v>
      </c>
      <c r="J307" s="262" t="s">
        <v>708</v>
      </c>
      <c r="K307" s="415">
        <v>4</v>
      </c>
      <c r="L307" s="304" t="s">
        <v>73</v>
      </c>
      <c r="M307" s="288">
        <v>4</v>
      </c>
      <c r="N307" s="288">
        <v>4</v>
      </c>
      <c r="O307" s="259">
        <v>1</v>
      </c>
      <c r="P307" s="387">
        <v>1</v>
      </c>
      <c r="Q307" s="288">
        <v>1</v>
      </c>
      <c r="R307" s="268"/>
      <c r="S307" s="387">
        <v>1</v>
      </c>
      <c r="T307" s="288">
        <v>1</v>
      </c>
      <c r="U307" s="288"/>
      <c r="V307" s="389">
        <v>1</v>
      </c>
      <c r="W307" s="288">
        <v>1</v>
      </c>
      <c r="X307" s="304"/>
      <c r="Y307" s="631">
        <v>0.4</v>
      </c>
      <c r="Z307" s="443">
        <f>BM307/BM306</f>
        <v>1</v>
      </c>
      <c r="AA307" s="264">
        <v>10</v>
      </c>
      <c r="AB307" s="263" t="s">
        <v>389</v>
      </c>
      <c r="AC307" s="57"/>
      <c r="AD307" s="58"/>
      <c r="AE307" s="59"/>
      <c r="AF307" s="59"/>
      <c r="AG307" s="57"/>
      <c r="AH307" s="58">
        <v>3989853</v>
      </c>
      <c r="AI307" s="58"/>
      <c r="AJ307" s="58"/>
      <c r="AK307" s="57">
        <v>41876799.640000001</v>
      </c>
      <c r="AL307" s="55">
        <v>156192514.63999999</v>
      </c>
      <c r="AM307" s="58">
        <v>150315135</v>
      </c>
      <c r="AN307" s="58">
        <v>150315135</v>
      </c>
      <c r="AO307" s="57"/>
      <c r="AP307" s="58"/>
      <c r="AQ307" s="58"/>
      <c r="AR307" s="58"/>
      <c r="AS307" s="57"/>
      <c r="AT307" s="58"/>
      <c r="AU307" s="59"/>
      <c r="AV307" s="59"/>
      <c r="AW307" s="57"/>
      <c r="AX307" s="58"/>
      <c r="AY307" s="58"/>
      <c r="AZ307" s="58"/>
      <c r="BA307" s="57"/>
      <c r="BB307" s="58"/>
      <c r="BC307" s="58"/>
      <c r="BD307" s="58"/>
      <c r="BE307" s="57"/>
      <c r="BF307" s="58"/>
      <c r="BG307" s="59"/>
      <c r="BH307" s="59"/>
      <c r="BI307" s="57"/>
      <c r="BJ307" s="58"/>
      <c r="BK307" s="58"/>
      <c r="BL307" s="58"/>
      <c r="BM307" s="53">
        <f>+AC307+AG307+AK307+AO307+AS307+AW307+BA307+BE307+BI307</f>
        <v>41876799.640000001</v>
      </c>
      <c r="BN307" s="54">
        <f>AD307+AH307+AL307+AP307+AT307+AX307+BB307+BF307+BJ307</f>
        <v>160182367.63999999</v>
      </c>
      <c r="BO307" s="54">
        <f>AE307+AI307+AM307+AQ307+AU307+AY307+BC307+BG307+BK307</f>
        <v>150315135</v>
      </c>
      <c r="BP307" s="54">
        <f>AF307+AJ307+AN307+AR307+AV307+AZ307+BD307+BH307+BL307</f>
        <v>150315135</v>
      </c>
      <c r="BQ307" s="83"/>
      <c r="BR307" s="83"/>
      <c r="BS307" s="83"/>
      <c r="BT307" s="83"/>
      <c r="BU307" s="83"/>
      <c r="BV307" s="83">
        <v>405652384</v>
      </c>
      <c r="BW307" s="83">
        <v>384167978</v>
      </c>
      <c r="BX307" s="83">
        <v>384167978</v>
      </c>
      <c r="BY307" s="83"/>
      <c r="BZ307" s="84">
        <v>43133103.629199989</v>
      </c>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1">
        <f>BQ307+BU307+BZ307+CE307+CI307+CM307+CQ307+CV307+DA307</f>
        <v>43133103.629199989</v>
      </c>
      <c r="DF307" s="95">
        <f>BR307+BV307+CA307+CF307+CJ307+CN307+CR307+CW307+DB307</f>
        <v>405652384</v>
      </c>
      <c r="DG307" s="95">
        <f>BS307+BW307+CB307+CG307+CK307+CO307+CS307+CX307+DC307</f>
        <v>384167978</v>
      </c>
      <c r="DH307" s="95">
        <f>BT307+BX307+CC307+CH307+CL307+CP307+CT307+CY307+DD307</f>
        <v>384167978</v>
      </c>
      <c r="DI307" s="95"/>
      <c r="DJ307" s="84"/>
      <c r="DK307" s="65"/>
      <c r="DL307" s="84"/>
      <c r="DM307" s="84"/>
      <c r="DN307" s="84"/>
      <c r="DO307" s="84">
        <v>420107384.49000001</v>
      </c>
      <c r="DP307" s="84">
        <v>366421084</v>
      </c>
      <c r="DQ307" s="84">
        <v>366421084</v>
      </c>
      <c r="DR307" s="84"/>
      <c r="DS307" s="84">
        <v>44427096.738075987</v>
      </c>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3"/>
      <c r="EU307" s="83"/>
      <c r="EV307" s="83"/>
      <c r="EW307" s="81">
        <f>DJ307+DN307+DS307+DX307+EB307+EF307+EJ307+EN307+ES307</f>
        <v>44427096.738075987</v>
      </c>
      <c r="EX307" s="86">
        <f>DK307+DO307+DT307+DY307+EC307+EG307+EK307+EO307+ET307</f>
        <v>420107384.49000001</v>
      </c>
      <c r="EY307" s="86">
        <f>DL307+DP307+DU307+DZ307+ED307+EH307+EL307+EP307+EU307</f>
        <v>366421084</v>
      </c>
      <c r="EZ307" s="86">
        <f>DM307+DQ307+DV307+EA307+EE307+EI307+EM307+EQ307+EV307</f>
        <v>366421084</v>
      </c>
      <c r="FA307" s="176"/>
      <c r="FB307" s="603"/>
      <c r="FC307" s="183"/>
      <c r="FD307" s="183"/>
      <c r="FE307" s="183"/>
      <c r="FF307" s="94"/>
      <c r="FG307" s="83"/>
      <c r="FH307" s="83">
        <v>378974532.34000003</v>
      </c>
      <c r="FI307" s="83">
        <v>73243000</v>
      </c>
      <c r="FJ307" s="83">
        <v>34350000</v>
      </c>
      <c r="FK307" s="83"/>
      <c r="FL307" s="83">
        <v>45759909.640218265</v>
      </c>
      <c r="FM307" s="83"/>
      <c r="FN307" s="83"/>
      <c r="FO307" s="83"/>
      <c r="FP307" s="83"/>
      <c r="FQ307" s="83"/>
      <c r="FR307" s="83"/>
      <c r="FS307" s="83"/>
      <c r="FT307" s="83"/>
      <c r="FU307" s="83"/>
      <c r="FV307" s="83"/>
      <c r="FW307" s="83"/>
      <c r="FX307" s="83"/>
      <c r="FY307" s="83"/>
      <c r="FZ307" s="83"/>
      <c r="GA307" s="83"/>
      <c r="GB307" s="83"/>
      <c r="GC307" s="83"/>
      <c r="GD307" s="83"/>
      <c r="GE307" s="83"/>
      <c r="GF307" s="83"/>
      <c r="GG307" s="83"/>
      <c r="GH307" s="83"/>
      <c r="GI307" s="83"/>
      <c r="GJ307" s="83"/>
      <c r="GK307" s="83"/>
      <c r="GL307" s="83"/>
      <c r="GM307" s="83"/>
      <c r="GN307" s="83"/>
      <c r="GO307" s="83"/>
      <c r="GP307" s="83"/>
      <c r="GQ307" s="83"/>
      <c r="GR307" s="83"/>
      <c r="GS307" s="83"/>
      <c r="GT307" s="83"/>
      <c r="GU307" s="81">
        <f>FB307+FG307+FL307+FQ307+FV307+GA307+GF307+GK307+GP307</f>
        <v>45759909.640218265</v>
      </c>
      <c r="GV307" s="81">
        <f>GQ307+GL307+GG307+GB307+FW307+FR307+FM307+FH307+FC307</f>
        <v>378974532.34000003</v>
      </c>
      <c r="GW307" s="81">
        <f>GR307+GM307+GH307+GC307+FX307+FS307+FN307+FI307+FD307</f>
        <v>73243000</v>
      </c>
      <c r="GX307" s="81">
        <f>GS307+GN307+GI307+GD307+FY307+FT307+FO307+FJ307+FE307</f>
        <v>34350000</v>
      </c>
      <c r="GY307" s="673">
        <f>GT307+GO307+GJ307+GE307+FZ307+FU307+FP307+FK307+FF307</f>
        <v>0</v>
      </c>
      <c r="GZ307" s="67">
        <f>BM307+DE307+EW307+GU307</f>
        <v>175196909.64749426</v>
      </c>
    </row>
    <row r="308" spans="1:208" ht="24.75" customHeight="1" x14ac:dyDescent="0.2">
      <c r="A308" s="326"/>
      <c r="B308" s="326"/>
      <c r="C308" s="246">
        <v>71</v>
      </c>
      <c r="D308" s="247" t="s">
        <v>717</v>
      </c>
      <c r="E308" s="250"/>
      <c r="F308" s="250"/>
      <c r="G308" s="249"/>
      <c r="H308" s="249"/>
      <c r="I308" s="249"/>
      <c r="J308" s="249"/>
      <c r="K308" s="249"/>
      <c r="L308" s="249"/>
      <c r="M308" s="249"/>
      <c r="N308" s="249"/>
      <c r="O308" s="249"/>
      <c r="P308" s="249"/>
      <c r="Q308" s="249"/>
      <c r="R308" s="249"/>
      <c r="S308" s="249"/>
      <c r="T308" s="249"/>
      <c r="U308" s="249"/>
      <c r="V308" s="249"/>
      <c r="W308" s="249"/>
      <c r="X308" s="249"/>
      <c r="Y308" s="296"/>
      <c r="Z308" s="249"/>
      <c r="AA308" s="249"/>
      <c r="AB308" s="249"/>
      <c r="AC308" s="51">
        <f t="shared" ref="AC308:BL308" si="674">SUM(AC309:AC311)</f>
        <v>0</v>
      </c>
      <c r="AD308" s="51">
        <f t="shared" si="674"/>
        <v>0</v>
      </c>
      <c r="AE308" s="51">
        <f t="shared" si="674"/>
        <v>0</v>
      </c>
      <c r="AF308" s="51">
        <f t="shared" si="674"/>
        <v>0</v>
      </c>
      <c r="AG308" s="51">
        <f t="shared" si="674"/>
        <v>0</v>
      </c>
      <c r="AH308" s="51">
        <f t="shared" si="674"/>
        <v>0</v>
      </c>
      <c r="AI308" s="51">
        <f t="shared" si="674"/>
        <v>0</v>
      </c>
      <c r="AJ308" s="51">
        <f t="shared" si="674"/>
        <v>0</v>
      </c>
      <c r="AK308" s="51">
        <f t="shared" si="674"/>
        <v>30000000</v>
      </c>
      <c r="AL308" s="51">
        <f t="shared" si="674"/>
        <v>30000000</v>
      </c>
      <c r="AM308" s="51">
        <f t="shared" si="674"/>
        <v>28133333</v>
      </c>
      <c r="AN308" s="51">
        <f t="shared" si="674"/>
        <v>28133333</v>
      </c>
      <c r="AO308" s="51">
        <f t="shared" si="674"/>
        <v>0</v>
      </c>
      <c r="AP308" s="51">
        <f t="shared" si="674"/>
        <v>0</v>
      </c>
      <c r="AQ308" s="51">
        <f t="shared" si="674"/>
        <v>0</v>
      </c>
      <c r="AR308" s="51">
        <f t="shared" si="674"/>
        <v>0</v>
      </c>
      <c r="AS308" s="51">
        <f t="shared" si="674"/>
        <v>0</v>
      </c>
      <c r="AT308" s="51">
        <f t="shared" si="674"/>
        <v>0</v>
      </c>
      <c r="AU308" s="51">
        <f t="shared" si="674"/>
        <v>0</v>
      </c>
      <c r="AV308" s="51">
        <f t="shared" si="674"/>
        <v>0</v>
      </c>
      <c r="AW308" s="51">
        <f t="shared" si="674"/>
        <v>0</v>
      </c>
      <c r="AX308" s="51">
        <f t="shared" si="674"/>
        <v>0</v>
      </c>
      <c r="AY308" s="51">
        <f t="shared" si="674"/>
        <v>0</v>
      </c>
      <c r="AZ308" s="51">
        <f t="shared" si="674"/>
        <v>0</v>
      </c>
      <c r="BA308" s="51">
        <f t="shared" si="674"/>
        <v>0</v>
      </c>
      <c r="BB308" s="51">
        <f t="shared" si="674"/>
        <v>0</v>
      </c>
      <c r="BC308" s="51">
        <f t="shared" si="674"/>
        <v>0</v>
      </c>
      <c r="BD308" s="51">
        <f t="shared" si="674"/>
        <v>0</v>
      </c>
      <c r="BE308" s="51">
        <f t="shared" si="674"/>
        <v>0</v>
      </c>
      <c r="BF308" s="51">
        <f t="shared" si="674"/>
        <v>0</v>
      </c>
      <c r="BG308" s="51">
        <f t="shared" si="674"/>
        <v>0</v>
      </c>
      <c r="BH308" s="51">
        <f t="shared" si="674"/>
        <v>0</v>
      </c>
      <c r="BI308" s="51">
        <f t="shared" si="674"/>
        <v>0</v>
      </c>
      <c r="BJ308" s="51">
        <f t="shared" si="674"/>
        <v>0</v>
      </c>
      <c r="BK308" s="51">
        <f t="shared" si="674"/>
        <v>0</v>
      </c>
      <c r="BL308" s="51">
        <f t="shared" si="674"/>
        <v>0</v>
      </c>
      <c r="BM308" s="51">
        <f t="shared" ref="BM308:DX308" si="675">SUM(BM309:BM311)</f>
        <v>30000000</v>
      </c>
      <c r="BN308" s="51">
        <f t="shared" si="675"/>
        <v>30000000</v>
      </c>
      <c r="BO308" s="51">
        <f t="shared" si="675"/>
        <v>28133333</v>
      </c>
      <c r="BP308" s="51">
        <f t="shared" si="675"/>
        <v>28133333</v>
      </c>
      <c r="BQ308" s="51">
        <f t="shared" si="675"/>
        <v>0</v>
      </c>
      <c r="BR308" s="51">
        <f t="shared" si="675"/>
        <v>0</v>
      </c>
      <c r="BS308" s="51">
        <f t="shared" si="675"/>
        <v>0</v>
      </c>
      <c r="BT308" s="51">
        <f t="shared" si="675"/>
        <v>0</v>
      </c>
      <c r="BU308" s="51">
        <f t="shared" si="675"/>
        <v>0</v>
      </c>
      <c r="BV308" s="51">
        <f t="shared" si="675"/>
        <v>490107447</v>
      </c>
      <c r="BW308" s="51">
        <f t="shared" si="675"/>
        <v>475479425.19</v>
      </c>
      <c r="BX308" s="51">
        <f t="shared" si="675"/>
        <v>475479425.19</v>
      </c>
      <c r="BY308" s="51">
        <f t="shared" si="675"/>
        <v>0</v>
      </c>
      <c r="BZ308" s="51">
        <f t="shared" si="675"/>
        <v>30900000</v>
      </c>
      <c r="CA308" s="51">
        <f t="shared" si="675"/>
        <v>0</v>
      </c>
      <c r="CB308" s="51">
        <f t="shared" si="675"/>
        <v>0</v>
      </c>
      <c r="CC308" s="51">
        <f t="shared" si="675"/>
        <v>0</v>
      </c>
      <c r="CD308" s="51">
        <f t="shared" si="675"/>
        <v>0</v>
      </c>
      <c r="CE308" s="51">
        <f t="shared" si="675"/>
        <v>0</v>
      </c>
      <c r="CF308" s="51">
        <f t="shared" si="675"/>
        <v>0</v>
      </c>
      <c r="CG308" s="51">
        <f t="shared" si="675"/>
        <v>0</v>
      </c>
      <c r="CH308" s="51">
        <f t="shared" si="675"/>
        <v>0</v>
      </c>
      <c r="CI308" s="51">
        <f t="shared" si="675"/>
        <v>0</v>
      </c>
      <c r="CJ308" s="51">
        <f t="shared" si="675"/>
        <v>0</v>
      </c>
      <c r="CK308" s="51">
        <f t="shared" si="675"/>
        <v>0</v>
      </c>
      <c r="CL308" s="51">
        <f t="shared" si="675"/>
        <v>0</v>
      </c>
      <c r="CM308" s="51">
        <f t="shared" si="675"/>
        <v>0</v>
      </c>
      <c r="CN308" s="51">
        <f t="shared" si="675"/>
        <v>0</v>
      </c>
      <c r="CO308" s="51">
        <f t="shared" si="675"/>
        <v>0</v>
      </c>
      <c r="CP308" s="51">
        <f t="shared" si="675"/>
        <v>0</v>
      </c>
      <c r="CQ308" s="51">
        <f t="shared" si="675"/>
        <v>0</v>
      </c>
      <c r="CR308" s="51">
        <f t="shared" si="675"/>
        <v>0</v>
      </c>
      <c r="CS308" s="51">
        <f t="shared" si="675"/>
        <v>0</v>
      </c>
      <c r="CT308" s="51">
        <f t="shared" si="675"/>
        <v>0</v>
      </c>
      <c r="CU308" s="51">
        <f t="shared" si="675"/>
        <v>0</v>
      </c>
      <c r="CV308" s="51">
        <f t="shared" si="675"/>
        <v>0</v>
      </c>
      <c r="CW308" s="51">
        <f t="shared" si="675"/>
        <v>0</v>
      </c>
      <c r="CX308" s="51">
        <f t="shared" si="675"/>
        <v>0</v>
      </c>
      <c r="CY308" s="51">
        <f t="shared" si="675"/>
        <v>0</v>
      </c>
      <c r="CZ308" s="51">
        <f t="shared" si="675"/>
        <v>0</v>
      </c>
      <c r="DA308" s="51">
        <f t="shared" si="675"/>
        <v>0</v>
      </c>
      <c r="DB308" s="51">
        <f t="shared" si="675"/>
        <v>0</v>
      </c>
      <c r="DC308" s="51">
        <f t="shared" si="675"/>
        <v>0</v>
      </c>
      <c r="DD308" s="51">
        <f t="shared" si="675"/>
        <v>0</v>
      </c>
      <c r="DE308" s="51">
        <f t="shared" si="675"/>
        <v>30900000</v>
      </c>
      <c r="DF308" s="51">
        <f t="shared" si="675"/>
        <v>490107447</v>
      </c>
      <c r="DG308" s="51">
        <f t="shared" si="675"/>
        <v>475479425.19</v>
      </c>
      <c r="DH308" s="51">
        <f t="shared" si="675"/>
        <v>475479425.19</v>
      </c>
      <c r="DI308" s="51">
        <f t="shared" si="675"/>
        <v>0</v>
      </c>
      <c r="DJ308" s="51">
        <f t="shared" si="675"/>
        <v>0</v>
      </c>
      <c r="DK308" s="51">
        <f t="shared" si="675"/>
        <v>0</v>
      </c>
      <c r="DL308" s="51">
        <f t="shared" si="675"/>
        <v>0</v>
      </c>
      <c r="DM308" s="51">
        <f t="shared" si="675"/>
        <v>0</v>
      </c>
      <c r="DN308" s="51">
        <f t="shared" si="675"/>
        <v>0</v>
      </c>
      <c r="DO308" s="51">
        <f t="shared" si="675"/>
        <v>855994512</v>
      </c>
      <c r="DP308" s="51">
        <f t="shared" si="675"/>
        <v>567427002</v>
      </c>
      <c r="DQ308" s="51">
        <f t="shared" si="675"/>
        <v>567427002</v>
      </c>
      <c r="DR308" s="51">
        <f t="shared" si="675"/>
        <v>0</v>
      </c>
      <c r="DS308" s="51">
        <f t="shared" si="675"/>
        <v>31827000</v>
      </c>
      <c r="DT308" s="51">
        <f t="shared" si="675"/>
        <v>0</v>
      </c>
      <c r="DU308" s="51">
        <f t="shared" si="675"/>
        <v>0</v>
      </c>
      <c r="DV308" s="51">
        <f t="shared" si="675"/>
        <v>0</v>
      </c>
      <c r="DW308" s="51">
        <f t="shared" si="675"/>
        <v>0</v>
      </c>
      <c r="DX308" s="51">
        <f t="shared" si="675"/>
        <v>0</v>
      </c>
      <c r="DY308" s="51">
        <f t="shared" ref="DY308:EW308" si="676">SUM(DY309:DY311)</f>
        <v>0</v>
      </c>
      <c r="DZ308" s="51">
        <f t="shared" si="676"/>
        <v>0</v>
      </c>
      <c r="EA308" s="51">
        <f t="shared" si="676"/>
        <v>0</v>
      </c>
      <c r="EB308" s="51">
        <f t="shared" si="676"/>
        <v>0</v>
      </c>
      <c r="EC308" s="51">
        <f t="shared" si="676"/>
        <v>0</v>
      </c>
      <c r="ED308" s="51">
        <f t="shared" si="676"/>
        <v>0</v>
      </c>
      <c r="EE308" s="51">
        <f t="shared" si="676"/>
        <v>0</v>
      </c>
      <c r="EF308" s="51">
        <f t="shared" si="676"/>
        <v>0</v>
      </c>
      <c r="EG308" s="51">
        <f t="shared" si="676"/>
        <v>0</v>
      </c>
      <c r="EH308" s="51">
        <f t="shared" si="676"/>
        <v>0</v>
      </c>
      <c r="EI308" s="51">
        <f t="shared" si="676"/>
        <v>0</v>
      </c>
      <c r="EJ308" s="51">
        <f t="shared" si="676"/>
        <v>0</v>
      </c>
      <c r="EK308" s="51">
        <f t="shared" si="676"/>
        <v>0</v>
      </c>
      <c r="EL308" s="51">
        <f t="shared" si="676"/>
        <v>0</v>
      </c>
      <c r="EM308" s="51">
        <f t="shared" si="676"/>
        <v>0</v>
      </c>
      <c r="EN308" s="51">
        <f t="shared" si="676"/>
        <v>0</v>
      </c>
      <c r="EO308" s="51">
        <f t="shared" si="676"/>
        <v>0</v>
      </c>
      <c r="EP308" s="51">
        <f t="shared" si="676"/>
        <v>0</v>
      </c>
      <c r="EQ308" s="51">
        <f t="shared" si="676"/>
        <v>0</v>
      </c>
      <c r="ER308" s="51">
        <f t="shared" si="676"/>
        <v>0</v>
      </c>
      <c r="ES308" s="51">
        <f t="shared" si="676"/>
        <v>0</v>
      </c>
      <c r="ET308" s="51">
        <f t="shared" si="676"/>
        <v>0</v>
      </c>
      <c r="EU308" s="51">
        <f t="shared" si="676"/>
        <v>0</v>
      </c>
      <c r="EV308" s="51">
        <f t="shared" si="676"/>
        <v>0</v>
      </c>
      <c r="EW308" s="51">
        <f t="shared" si="676"/>
        <v>31827000</v>
      </c>
      <c r="EX308" s="51">
        <f t="shared" ref="EX308:GZ308" si="677">SUM(EX309:EX311)</f>
        <v>855994512</v>
      </c>
      <c r="EY308" s="51">
        <f t="shared" si="677"/>
        <v>567427002</v>
      </c>
      <c r="EZ308" s="51">
        <f t="shared" si="677"/>
        <v>567427002</v>
      </c>
      <c r="FA308" s="51">
        <f t="shared" si="677"/>
        <v>0</v>
      </c>
      <c r="FB308" s="51">
        <f t="shared" si="677"/>
        <v>0</v>
      </c>
      <c r="FC308" s="51">
        <f t="shared" si="677"/>
        <v>0</v>
      </c>
      <c r="FD308" s="51">
        <f t="shared" si="677"/>
        <v>0</v>
      </c>
      <c r="FE308" s="51">
        <f t="shared" si="677"/>
        <v>0</v>
      </c>
      <c r="FF308" s="51">
        <f t="shared" si="677"/>
        <v>0</v>
      </c>
      <c r="FG308" s="51">
        <f t="shared" si="677"/>
        <v>0</v>
      </c>
      <c r="FH308" s="51">
        <f t="shared" si="677"/>
        <v>350000000</v>
      </c>
      <c r="FI308" s="51">
        <f t="shared" si="677"/>
        <v>198545076</v>
      </c>
      <c r="FJ308" s="51">
        <f t="shared" si="677"/>
        <v>71043600</v>
      </c>
      <c r="FK308" s="51">
        <f t="shared" si="677"/>
        <v>0</v>
      </c>
      <c r="FL308" s="51">
        <f t="shared" si="677"/>
        <v>32781810</v>
      </c>
      <c r="FM308" s="51">
        <f t="shared" si="677"/>
        <v>0</v>
      </c>
      <c r="FN308" s="51">
        <f t="shared" si="677"/>
        <v>0</v>
      </c>
      <c r="FO308" s="51">
        <f t="shared" si="677"/>
        <v>0</v>
      </c>
      <c r="FP308" s="51">
        <f t="shared" si="677"/>
        <v>0</v>
      </c>
      <c r="FQ308" s="51">
        <f t="shared" si="677"/>
        <v>0</v>
      </c>
      <c r="FR308" s="51">
        <f t="shared" si="677"/>
        <v>0</v>
      </c>
      <c r="FS308" s="51">
        <f t="shared" si="677"/>
        <v>0</v>
      </c>
      <c r="FT308" s="51">
        <f t="shared" si="677"/>
        <v>0</v>
      </c>
      <c r="FU308" s="51">
        <f t="shared" si="677"/>
        <v>0</v>
      </c>
      <c r="FV308" s="51">
        <f t="shared" si="677"/>
        <v>0</v>
      </c>
      <c r="FW308" s="51">
        <f t="shared" si="677"/>
        <v>0</v>
      </c>
      <c r="FX308" s="51">
        <f t="shared" si="677"/>
        <v>0</v>
      </c>
      <c r="FY308" s="51">
        <f t="shared" si="677"/>
        <v>0</v>
      </c>
      <c r="FZ308" s="51">
        <f t="shared" si="677"/>
        <v>0</v>
      </c>
      <c r="GA308" s="51">
        <f t="shared" si="677"/>
        <v>0</v>
      </c>
      <c r="GB308" s="51">
        <f t="shared" si="677"/>
        <v>0</v>
      </c>
      <c r="GC308" s="51">
        <f t="shared" si="677"/>
        <v>0</v>
      </c>
      <c r="GD308" s="51">
        <f t="shared" si="677"/>
        <v>0</v>
      </c>
      <c r="GE308" s="51">
        <f t="shared" si="677"/>
        <v>0</v>
      </c>
      <c r="GF308" s="51">
        <f t="shared" si="677"/>
        <v>0</v>
      </c>
      <c r="GG308" s="51">
        <f t="shared" si="677"/>
        <v>0</v>
      </c>
      <c r="GH308" s="51">
        <f t="shared" si="677"/>
        <v>0</v>
      </c>
      <c r="GI308" s="51">
        <f t="shared" si="677"/>
        <v>0</v>
      </c>
      <c r="GJ308" s="51">
        <f t="shared" si="677"/>
        <v>0</v>
      </c>
      <c r="GK308" s="51">
        <f t="shared" si="677"/>
        <v>0</v>
      </c>
      <c r="GL308" s="51">
        <f t="shared" si="677"/>
        <v>0</v>
      </c>
      <c r="GM308" s="51">
        <f t="shared" si="677"/>
        <v>0</v>
      </c>
      <c r="GN308" s="51">
        <f t="shared" si="677"/>
        <v>0</v>
      </c>
      <c r="GO308" s="51">
        <f t="shared" si="677"/>
        <v>0</v>
      </c>
      <c r="GP308" s="51">
        <f t="shared" si="677"/>
        <v>0</v>
      </c>
      <c r="GQ308" s="51">
        <f t="shared" si="677"/>
        <v>0</v>
      </c>
      <c r="GR308" s="51">
        <f t="shared" si="677"/>
        <v>0</v>
      </c>
      <c r="GS308" s="51">
        <f t="shared" si="677"/>
        <v>0</v>
      </c>
      <c r="GT308" s="51">
        <f t="shared" si="677"/>
        <v>0</v>
      </c>
      <c r="GU308" s="51">
        <f t="shared" si="677"/>
        <v>32781810</v>
      </c>
      <c r="GV308" s="51">
        <f t="shared" si="677"/>
        <v>350000000</v>
      </c>
      <c r="GW308" s="51">
        <f t="shared" si="677"/>
        <v>198545076</v>
      </c>
      <c r="GX308" s="51">
        <f t="shared" si="677"/>
        <v>71043600</v>
      </c>
      <c r="GY308" s="51">
        <f t="shared" si="677"/>
        <v>0</v>
      </c>
      <c r="GZ308" s="51">
        <f t="shared" si="677"/>
        <v>125508810</v>
      </c>
    </row>
    <row r="309" spans="1:208" ht="96" customHeight="1" x14ac:dyDescent="0.2">
      <c r="A309" s="326"/>
      <c r="B309" s="326"/>
      <c r="C309" s="456">
        <v>36</v>
      </c>
      <c r="D309" s="745" t="s">
        <v>705</v>
      </c>
      <c r="E309" s="1038">
        <v>0.4</v>
      </c>
      <c r="F309" s="1038">
        <v>0.6</v>
      </c>
      <c r="G309" s="265">
        <v>206</v>
      </c>
      <c r="H309" s="261" t="s">
        <v>718</v>
      </c>
      <c r="I309" s="275" t="s">
        <v>719</v>
      </c>
      <c r="J309" s="262" t="s">
        <v>708</v>
      </c>
      <c r="K309" s="415">
        <v>4</v>
      </c>
      <c r="L309" s="304" t="s">
        <v>58</v>
      </c>
      <c r="M309" s="288">
        <v>12</v>
      </c>
      <c r="N309" s="288">
        <v>12</v>
      </c>
      <c r="O309" s="259">
        <v>12</v>
      </c>
      <c r="P309" s="387">
        <v>12</v>
      </c>
      <c r="Q309" s="288">
        <v>12</v>
      </c>
      <c r="R309" s="268"/>
      <c r="S309" s="389">
        <v>12</v>
      </c>
      <c r="T309" s="288">
        <v>12</v>
      </c>
      <c r="U309" s="288"/>
      <c r="V309" s="389">
        <v>12</v>
      </c>
      <c r="W309" s="288">
        <v>12</v>
      </c>
      <c r="X309" s="304"/>
      <c r="Y309" s="631">
        <v>12</v>
      </c>
      <c r="Z309" s="390">
        <f>BM309/$BM$308</f>
        <v>0.28999999999999998</v>
      </c>
      <c r="AA309" s="264">
        <v>10</v>
      </c>
      <c r="AB309" s="263" t="s">
        <v>389</v>
      </c>
      <c r="AC309" s="56"/>
      <c r="AD309" s="55"/>
      <c r="AE309" s="54"/>
      <c r="AF309" s="54"/>
      <c r="AG309" s="56"/>
      <c r="AH309" s="55"/>
      <c r="AI309" s="55"/>
      <c r="AJ309" s="55"/>
      <c r="AK309" s="57">
        <v>8700000</v>
      </c>
      <c r="AL309" s="55">
        <v>8700000</v>
      </c>
      <c r="AM309" s="58">
        <v>8700000</v>
      </c>
      <c r="AN309" s="58">
        <v>8700000</v>
      </c>
      <c r="AO309" s="57"/>
      <c r="AP309" s="58"/>
      <c r="AQ309" s="58"/>
      <c r="AR309" s="55"/>
      <c r="AS309" s="56"/>
      <c r="AT309" s="55"/>
      <c r="AU309" s="54"/>
      <c r="AV309" s="54"/>
      <c r="AW309" s="56"/>
      <c r="AX309" s="55"/>
      <c r="AY309" s="55"/>
      <c r="AZ309" s="55"/>
      <c r="BA309" s="56"/>
      <c r="BB309" s="55"/>
      <c r="BC309" s="55"/>
      <c r="BD309" s="55"/>
      <c r="BE309" s="56"/>
      <c r="BF309" s="55"/>
      <c r="BG309" s="54"/>
      <c r="BH309" s="54"/>
      <c r="BI309" s="56"/>
      <c r="BJ309" s="55"/>
      <c r="BK309" s="55"/>
      <c r="BL309" s="55"/>
      <c r="BM309" s="53">
        <f>+AC309+AG309+AK309+AO309+AS309+AW309+BA309+BE309+BI309</f>
        <v>8700000</v>
      </c>
      <c r="BN309" s="54">
        <f t="shared" ref="BN309:BP311" si="678">AD309+AH309+AL309+AP309+AT309+AX309+BB309+BF309+BJ309</f>
        <v>8700000</v>
      </c>
      <c r="BO309" s="54">
        <f t="shared" si="678"/>
        <v>8700000</v>
      </c>
      <c r="BP309" s="54">
        <f t="shared" si="678"/>
        <v>8700000</v>
      </c>
      <c r="BQ309" s="83"/>
      <c r="BR309" s="83"/>
      <c r="BS309" s="83"/>
      <c r="BT309" s="83"/>
      <c r="BU309" s="83"/>
      <c r="BV309" s="83">
        <v>106800000</v>
      </c>
      <c r="BW309" s="83">
        <v>101069999</v>
      </c>
      <c r="BX309" s="83">
        <v>101069999</v>
      </c>
      <c r="BY309" s="83"/>
      <c r="BZ309" s="84">
        <v>5665000</v>
      </c>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1">
        <f t="shared" ref="DE309:DH311" si="679">BQ309+BU309+BZ309+CE309+CI309+CM309+CQ309+CV309+DA309</f>
        <v>5665000</v>
      </c>
      <c r="DF309" s="95">
        <f t="shared" si="679"/>
        <v>106800000</v>
      </c>
      <c r="DG309" s="95">
        <f t="shared" si="679"/>
        <v>101069999</v>
      </c>
      <c r="DH309" s="95">
        <f t="shared" si="679"/>
        <v>101069999</v>
      </c>
      <c r="DI309" s="95"/>
      <c r="DJ309" s="84"/>
      <c r="DK309" s="65"/>
      <c r="DL309" s="84"/>
      <c r="DM309" s="84"/>
      <c r="DN309" s="84"/>
      <c r="DO309" s="531">
        <v>75000000</v>
      </c>
      <c r="DP309" s="532">
        <v>41075000</v>
      </c>
      <c r="DQ309" s="531">
        <v>41075000</v>
      </c>
      <c r="DR309" s="532"/>
      <c r="DS309" s="84">
        <v>9200000</v>
      </c>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3"/>
      <c r="EU309" s="83"/>
      <c r="EV309" s="83"/>
      <c r="EW309" s="81">
        <f t="shared" ref="EW309:EX311" si="680">DJ309+DN309+DS309+DX309+EB309+EF309+EJ309+EN309+ES309</f>
        <v>9200000</v>
      </c>
      <c r="EX309" s="86">
        <f t="shared" si="680"/>
        <v>75000000</v>
      </c>
      <c r="EY309" s="86">
        <f t="shared" ref="EY309:EZ311" si="681">DL309+DP309+DU309+DZ309+ED309+EH309+EL309+EP309+EU309</f>
        <v>41075000</v>
      </c>
      <c r="EZ309" s="86">
        <f t="shared" si="681"/>
        <v>41075000</v>
      </c>
      <c r="FA309" s="176"/>
      <c r="FB309" s="83"/>
      <c r="FC309" s="84"/>
      <c r="FD309" s="84"/>
      <c r="FE309" s="84"/>
      <c r="FF309" s="140"/>
      <c r="FG309" s="83"/>
      <c r="FH309" s="83">
        <v>115000000</v>
      </c>
      <c r="FI309" s="83">
        <v>65838600</v>
      </c>
      <c r="FJ309" s="83">
        <v>13509600</v>
      </c>
      <c r="FK309" s="83"/>
      <c r="FL309" s="83">
        <v>6000000</v>
      </c>
      <c r="FM309" s="83"/>
      <c r="FN309" s="83"/>
      <c r="FO309" s="83"/>
      <c r="FP309" s="83"/>
      <c r="FQ309" s="83"/>
      <c r="FR309" s="83"/>
      <c r="FS309" s="83"/>
      <c r="FT309" s="83"/>
      <c r="FU309" s="83"/>
      <c r="FV309" s="83"/>
      <c r="FW309" s="83"/>
      <c r="FX309" s="83"/>
      <c r="FY309" s="83"/>
      <c r="FZ309" s="83"/>
      <c r="GA309" s="83"/>
      <c r="GB309" s="83"/>
      <c r="GC309" s="83"/>
      <c r="GD309" s="83"/>
      <c r="GE309" s="83"/>
      <c r="GF309" s="83"/>
      <c r="GG309" s="83"/>
      <c r="GH309" s="83"/>
      <c r="GI309" s="83"/>
      <c r="GJ309" s="83"/>
      <c r="GK309" s="83"/>
      <c r="GL309" s="83"/>
      <c r="GM309" s="83"/>
      <c r="GN309" s="83"/>
      <c r="GO309" s="83"/>
      <c r="GP309" s="83"/>
      <c r="GQ309" s="83"/>
      <c r="GR309" s="83"/>
      <c r="GS309" s="83"/>
      <c r="GT309" s="83"/>
      <c r="GU309" s="81">
        <f>FB309+FG309+FL309+FQ309+FV309+GA309+GF309+GK309+GP309</f>
        <v>6000000</v>
      </c>
      <c r="GV309" s="81">
        <f t="shared" ref="GV309:GY311" si="682">GQ309+GL309+GG309+GB309+FW309+FR309+FM309+FH309+FC309</f>
        <v>115000000</v>
      </c>
      <c r="GW309" s="81">
        <f t="shared" si="682"/>
        <v>65838600</v>
      </c>
      <c r="GX309" s="81">
        <f t="shared" si="682"/>
        <v>13509600</v>
      </c>
      <c r="GY309" s="673">
        <f t="shared" si="682"/>
        <v>0</v>
      </c>
      <c r="GZ309" s="67">
        <f>BM309+DE309+EW309+GU309</f>
        <v>29565000</v>
      </c>
    </row>
    <row r="310" spans="1:208" ht="57.75" customHeight="1" x14ac:dyDescent="0.2">
      <c r="A310" s="326"/>
      <c r="B310" s="326"/>
      <c r="C310" s="279"/>
      <c r="D310" s="761"/>
      <c r="E310" s="533"/>
      <c r="F310" s="533"/>
      <c r="G310" s="265">
        <v>207</v>
      </c>
      <c r="H310" s="261" t="s">
        <v>720</v>
      </c>
      <c r="I310" s="275" t="s">
        <v>721</v>
      </c>
      <c r="J310" s="262" t="s">
        <v>708</v>
      </c>
      <c r="K310" s="415">
        <v>4</v>
      </c>
      <c r="L310" s="304" t="s">
        <v>73</v>
      </c>
      <c r="M310" s="288">
        <v>4</v>
      </c>
      <c r="N310" s="288">
        <v>4</v>
      </c>
      <c r="O310" s="259">
        <v>1</v>
      </c>
      <c r="P310" s="387">
        <v>1</v>
      </c>
      <c r="Q310" s="288">
        <v>1</v>
      </c>
      <c r="R310" s="268"/>
      <c r="S310" s="389">
        <v>1</v>
      </c>
      <c r="T310" s="288">
        <v>1</v>
      </c>
      <c r="U310" s="288"/>
      <c r="V310" s="389">
        <v>1</v>
      </c>
      <c r="W310" s="288">
        <v>1</v>
      </c>
      <c r="X310" s="304"/>
      <c r="Y310" s="631">
        <v>0.5</v>
      </c>
      <c r="Z310" s="390">
        <f>BM310/$BM$308</f>
        <v>0.54333333333333333</v>
      </c>
      <c r="AA310" s="264">
        <v>3</v>
      </c>
      <c r="AB310" s="263" t="s">
        <v>455</v>
      </c>
      <c r="AC310" s="56"/>
      <c r="AD310" s="55"/>
      <c r="AE310" s="54"/>
      <c r="AF310" s="54"/>
      <c r="AG310" s="56"/>
      <c r="AH310" s="55"/>
      <c r="AI310" s="55"/>
      <c r="AJ310" s="55"/>
      <c r="AK310" s="57">
        <v>16300000</v>
      </c>
      <c r="AL310" s="55">
        <v>16300000</v>
      </c>
      <c r="AM310" s="58">
        <v>14433333</v>
      </c>
      <c r="AN310" s="58">
        <v>14433333</v>
      </c>
      <c r="AO310" s="57"/>
      <c r="AP310" s="58"/>
      <c r="AQ310" s="58"/>
      <c r="AR310" s="55"/>
      <c r="AS310" s="56"/>
      <c r="AT310" s="55"/>
      <c r="AU310" s="54"/>
      <c r="AV310" s="54"/>
      <c r="AW310" s="56"/>
      <c r="AX310" s="55"/>
      <c r="AY310" s="55"/>
      <c r="AZ310" s="55"/>
      <c r="BA310" s="56"/>
      <c r="BB310" s="55"/>
      <c r="BC310" s="55"/>
      <c r="BD310" s="55"/>
      <c r="BE310" s="56"/>
      <c r="BF310" s="55"/>
      <c r="BG310" s="54"/>
      <c r="BH310" s="54"/>
      <c r="BI310" s="56"/>
      <c r="BJ310" s="55"/>
      <c r="BK310" s="55"/>
      <c r="BL310" s="55"/>
      <c r="BM310" s="53">
        <f>+AC310+AG310+AK310+AO310+AS310+AW310+BA310+BE310+BI310</f>
        <v>16300000</v>
      </c>
      <c r="BN310" s="54">
        <f t="shared" si="678"/>
        <v>16300000</v>
      </c>
      <c r="BO310" s="54">
        <f t="shared" si="678"/>
        <v>14433333</v>
      </c>
      <c r="BP310" s="54">
        <f t="shared" si="678"/>
        <v>14433333</v>
      </c>
      <c r="BQ310" s="83"/>
      <c r="BR310" s="83"/>
      <c r="BS310" s="83"/>
      <c r="BT310" s="83"/>
      <c r="BU310" s="83"/>
      <c r="BV310" s="83">
        <v>333307447</v>
      </c>
      <c r="BW310" s="83">
        <v>325472559.19</v>
      </c>
      <c r="BX310" s="83">
        <v>325472559.19</v>
      </c>
      <c r="BY310" s="83"/>
      <c r="BZ310" s="84">
        <v>20085000</v>
      </c>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1">
        <f t="shared" si="679"/>
        <v>20085000</v>
      </c>
      <c r="DF310" s="95">
        <f t="shared" si="679"/>
        <v>333307447</v>
      </c>
      <c r="DG310" s="95">
        <f t="shared" si="679"/>
        <v>325472559.19</v>
      </c>
      <c r="DH310" s="95">
        <f t="shared" si="679"/>
        <v>325472559.19</v>
      </c>
      <c r="DI310" s="95"/>
      <c r="DJ310" s="84"/>
      <c r="DK310" s="65"/>
      <c r="DL310" s="84"/>
      <c r="DM310" s="84"/>
      <c r="DN310" s="84"/>
      <c r="DO310" s="84">
        <v>665994512</v>
      </c>
      <c r="DP310" s="84">
        <v>428259307</v>
      </c>
      <c r="DQ310" s="84">
        <v>428259307</v>
      </c>
      <c r="DR310" s="84"/>
      <c r="DS310" s="84">
        <v>17250000</v>
      </c>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3"/>
      <c r="EU310" s="83"/>
      <c r="EV310" s="83"/>
      <c r="EW310" s="81">
        <f t="shared" si="680"/>
        <v>17250000</v>
      </c>
      <c r="EX310" s="86">
        <f t="shared" si="680"/>
        <v>665994512</v>
      </c>
      <c r="EY310" s="86">
        <f t="shared" si="681"/>
        <v>428259307</v>
      </c>
      <c r="EZ310" s="86">
        <f t="shared" si="681"/>
        <v>428259307</v>
      </c>
      <c r="FA310" s="176"/>
      <c r="FB310" s="83"/>
      <c r="FC310" s="84"/>
      <c r="FD310" s="84"/>
      <c r="FE310" s="84"/>
      <c r="FF310" s="140"/>
      <c r="FG310" s="83"/>
      <c r="FH310" s="83">
        <v>180000000</v>
      </c>
      <c r="FI310" s="83">
        <v>109511179</v>
      </c>
      <c r="FJ310" s="83">
        <v>47334000</v>
      </c>
      <c r="FK310" s="83"/>
      <c r="FL310" s="83">
        <v>21300000</v>
      </c>
      <c r="FM310" s="83"/>
      <c r="FN310" s="83"/>
      <c r="FO310" s="83"/>
      <c r="FP310" s="83"/>
      <c r="FQ310" s="83"/>
      <c r="FR310" s="83"/>
      <c r="FS310" s="83"/>
      <c r="FT310" s="83"/>
      <c r="FU310" s="83"/>
      <c r="FV310" s="83"/>
      <c r="FW310" s="83"/>
      <c r="FX310" s="83"/>
      <c r="FY310" s="83"/>
      <c r="FZ310" s="83"/>
      <c r="GA310" s="83"/>
      <c r="GB310" s="83"/>
      <c r="GC310" s="83"/>
      <c r="GD310" s="83"/>
      <c r="GE310" s="83"/>
      <c r="GF310" s="83"/>
      <c r="GG310" s="83"/>
      <c r="GH310" s="83"/>
      <c r="GI310" s="83"/>
      <c r="GJ310" s="83"/>
      <c r="GK310" s="83"/>
      <c r="GL310" s="83"/>
      <c r="GM310" s="83"/>
      <c r="GN310" s="83"/>
      <c r="GO310" s="83"/>
      <c r="GP310" s="83"/>
      <c r="GQ310" s="83"/>
      <c r="GR310" s="83"/>
      <c r="GS310" s="83"/>
      <c r="GT310" s="83"/>
      <c r="GU310" s="81">
        <f>FB310+FG310+FL310+FQ310+FV310+GA310+GF310+GK310+GP310</f>
        <v>21300000</v>
      </c>
      <c r="GV310" s="81">
        <f t="shared" si="682"/>
        <v>180000000</v>
      </c>
      <c r="GW310" s="81">
        <f t="shared" si="682"/>
        <v>109511179</v>
      </c>
      <c r="GX310" s="81">
        <f t="shared" si="682"/>
        <v>47334000</v>
      </c>
      <c r="GY310" s="673">
        <f t="shared" si="682"/>
        <v>0</v>
      </c>
      <c r="GZ310" s="67">
        <f>BM310+DE310+EW310+GU310</f>
        <v>74935000</v>
      </c>
    </row>
    <row r="311" spans="1:208" ht="95.25" customHeight="1" x14ac:dyDescent="0.2">
      <c r="A311" s="326"/>
      <c r="B311" s="372"/>
      <c r="C311" s="277"/>
      <c r="D311" s="746"/>
      <c r="E311" s="380"/>
      <c r="F311" s="380"/>
      <c r="G311" s="265">
        <v>208</v>
      </c>
      <c r="H311" s="261" t="s">
        <v>722</v>
      </c>
      <c r="I311" s="275" t="s">
        <v>723</v>
      </c>
      <c r="J311" s="262" t="s">
        <v>708</v>
      </c>
      <c r="K311" s="415">
        <v>4</v>
      </c>
      <c r="L311" s="304" t="s">
        <v>58</v>
      </c>
      <c r="M311" s="288">
        <v>1</v>
      </c>
      <c r="N311" s="288">
        <v>1</v>
      </c>
      <c r="O311" s="259">
        <v>1</v>
      </c>
      <c r="P311" s="387">
        <v>0</v>
      </c>
      <c r="Q311" s="288">
        <v>1</v>
      </c>
      <c r="R311" s="268"/>
      <c r="S311" s="389">
        <v>1</v>
      </c>
      <c r="T311" s="288">
        <v>1</v>
      </c>
      <c r="U311" s="288"/>
      <c r="V311" s="389">
        <v>1</v>
      </c>
      <c r="W311" s="288">
        <v>1</v>
      </c>
      <c r="X311" s="304"/>
      <c r="Y311" s="631">
        <v>0.4</v>
      </c>
      <c r="Z311" s="390">
        <f>BM311/$BM$308</f>
        <v>0.16666666666666666</v>
      </c>
      <c r="AA311" s="264">
        <v>10</v>
      </c>
      <c r="AB311" s="263" t="s">
        <v>389</v>
      </c>
      <c r="AC311" s="56"/>
      <c r="AD311" s="55"/>
      <c r="AE311" s="54"/>
      <c r="AF311" s="54"/>
      <c r="AG311" s="56"/>
      <c r="AH311" s="55"/>
      <c r="AI311" s="55"/>
      <c r="AJ311" s="55"/>
      <c r="AK311" s="57">
        <v>5000000</v>
      </c>
      <c r="AL311" s="55">
        <v>5000000</v>
      </c>
      <c r="AM311" s="58">
        <v>5000000</v>
      </c>
      <c r="AN311" s="58">
        <v>5000000</v>
      </c>
      <c r="AO311" s="57"/>
      <c r="AP311" s="58"/>
      <c r="AQ311" s="58"/>
      <c r="AR311" s="55"/>
      <c r="AS311" s="56"/>
      <c r="AT311" s="55"/>
      <c r="AU311" s="54"/>
      <c r="AV311" s="54"/>
      <c r="AW311" s="56"/>
      <c r="AX311" s="55"/>
      <c r="AY311" s="55"/>
      <c r="AZ311" s="55"/>
      <c r="BA311" s="56"/>
      <c r="BB311" s="55"/>
      <c r="BC311" s="55"/>
      <c r="BD311" s="55"/>
      <c r="BE311" s="56"/>
      <c r="BF311" s="55"/>
      <c r="BG311" s="54"/>
      <c r="BH311" s="54"/>
      <c r="BI311" s="56"/>
      <c r="BJ311" s="55"/>
      <c r="BK311" s="55"/>
      <c r="BL311" s="55"/>
      <c r="BM311" s="53">
        <f>+AC311+AG311+AK311+AO311+AS311+AW311+BA311+BE311+BI311</f>
        <v>5000000</v>
      </c>
      <c r="BN311" s="54">
        <f t="shared" si="678"/>
        <v>5000000</v>
      </c>
      <c r="BO311" s="54">
        <f t="shared" si="678"/>
        <v>5000000</v>
      </c>
      <c r="BP311" s="54">
        <f t="shared" si="678"/>
        <v>5000000</v>
      </c>
      <c r="BQ311" s="83"/>
      <c r="BR311" s="83"/>
      <c r="BS311" s="83"/>
      <c r="BT311" s="83"/>
      <c r="BU311" s="83"/>
      <c r="BV311" s="83">
        <v>50000000</v>
      </c>
      <c r="BW311" s="83">
        <v>48936867</v>
      </c>
      <c r="BX311" s="83">
        <v>48936867</v>
      </c>
      <c r="BY311" s="83"/>
      <c r="BZ311" s="84">
        <v>5150000</v>
      </c>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1">
        <f t="shared" si="679"/>
        <v>5150000</v>
      </c>
      <c r="DF311" s="95">
        <f t="shared" si="679"/>
        <v>50000000</v>
      </c>
      <c r="DG311" s="95">
        <f t="shared" si="679"/>
        <v>48936867</v>
      </c>
      <c r="DH311" s="95">
        <f t="shared" si="679"/>
        <v>48936867</v>
      </c>
      <c r="DI311" s="95"/>
      <c r="DJ311" s="84"/>
      <c r="DK311" s="65"/>
      <c r="DL311" s="84"/>
      <c r="DM311" s="84"/>
      <c r="DN311" s="84"/>
      <c r="DO311" s="84">
        <v>115000000</v>
      </c>
      <c r="DP311" s="84">
        <v>98092695</v>
      </c>
      <c r="DQ311" s="84">
        <v>98092695</v>
      </c>
      <c r="DR311" s="84"/>
      <c r="DS311" s="84">
        <v>5377000</v>
      </c>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1"/>
      <c r="EU311" s="83"/>
      <c r="EV311" s="83"/>
      <c r="EW311" s="81">
        <f t="shared" si="680"/>
        <v>5377000</v>
      </c>
      <c r="EX311" s="86">
        <f t="shared" si="680"/>
        <v>115000000</v>
      </c>
      <c r="EY311" s="86">
        <f t="shared" si="681"/>
        <v>98092695</v>
      </c>
      <c r="EZ311" s="86">
        <f t="shared" si="681"/>
        <v>98092695</v>
      </c>
      <c r="FA311" s="176"/>
      <c r="FB311" s="83"/>
      <c r="FC311" s="84"/>
      <c r="FD311" s="84"/>
      <c r="FE311" s="84"/>
      <c r="FF311" s="140"/>
      <c r="FG311" s="83"/>
      <c r="FH311" s="83">
        <v>55000000</v>
      </c>
      <c r="FI311" s="83">
        <v>23195297</v>
      </c>
      <c r="FJ311" s="83">
        <v>10200000</v>
      </c>
      <c r="FK311" s="83"/>
      <c r="FL311" s="83">
        <v>5481810</v>
      </c>
      <c r="FM311" s="83"/>
      <c r="FN311" s="83"/>
      <c r="FO311" s="83"/>
      <c r="FP311" s="83"/>
      <c r="FQ311" s="83"/>
      <c r="FR311" s="83"/>
      <c r="FS311" s="83"/>
      <c r="FT311" s="83"/>
      <c r="FU311" s="83"/>
      <c r="FV311" s="83"/>
      <c r="FW311" s="83"/>
      <c r="FX311" s="83"/>
      <c r="FY311" s="83"/>
      <c r="FZ311" s="83"/>
      <c r="GA311" s="83"/>
      <c r="GB311" s="83"/>
      <c r="GC311" s="83"/>
      <c r="GD311" s="83"/>
      <c r="GE311" s="83"/>
      <c r="GF311" s="83"/>
      <c r="GG311" s="83"/>
      <c r="GH311" s="83"/>
      <c r="GI311" s="83"/>
      <c r="GJ311" s="83"/>
      <c r="GK311" s="83"/>
      <c r="GL311" s="83"/>
      <c r="GM311" s="83"/>
      <c r="GN311" s="83"/>
      <c r="GO311" s="83"/>
      <c r="GP311" s="83"/>
      <c r="GQ311" s="83"/>
      <c r="GR311" s="83"/>
      <c r="GS311" s="83"/>
      <c r="GT311" s="83"/>
      <c r="GU311" s="81">
        <f>FB311+FG311+FL311+FQ311+FV311+GA311+GF311+GK311+GP311</f>
        <v>5481810</v>
      </c>
      <c r="GV311" s="81">
        <f t="shared" si="682"/>
        <v>55000000</v>
      </c>
      <c r="GW311" s="81">
        <f t="shared" si="682"/>
        <v>23195297</v>
      </c>
      <c r="GX311" s="81">
        <f t="shared" si="682"/>
        <v>10200000</v>
      </c>
      <c r="GY311" s="673">
        <f t="shared" si="682"/>
        <v>0</v>
      </c>
      <c r="GZ311" s="67">
        <f>BM311+DE311+EW311+GU311</f>
        <v>21008810</v>
      </c>
    </row>
    <row r="312" spans="1:208" ht="24.75" customHeight="1" x14ac:dyDescent="0.2">
      <c r="A312" s="326"/>
      <c r="B312" s="234">
        <v>21</v>
      </c>
      <c r="C312" s="324" t="s">
        <v>724</v>
      </c>
      <c r="D312" s="236"/>
      <c r="E312" s="237"/>
      <c r="F312" s="236"/>
      <c r="G312" s="238"/>
      <c r="H312" s="238"/>
      <c r="I312" s="238"/>
      <c r="J312" s="238"/>
      <c r="K312" s="238"/>
      <c r="L312" s="238"/>
      <c r="M312" s="238"/>
      <c r="N312" s="238"/>
      <c r="O312" s="238"/>
      <c r="P312" s="238"/>
      <c r="Q312" s="238"/>
      <c r="R312" s="238"/>
      <c r="S312" s="238"/>
      <c r="T312" s="238"/>
      <c r="U312" s="238"/>
      <c r="V312" s="238"/>
      <c r="W312" s="238"/>
      <c r="X312" s="238"/>
      <c r="Y312" s="241"/>
      <c r="Z312" s="238"/>
      <c r="AA312" s="238"/>
      <c r="AB312" s="238"/>
      <c r="AC312" s="50">
        <f t="shared" ref="AC312:CN312" si="683">AC313+AC317</f>
        <v>0</v>
      </c>
      <c r="AD312" s="50">
        <f t="shared" si="683"/>
        <v>0</v>
      </c>
      <c r="AE312" s="50">
        <f t="shared" si="683"/>
        <v>0</v>
      </c>
      <c r="AF312" s="50">
        <f t="shared" si="683"/>
        <v>0</v>
      </c>
      <c r="AG312" s="50">
        <f t="shared" si="683"/>
        <v>0</v>
      </c>
      <c r="AH312" s="50">
        <f t="shared" si="683"/>
        <v>71923416</v>
      </c>
      <c r="AI312" s="50">
        <f t="shared" si="683"/>
        <v>22900000</v>
      </c>
      <c r="AJ312" s="50">
        <f t="shared" si="683"/>
        <v>22900000</v>
      </c>
      <c r="AK312" s="50">
        <f t="shared" si="683"/>
        <v>201923416</v>
      </c>
      <c r="AL312" s="50">
        <f t="shared" si="683"/>
        <v>107863581</v>
      </c>
      <c r="AM312" s="50">
        <f t="shared" si="683"/>
        <v>85875493</v>
      </c>
      <c r="AN312" s="50">
        <f t="shared" si="683"/>
        <v>85875493</v>
      </c>
      <c r="AO312" s="50">
        <f t="shared" si="683"/>
        <v>0</v>
      </c>
      <c r="AP312" s="50">
        <f t="shared" si="683"/>
        <v>0</v>
      </c>
      <c r="AQ312" s="50">
        <f t="shared" si="683"/>
        <v>0</v>
      </c>
      <c r="AR312" s="50">
        <f t="shared" si="683"/>
        <v>0</v>
      </c>
      <c r="AS312" s="50">
        <f t="shared" si="683"/>
        <v>0</v>
      </c>
      <c r="AT312" s="50">
        <f t="shared" si="683"/>
        <v>0</v>
      </c>
      <c r="AU312" s="50">
        <f t="shared" si="683"/>
        <v>0</v>
      </c>
      <c r="AV312" s="50">
        <f t="shared" si="683"/>
        <v>0</v>
      </c>
      <c r="AW312" s="50">
        <f t="shared" si="683"/>
        <v>0</v>
      </c>
      <c r="AX312" s="50">
        <f t="shared" si="683"/>
        <v>0</v>
      </c>
      <c r="AY312" s="50">
        <f t="shared" si="683"/>
        <v>0</v>
      </c>
      <c r="AZ312" s="50">
        <f t="shared" si="683"/>
        <v>0</v>
      </c>
      <c r="BA312" s="50">
        <f t="shared" si="683"/>
        <v>0</v>
      </c>
      <c r="BB312" s="50">
        <f t="shared" si="683"/>
        <v>0</v>
      </c>
      <c r="BC312" s="50">
        <f t="shared" si="683"/>
        <v>0</v>
      </c>
      <c r="BD312" s="50">
        <f t="shared" si="683"/>
        <v>0</v>
      </c>
      <c r="BE312" s="50">
        <f t="shared" si="683"/>
        <v>0</v>
      </c>
      <c r="BF312" s="50">
        <f t="shared" si="683"/>
        <v>0</v>
      </c>
      <c r="BG312" s="50">
        <f t="shared" si="683"/>
        <v>0</v>
      </c>
      <c r="BH312" s="50">
        <f t="shared" si="683"/>
        <v>0</v>
      </c>
      <c r="BI312" s="50">
        <f t="shared" si="683"/>
        <v>0</v>
      </c>
      <c r="BJ312" s="50">
        <f t="shared" si="683"/>
        <v>0</v>
      </c>
      <c r="BK312" s="50">
        <f t="shared" si="683"/>
        <v>0</v>
      </c>
      <c r="BL312" s="50">
        <f t="shared" si="683"/>
        <v>0</v>
      </c>
      <c r="BM312" s="50">
        <f t="shared" si="683"/>
        <v>201923416</v>
      </c>
      <c r="BN312" s="50">
        <f t="shared" si="683"/>
        <v>179786997</v>
      </c>
      <c r="BO312" s="50">
        <f t="shared" si="683"/>
        <v>108775493</v>
      </c>
      <c r="BP312" s="50">
        <f t="shared" si="683"/>
        <v>108775493</v>
      </c>
      <c r="BQ312" s="50">
        <f t="shared" si="683"/>
        <v>0</v>
      </c>
      <c r="BR312" s="50">
        <f t="shared" si="683"/>
        <v>0</v>
      </c>
      <c r="BS312" s="50">
        <f t="shared" si="683"/>
        <v>0</v>
      </c>
      <c r="BT312" s="50">
        <f t="shared" si="683"/>
        <v>0</v>
      </c>
      <c r="BU312" s="50">
        <f t="shared" si="683"/>
        <v>0</v>
      </c>
      <c r="BV312" s="50">
        <f t="shared" si="683"/>
        <v>314871960</v>
      </c>
      <c r="BW312" s="50">
        <f t="shared" si="683"/>
        <v>235510192</v>
      </c>
      <c r="BX312" s="50">
        <f t="shared" si="683"/>
        <v>235510192</v>
      </c>
      <c r="BY312" s="50">
        <f t="shared" si="683"/>
        <v>0</v>
      </c>
      <c r="BZ312" s="50">
        <f t="shared" si="683"/>
        <v>207981118.48000002</v>
      </c>
      <c r="CA312" s="50">
        <f t="shared" si="683"/>
        <v>0</v>
      </c>
      <c r="CB312" s="50">
        <f t="shared" si="683"/>
        <v>0</v>
      </c>
      <c r="CC312" s="50">
        <f t="shared" si="683"/>
        <v>0</v>
      </c>
      <c r="CD312" s="50">
        <f t="shared" si="683"/>
        <v>0</v>
      </c>
      <c r="CE312" s="50">
        <f t="shared" si="683"/>
        <v>0</v>
      </c>
      <c r="CF312" s="50">
        <f t="shared" si="683"/>
        <v>0</v>
      </c>
      <c r="CG312" s="50">
        <f t="shared" si="683"/>
        <v>0</v>
      </c>
      <c r="CH312" s="50">
        <f t="shared" si="683"/>
        <v>0</v>
      </c>
      <c r="CI312" s="50">
        <f t="shared" si="683"/>
        <v>0</v>
      </c>
      <c r="CJ312" s="50">
        <f t="shared" si="683"/>
        <v>0</v>
      </c>
      <c r="CK312" s="50">
        <f t="shared" si="683"/>
        <v>0</v>
      </c>
      <c r="CL312" s="50">
        <f t="shared" si="683"/>
        <v>0</v>
      </c>
      <c r="CM312" s="50">
        <f t="shared" si="683"/>
        <v>0</v>
      </c>
      <c r="CN312" s="50">
        <f t="shared" si="683"/>
        <v>0</v>
      </c>
      <c r="CO312" s="50">
        <f t="shared" ref="CO312:EV312" si="684">CO313+CO317</f>
        <v>0</v>
      </c>
      <c r="CP312" s="50">
        <f t="shared" si="684"/>
        <v>0</v>
      </c>
      <c r="CQ312" s="50">
        <f t="shared" si="684"/>
        <v>0</v>
      </c>
      <c r="CR312" s="50">
        <f t="shared" si="684"/>
        <v>0</v>
      </c>
      <c r="CS312" s="50">
        <f t="shared" si="684"/>
        <v>0</v>
      </c>
      <c r="CT312" s="50">
        <f t="shared" si="684"/>
        <v>0</v>
      </c>
      <c r="CU312" s="50">
        <f t="shared" si="684"/>
        <v>0</v>
      </c>
      <c r="CV312" s="50">
        <f t="shared" si="684"/>
        <v>0</v>
      </c>
      <c r="CW312" s="50">
        <f t="shared" si="684"/>
        <v>0</v>
      </c>
      <c r="CX312" s="50">
        <f t="shared" si="684"/>
        <v>0</v>
      </c>
      <c r="CY312" s="50">
        <f t="shared" si="684"/>
        <v>0</v>
      </c>
      <c r="CZ312" s="50">
        <f t="shared" si="684"/>
        <v>0</v>
      </c>
      <c r="DA312" s="50">
        <f t="shared" si="684"/>
        <v>0</v>
      </c>
      <c r="DB312" s="50">
        <f t="shared" si="684"/>
        <v>0</v>
      </c>
      <c r="DC312" s="50">
        <f t="shared" si="684"/>
        <v>0</v>
      </c>
      <c r="DD312" s="50">
        <f t="shared" si="684"/>
        <v>0</v>
      </c>
      <c r="DE312" s="50">
        <f t="shared" si="684"/>
        <v>207981118.48000002</v>
      </c>
      <c r="DF312" s="50">
        <f t="shared" si="684"/>
        <v>314871960</v>
      </c>
      <c r="DG312" s="50">
        <f t="shared" si="684"/>
        <v>235510192</v>
      </c>
      <c r="DH312" s="50">
        <f t="shared" si="684"/>
        <v>235510192</v>
      </c>
      <c r="DI312" s="50">
        <f t="shared" si="684"/>
        <v>0</v>
      </c>
      <c r="DJ312" s="50">
        <f t="shared" si="684"/>
        <v>0</v>
      </c>
      <c r="DK312" s="50">
        <f t="shared" si="684"/>
        <v>0</v>
      </c>
      <c r="DL312" s="50">
        <f t="shared" si="684"/>
        <v>0</v>
      </c>
      <c r="DM312" s="50">
        <f t="shared" si="684"/>
        <v>0</v>
      </c>
      <c r="DN312" s="50">
        <f t="shared" si="684"/>
        <v>0</v>
      </c>
      <c r="DO312" s="50">
        <f t="shared" si="684"/>
        <v>259679925</v>
      </c>
      <c r="DP312" s="50">
        <f t="shared" si="684"/>
        <v>199658627</v>
      </c>
      <c r="DQ312" s="50">
        <f t="shared" si="684"/>
        <v>199658627</v>
      </c>
      <c r="DR312" s="50">
        <f t="shared" si="684"/>
        <v>0</v>
      </c>
      <c r="DS312" s="50">
        <f t="shared" si="684"/>
        <v>214220552.03439999</v>
      </c>
      <c r="DT312" s="50">
        <f t="shared" si="684"/>
        <v>0</v>
      </c>
      <c r="DU312" s="50">
        <f t="shared" si="684"/>
        <v>0</v>
      </c>
      <c r="DV312" s="50">
        <f t="shared" si="684"/>
        <v>0</v>
      </c>
      <c r="DW312" s="50">
        <f t="shared" si="684"/>
        <v>0</v>
      </c>
      <c r="DX312" s="50">
        <f t="shared" si="684"/>
        <v>0</v>
      </c>
      <c r="DY312" s="50">
        <f t="shared" si="684"/>
        <v>0</v>
      </c>
      <c r="DZ312" s="50">
        <f t="shared" si="684"/>
        <v>0</v>
      </c>
      <c r="EA312" s="50">
        <f t="shared" si="684"/>
        <v>0</v>
      </c>
      <c r="EB312" s="50">
        <f t="shared" si="684"/>
        <v>0</v>
      </c>
      <c r="EC312" s="50">
        <f t="shared" si="684"/>
        <v>0</v>
      </c>
      <c r="ED312" s="50">
        <f t="shared" si="684"/>
        <v>0</v>
      </c>
      <c r="EE312" s="50">
        <f t="shared" si="684"/>
        <v>0</v>
      </c>
      <c r="EF312" s="50">
        <f t="shared" si="684"/>
        <v>0</v>
      </c>
      <c r="EG312" s="50">
        <f t="shared" si="684"/>
        <v>0</v>
      </c>
      <c r="EH312" s="50">
        <f t="shared" si="684"/>
        <v>0</v>
      </c>
      <c r="EI312" s="50">
        <f t="shared" si="684"/>
        <v>0</v>
      </c>
      <c r="EJ312" s="50">
        <f t="shared" si="684"/>
        <v>0</v>
      </c>
      <c r="EK312" s="50">
        <f t="shared" si="684"/>
        <v>0</v>
      </c>
      <c r="EL312" s="50">
        <f t="shared" si="684"/>
        <v>0</v>
      </c>
      <c r="EM312" s="50">
        <f t="shared" si="684"/>
        <v>0</v>
      </c>
      <c r="EN312" s="50">
        <f t="shared" si="684"/>
        <v>0</v>
      </c>
      <c r="EO312" s="50">
        <f t="shared" si="684"/>
        <v>0</v>
      </c>
      <c r="EP312" s="50">
        <f t="shared" si="684"/>
        <v>0</v>
      </c>
      <c r="EQ312" s="50">
        <f t="shared" si="684"/>
        <v>0</v>
      </c>
      <c r="ER312" s="50">
        <f t="shared" si="684"/>
        <v>0</v>
      </c>
      <c r="ES312" s="50">
        <f t="shared" si="684"/>
        <v>0</v>
      </c>
      <c r="ET312" s="50">
        <f t="shared" si="684"/>
        <v>0</v>
      </c>
      <c r="EU312" s="50">
        <f t="shared" si="684"/>
        <v>0</v>
      </c>
      <c r="EV312" s="50">
        <f t="shared" si="684"/>
        <v>0</v>
      </c>
      <c r="EW312" s="50">
        <f t="shared" ref="EW312" si="685">EW313+EW317</f>
        <v>214220552.03439999</v>
      </c>
      <c r="EX312" s="50">
        <f t="shared" ref="EX312:GZ312" si="686">EX313+EX317</f>
        <v>259679925</v>
      </c>
      <c r="EY312" s="50">
        <f t="shared" si="686"/>
        <v>199658627</v>
      </c>
      <c r="EZ312" s="50">
        <f t="shared" si="686"/>
        <v>199658627</v>
      </c>
      <c r="FA312" s="50">
        <f t="shared" si="686"/>
        <v>0</v>
      </c>
      <c r="FB312" s="50">
        <f t="shared" si="686"/>
        <v>0</v>
      </c>
      <c r="FC312" s="50">
        <f t="shared" si="686"/>
        <v>0</v>
      </c>
      <c r="FD312" s="50">
        <f t="shared" si="686"/>
        <v>0</v>
      </c>
      <c r="FE312" s="50">
        <f t="shared" si="686"/>
        <v>0</v>
      </c>
      <c r="FF312" s="50">
        <f t="shared" si="686"/>
        <v>0</v>
      </c>
      <c r="FG312" s="50">
        <f t="shared" si="686"/>
        <v>0</v>
      </c>
      <c r="FH312" s="50">
        <f t="shared" si="686"/>
        <v>390929980.87</v>
      </c>
      <c r="FI312" s="50">
        <f t="shared" si="686"/>
        <v>186447100</v>
      </c>
      <c r="FJ312" s="50">
        <f t="shared" si="686"/>
        <v>37624000</v>
      </c>
      <c r="FK312" s="50">
        <f t="shared" si="686"/>
        <v>0</v>
      </c>
      <c r="FL312" s="50">
        <f t="shared" si="686"/>
        <v>220647168.59543198</v>
      </c>
      <c r="FM312" s="50">
        <f t="shared" si="686"/>
        <v>0</v>
      </c>
      <c r="FN312" s="50">
        <f t="shared" si="686"/>
        <v>0</v>
      </c>
      <c r="FO312" s="50">
        <f t="shared" si="686"/>
        <v>0</v>
      </c>
      <c r="FP312" s="50">
        <f t="shared" si="686"/>
        <v>0</v>
      </c>
      <c r="FQ312" s="50">
        <f t="shared" si="686"/>
        <v>0</v>
      </c>
      <c r="FR312" s="50">
        <f t="shared" si="686"/>
        <v>0</v>
      </c>
      <c r="FS312" s="50">
        <f t="shared" si="686"/>
        <v>0</v>
      </c>
      <c r="FT312" s="50">
        <f t="shared" si="686"/>
        <v>0</v>
      </c>
      <c r="FU312" s="50">
        <f t="shared" si="686"/>
        <v>0</v>
      </c>
      <c r="FV312" s="50">
        <f t="shared" si="686"/>
        <v>0</v>
      </c>
      <c r="FW312" s="50">
        <f t="shared" si="686"/>
        <v>0</v>
      </c>
      <c r="FX312" s="50">
        <f t="shared" si="686"/>
        <v>0</v>
      </c>
      <c r="FY312" s="50">
        <f t="shared" si="686"/>
        <v>0</v>
      </c>
      <c r="FZ312" s="50">
        <f t="shared" si="686"/>
        <v>0</v>
      </c>
      <c r="GA312" s="50">
        <f t="shared" si="686"/>
        <v>0</v>
      </c>
      <c r="GB312" s="50">
        <f t="shared" si="686"/>
        <v>0</v>
      </c>
      <c r="GC312" s="50">
        <f t="shared" si="686"/>
        <v>0</v>
      </c>
      <c r="GD312" s="50">
        <f t="shared" si="686"/>
        <v>0</v>
      </c>
      <c r="GE312" s="50">
        <f t="shared" si="686"/>
        <v>0</v>
      </c>
      <c r="GF312" s="50">
        <f t="shared" si="686"/>
        <v>0</v>
      </c>
      <c r="GG312" s="50">
        <f t="shared" si="686"/>
        <v>0</v>
      </c>
      <c r="GH312" s="50">
        <f t="shared" si="686"/>
        <v>0</v>
      </c>
      <c r="GI312" s="50">
        <f t="shared" si="686"/>
        <v>0</v>
      </c>
      <c r="GJ312" s="50">
        <f t="shared" si="686"/>
        <v>0</v>
      </c>
      <c r="GK312" s="50">
        <f t="shared" si="686"/>
        <v>0</v>
      </c>
      <c r="GL312" s="50">
        <f t="shared" si="686"/>
        <v>0</v>
      </c>
      <c r="GM312" s="50">
        <f t="shared" si="686"/>
        <v>0</v>
      </c>
      <c r="GN312" s="50">
        <f t="shared" si="686"/>
        <v>0</v>
      </c>
      <c r="GO312" s="50">
        <f t="shared" si="686"/>
        <v>0</v>
      </c>
      <c r="GP312" s="50">
        <f t="shared" si="686"/>
        <v>0</v>
      </c>
      <c r="GQ312" s="50">
        <f t="shared" si="686"/>
        <v>0</v>
      </c>
      <c r="GR312" s="50">
        <f t="shared" si="686"/>
        <v>0</v>
      </c>
      <c r="GS312" s="50">
        <f t="shared" si="686"/>
        <v>0</v>
      </c>
      <c r="GT312" s="50">
        <f t="shared" si="686"/>
        <v>0</v>
      </c>
      <c r="GU312" s="50">
        <f t="shared" si="686"/>
        <v>220647168.59543198</v>
      </c>
      <c r="GV312" s="50">
        <f t="shared" si="686"/>
        <v>390929980.87</v>
      </c>
      <c r="GW312" s="50">
        <f t="shared" si="686"/>
        <v>186447100</v>
      </c>
      <c r="GX312" s="50">
        <f t="shared" si="686"/>
        <v>37624000</v>
      </c>
      <c r="GY312" s="50">
        <f t="shared" si="686"/>
        <v>0</v>
      </c>
      <c r="GZ312" s="50">
        <f t="shared" si="686"/>
        <v>844772255.10983205</v>
      </c>
    </row>
    <row r="313" spans="1:208" ht="24.75" customHeight="1" x14ac:dyDescent="0.2">
      <c r="A313" s="326"/>
      <c r="B313" s="993"/>
      <c r="C313" s="246">
        <v>72</v>
      </c>
      <c r="D313" s="247" t="s">
        <v>725</v>
      </c>
      <c r="E313" s="250"/>
      <c r="F313" s="250"/>
      <c r="G313" s="249"/>
      <c r="H313" s="249"/>
      <c r="I313" s="249"/>
      <c r="J313" s="249"/>
      <c r="K313" s="249"/>
      <c r="L313" s="249"/>
      <c r="M313" s="249"/>
      <c r="N313" s="249"/>
      <c r="O313" s="249"/>
      <c r="P313" s="249"/>
      <c r="Q313" s="249"/>
      <c r="R313" s="249"/>
      <c r="S313" s="249"/>
      <c r="T313" s="249"/>
      <c r="U313" s="249"/>
      <c r="V313" s="249"/>
      <c r="W313" s="249"/>
      <c r="X313" s="249"/>
      <c r="Y313" s="296"/>
      <c r="Z313" s="249"/>
      <c r="AA313" s="249"/>
      <c r="AB313" s="249"/>
      <c r="AC313" s="51">
        <f t="shared" ref="AC313:BL313" si="687">SUM(AC314:AC316)</f>
        <v>0</v>
      </c>
      <c r="AD313" s="51">
        <f t="shared" si="687"/>
        <v>0</v>
      </c>
      <c r="AE313" s="51">
        <f t="shared" si="687"/>
        <v>0</v>
      </c>
      <c r="AF313" s="51">
        <f t="shared" si="687"/>
        <v>0</v>
      </c>
      <c r="AG313" s="51">
        <f t="shared" si="687"/>
        <v>0</v>
      </c>
      <c r="AH313" s="51">
        <f t="shared" si="687"/>
        <v>0</v>
      </c>
      <c r="AI313" s="51">
        <f t="shared" si="687"/>
        <v>0</v>
      </c>
      <c r="AJ313" s="51">
        <f t="shared" si="687"/>
        <v>0</v>
      </c>
      <c r="AK313" s="51">
        <f t="shared" si="687"/>
        <v>130000000</v>
      </c>
      <c r="AL313" s="51">
        <f t="shared" si="687"/>
        <v>103663581</v>
      </c>
      <c r="AM313" s="51">
        <f t="shared" si="687"/>
        <v>82583826</v>
      </c>
      <c r="AN313" s="51">
        <f t="shared" si="687"/>
        <v>82583826</v>
      </c>
      <c r="AO313" s="51">
        <f t="shared" si="687"/>
        <v>0</v>
      </c>
      <c r="AP313" s="51">
        <f t="shared" si="687"/>
        <v>0</v>
      </c>
      <c r="AQ313" s="51">
        <f t="shared" si="687"/>
        <v>0</v>
      </c>
      <c r="AR313" s="51">
        <f t="shared" si="687"/>
        <v>0</v>
      </c>
      <c r="AS313" s="51">
        <f t="shared" si="687"/>
        <v>0</v>
      </c>
      <c r="AT313" s="51">
        <f t="shared" si="687"/>
        <v>0</v>
      </c>
      <c r="AU313" s="51">
        <f t="shared" si="687"/>
        <v>0</v>
      </c>
      <c r="AV313" s="51">
        <f t="shared" si="687"/>
        <v>0</v>
      </c>
      <c r="AW313" s="51">
        <f t="shared" si="687"/>
        <v>0</v>
      </c>
      <c r="AX313" s="51">
        <f t="shared" si="687"/>
        <v>0</v>
      </c>
      <c r="AY313" s="51">
        <f t="shared" si="687"/>
        <v>0</v>
      </c>
      <c r="AZ313" s="51">
        <f t="shared" si="687"/>
        <v>0</v>
      </c>
      <c r="BA313" s="51">
        <f t="shared" si="687"/>
        <v>0</v>
      </c>
      <c r="BB313" s="51">
        <f t="shared" si="687"/>
        <v>0</v>
      </c>
      <c r="BC313" s="51">
        <f t="shared" si="687"/>
        <v>0</v>
      </c>
      <c r="BD313" s="51">
        <f t="shared" si="687"/>
        <v>0</v>
      </c>
      <c r="BE313" s="51">
        <f t="shared" si="687"/>
        <v>0</v>
      </c>
      <c r="BF313" s="51">
        <f t="shared" si="687"/>
        <v>0</v>
      </c>
      <c r="BG313" s="51">
        <f t="shared" si="687"/>
        <v>0</v>
      </c>
      <c r="BH313" s="51">
        <f t="shared" si="687"/>
        <v>0</v>
      </c>
      <c r="BI313" s="51">
        <f t="shared" si="687"/>
        <v>0</v>
      </c>
      <c r="BJ313" s="51">
        <f t="shared" si="687"/>
        <v>0</v>
      </c>
      <c r="BK313" s="51">
        <f t="shared" si="687"/>
        <v>0</v>
      </c>
      <c r="BL313" s="51">
        <f t="shared" si="687"/>
        <v>0</v>
      </c>
      <c r="BM313" s="51">
        <f t="shared" ref="BM313:DX313" si="688">SUM(BM314:BM316)</f>
        <v>130000000</v>
      </c>
      <c r="BN313" s="51">
        <f t="shared" si="688"/>
        <v>103663581</v>
      </c>
      <c r="BO313" s="51">
        <f t="shared" si="688"/>
        <v>82583826</v>
      </c>
      <c r="BP313" s="51">
        <f t="shared" si="688"/>
        <v>82583826</v>
      </c>
      <c r="BQ313" s="51">
        <f t="shared" si="688"/>
        <v>0</v>
      </c>
      <c r="BR313" s="51">
        <f t="shared" si="688"/>
        <v>0</v>
      </c>
      <c r="BS313" s="51">
        <f t="shared" si="688"/>
        <v>0</v>
      </c>
      <c r="BT313" s="51">
        <f t="shared" si="688"/>
        <v>0</v>
      </c>
      <c r="BU313" s="51">
        <f t="shared" si="688"/>
        <v>0</v>
      </c>
      <c r="BV313" s="51">
        <f t="shared" si="688"/>
        <v>160171960</v>
      </c>
      <c r="BW313" s="51">
        <f t="shared" si="688"/>
        <v>127300193</v>
      </c>
      <c r="BX313" s="51">
        <f t="shared" si="688"/>
        <v>127300193</v>
      </c>
      <c r="BY313" s="51">
        <f t="shared" si="688"/>
        <v>0</v>
      </c>
      <c r="BZ313" s="51">
        <f t="shared" si="688"/>
        <v>133900000</v>
      </c>
      <c r="CA313" s="51">
        <f t="shared" si="688"/>
        <v>0</v>
      </c>
      <c r="CB313" s="51">
        <f t="shared" si="688"/>
        <v>0</v>
      </c>
      <c r="CC313" s="51">
        <f t="shared" si="688"/>
        <v>0</v>
      </c>
      <c r="CD313" s="51">
        <f t="shared" si="688"/>
        <v>0</v>
      </c>
      <c r="CE313" s="51">
        <f t="shared" si="688"/>
        <v>0</v>
      </c>
      <c r="CF313" s="51">
        <f t="shared" si="688"/>
        <v>0</v>
      </c>
      <c r="CG313" s="51">
        <f t="shared" si="688"/>
        <v>0</v>
      </c>
      <c r="CH313" s="51">
        <f t="shared" si="688"/>
        <v>0</v>
      </c>
      <c r="CI313" s="51">
        <f t="shared" si="688"/>
        <v>0</v>
      </c>
      <c r="CJ313" s="51">
        <f t="shared" si="688"/>
        <v>0</v>
      </c>
      <c r="CK313" s="51">
        <f t="shared" si="688"/>
        <v>0</v>
      </c>
      <c r="CL313" s="51">
        <f t="shared" si="688"/>
        <v>0</v>
      </c>
      <c r="CM313" s="51">
        <f t="shared" si="688"/>
        <v>0</v>
      </c>
      <c r="CN313" s="51">
        <f t="shared" si="688"/>
        <v>0</v>
      </c>
      <c r="CO313" s="51">
        <f t="shared" si="688"/>
        <v>0</v>
      </c>
      <c r="CP313" s="51">
        <f t="shared" si="688"/>
        <v>0</v>
      </c>
      <c r="CQ313" s="51">
        <f t="shared" si="688"/>
        <v>0</v>
      </c>
      <c r="CR313" s="51">
        <f t="shared" si="688"/>
        <v>0</v>
      </c>
      <c r="CS313" s="51">
        <f t="shared" si="688"/>
        <v>0</v>
      </c>
      <c r="CT313" s="51">
        <f t="shared" si="688"/>
        <v>0</v>
      </c>
      <c r="CU313" s="51">
        <f t="shared" si="688"/>
        <v>0</v>
      </c>
      <c r="CV313" s="51">
        <f t="shared" si="688"/>
        <v>0</v>
      </c>
      <c r="CW313" s="51">
        <f t="shared" si="688"/>
        <v>0</v>
      </c>
      <c r="CX313" s="51">
        <f t="shared" si="688"/>
        <v>0</v>
      </c>
      <c r="CY313" s="51">
        <f t="shared" si="688"/>
        <v>0</v>
      </c>
      <c r="CZ313" s="51">
        <f t="shared" si="688"/>
        <v>0</v>
      </c>
      <c r="DA313" s="51">
        <f t="shared" si="688"/>
        <v>0</v>
      </c>
      <c r="DB313" s="51">
        <f t="shared" si="688"/>
        <v>0</v>
      </c>
      <c r="DC313" s="51">
        <f t="shared" si="688"/>
        <v>0</v>
      </c>
      <c r="DD313" s="51">
        <f t="shared" si="688"/>
        <v>0</v>
      </c>
      <c r="DE313" s="51">
        <f t="shared" si="688"/>
        <v>133900000</v>
      </c>
      <c r="DF313" s="51">
        <f t="shared" si="688"/>
        <v>160171960</v>
      </c>
      <c r="DG313" s="51">
        <f t="shared" si="688"/>
        <v>127300193</v>
      </c>
      <c r="DH313" s="51">
        <f t="shared" si="688"/>
        <v>127300193</v>
      </c>
      <c r="DI313" s="51">
        <f t="shared" si="688"/>
        <v>0</v>
      </c>
      <c r="DJ313" s="51">
        <f t="shared" si="688"/>
        <v>0</v>
      </c>
      <c r="DK313" s="51">
        <f t="shared" si="688"/>
        <v>0</v>
      </c>
      <c r="DL313" s="51">
        <f t="shared" si="688"/>
        <v>0</v>
      </c>
      <c r="DM313" s="51">
        <f t="shared" si="688"/>
        <v>0</v>
      </c>
      <c r="DN313" s="51">
        <f t="shared" si="688"/>
        <v>0</v>
      </c>
      <c r="DO313" s="51">
        <f t="shared" si="688"/>
        <v>176179925</v>
      </c>
      <c r="DP313" s="51">
        <f t="shared" si="688"/>
        <v>132261960</v>
      </c>
      <c r="DQ313" s="51">
        <f t="shared" si="688"/>
        <v>132261960</v>
      </c>
      <c r="DR313" s="51">
        <f t="shared" si="688"/>
        <v>0</v>
      </c>
      <c r="DS313" s="51">
        <f t="shared" si="688"/>
        <v>137917000</v>
      </c>
      <c r="DT313" s="51">
        <f t="shared" si="688"/>
        <v>0</v>
      </c>
      <c r="DU313" s="51">
        <f t="shared" si="688"/>
        <v>0</v>
      </c>
      <c r="DV313" s="51">
        <f t="shared" si="688"/>
        <v>0</v>
      </c>
      <c r="DW313" s="51">
        <f t="shared" si="688"/>
        <v>0</v>
      </c>
      <c r="DX313" s="51">
        <f t="shared" si="688"/>
        <v>0</v>
      </c>
      <c r="DY313" s="51">
        <f t="shared" ref="DY313:EW313" si="689">SUM(DY314:DY316)</f>
        <v>0</v>
      </c>
      <c r="DZ313" s="51">
        <f t="shared" si="689"/>
        <v>0</v>
      </c>
      <c r="EA313" s="51">
        <f t="shared" si="689"/>
        <v>0</v>
      </c>
      <c r="EB313" s="51">
        <f t="shared" si="689"/>
        <v>0</v>
      </c>
      <c r="EC313" s="51">
        <f t="shared" si="689"/>
        <v>0</v>
      </c>
      <c r="ED313" s="51">
        <f t="shared" si="689"/>
        <v>0</v>
      </c>
      <c r="EE313" s="51">
        <f t="shared" si="689"/>
        <v>0</v>
      </c>
      <c r="EF313" s="51">
        <f t="shared" si="689"/>
        <v>0</v>
      </c>
      <c r="EG313" s="51">
        <f t="shared" si="689"/>
        <v>0</v>
      </c>
      <c r="EH313" s="51">
        <f t="shared" si="689"/>
        <v>0</v>
      </c>
      <c r="EI313" s="51">
        <f t="shared" si="689"/>
        <v>0</v>
      </c>
      <c r="EJ313" s="51">
        <f t="shared" si="689"/>
        <v>0</v>
      </c>
      <c r="EK313" s="51">
        <f t="shared" si="689"/>
        <v>0</v>
      </c>
      <c r="EL313" s="51">
        <f t="shared" si="689"/>
        <v>0</v>
      </c>
      <c r="EM313" s="51">
        <f t="shared" si="689"/>
        <v>0</v>
      </c>
      <c r="EN313" s="51">
        <f t="shared" si="689"/>
        <v>0</v>
      </c>
      <c r="EO313" s="51">
        <f t="shared" si="689"/>
        <v>0</v>
      </c>
      <c r="EP313" s="51">
        <f t="shared" si="689"/>
        <v>0</v>
      </c>
      <c r="EQ313" s="51">
        <f t="shared" si="689"/>
        <v>0</v>
      </c>
      <c r="ER313" s="51">
        <f t="shared" si="689"/>
        <v>0</v>
      </c>
      <c r="ES313" s="51">
        <f t="shared" si="689"/>
        <v>0</v>
      </c>
      <c r="ET313" s="51">
        <f t="shared" si="689"/>
        <v>0</v>
      </c>
      <c r="EU313" s="51">
        <f t="shared" si="689"/>
        <v>0</v>
      </c>
      <c r="EV313" s="51">
        <f t="shared" si="689"/>
        <v>0</v>
      </c>
      <c r="EW313" s="51">
        <f t="shared" si="689"/>
        <v>137917000</v>
      </c>
      <c r="EX313" s="51">
        <f t="shared" ref="EX313:GZ313" si="690">SUM(EX314:EX316)</f>
        <v>176179925</v>
      </c>
      <c r="EY313" s="51">
        <f t="shared" si="690"/>
        <v>132261960</v>
      </c>
      <c r="EZ313" s="51">
        <f t="shared" si="690"/>
        <v>132261960</v>
      </c>
      <c r="FA313" s="51">
        <f t="shared" si="690"/>
        <v>0</v>
      </c>
      <c r="FB313" s="51">
        <f t="shared" si="690"/>
        <v>0</v>
      </c>
      <c r="FC313" s="51">
        <f t="shared" si="690"/>
        <v>0</v>
      </c>
      <c r="FD313" s="51">
        <f t="shared" si="690"/>
        <v>0</v>
      </c>
      <c r="FE313" s="51">
        <f t="shared" si="690"/>
        <v>0</v>
      </c>
      <c r="FF313" s="51">
        <f t="shared" si="690"/>
        <v>0</v>
      </c>
      <c r="FG313" s="51">
        <f t="shared" si="690"/>
        <v>0</v>
      </c>
      <c r="FH313" s="51">
        <f t="shared" si="690"/>
        <v>191330659.22</v>
      </c>
      <c r="FI313" s="51">
        <f t="shared" si="690"/>
        <v>66147100</v>
      </c>
      <c r="FJ313" s="51">
        <f t="shared" si="690"/>
        <v>25424000</v>
      </c>
      <c r="FK313" s="51">
        <f t="shared" si="690"/>
        <v>0</v>
      </c>
      <c r="FL313" s="51">
        <f t="shared" si="690"/>
        <v>142054510</v>
      </c>
      <c r="FM313" s="51">
        <f t="shared" si="690"/>
        <v>0</v>
      </c>
      <c r="FN313" s="51">
        <f t="shared" si="690"/>
        <v>0</v>
      </c>
      <c r="FO313" s="51">
        <f t="shared" si="690"/>
        <v>0</v>
      </c>
      <c r="FP313" s="51">
        <f t="shared" si="690"/>
        <v>0</v>
      </c>
      <c r="FQ313" s="51">
        <f t="shared" si="690"/>
        <v>0</v>
      </c>
      <c r="FR313" s="51">
        <f t="shared" si="690"/>
        <v>0</v>
      </c>
      <c r="FS313" s="51">
        <f t="shared" si="690"/>
        <v>0</v>
      </c>
      <c r="FT313" s="51">
        <f t="shared" si="690"/>
        <v>0</v>
      </c>
      <c r="FU313" s="51">
        <f t="shared" si="690"/>
        <v>0</v>
      </c>
      <c r="FV313" s="51">
        <f t="shared" si="690"/>
        <v>0</v>
      </c>
      <c r="FW313" s="51">
        <f t="shared" si="690"/>
        <v>0</v>
      </c>
      <c r="FX313" s="51">
        <f t="shared" si="690"/>
        <v>0</v>
      </c>
      <c r="FY313" s="51">
        <f t="shared" si="690"/>
        <v>0</v>
      </c>
      <c r="FZ313" s="51">
        <f t="shared" si="690"/>
        <v>0</v>
      </c>
      <c r="GA313" s="51">
        <f t="shared" si="690"/>
        <v>0</v>
      </c>
      <c r="GB313" s="51">
        <f t="shared" si="690"/>
        <v>0</v>
      </c>
      <c r="GC313" s="51">
        <f t="shared" si="690"/>
        <v>0</v>
      </c>
      <c r="GD313" s="51">
        <f t="shared" si="690"/>
        <v>0</v>
      </c>
      <c r="GE313" s="51">
        <f t="shared" si="690"/>
        <v>0</v>
      </c>
      <c r="GF313" s="51">
        <f t="shared" si="690"/>
        <v>0</v>
      </c>
      <c r="GG313" s="51">
        <f t="shared" si="690"/>
        <v>0</v>
      </c>
      <c r="GH313" s="51">
        <f t="shared" si="690"/>
        <v>0</v>
      </c>
      <c r="GI313" s="51">
        <f t="shared" si="690"/>
        <v>0</v>
      </c>
      <c r="GJ313" s="51">
        <f t="shared" si="690"/>
        <v>0</v>
      </c>
      <c r="GK313" s="51">
        <f t="shared" si="690"/>
        <v>0</v>
      </c>
      <c r="GL313" s="51">
        <f t="shared" si="690"/>
        <v>0</v>
      </c>
      <c r="GM313" s="51">
        <f t="shared" si="690"/>
        <v>0</v>
      </c>
      <c r="GN313" s="51">
        <f t="shared" si="690"/>
        <v>0</v>
      </c>
      <c r="GO313" s="51">
        <f t="shared" si="690"/>
        <v>0</v>
      </c>
      <c r="GP313" s="51">
        <f t="shared" si="690"/>
        <v>0</v>
      </c>
      <c r="GQ313" s="51">
        <f t="shared" si="690"/>
        <v>0</v>
      </c>
      <c r="GR313" s="51">
        <f t="shared" si="690"/>
        <v>0</v>
      </c>
      <c r="GS313" s="51">
        <f t="shared" si="690"/>
        <v>0</v>
      </c>
      <c r="GT313" s="51">
        <f t="shared" si="690"/>
        <v>0</v>
      </c>
      <c r="GU313" s="51">
        <f t="shared" si="690"/>
        <v>142054510</v>
      </c>
      <c r="GV313" s="51">
        <f t="shared" si="690"/>
        <v>191330659.22</v>
      </c>
      <c r="GW313" s="51">
        <f t="shared" si="690"/>
        <v>66147100</v>
      </c>
      <c r="GX313" s="51">
        <f t="shared" si="690"/>
        <v>25424000</v>
      </c>
      <c r="GY313" s="51">
        <f t="shared" si="690"/>
        <v>0</v>
      </c>
      <c r="GZ313" s="51">
        <f t="shared" si="690"/>
        <v>543871510</v>
      </c>
    </row>
    <row r="314" spans="1:208" ht="56.25" customHeight="1" x14ac:dyDescent="0.2">
      <c r="A314" s="326"/>
      <c r="B314" s="326"/>
      <c r="C314" s="456">
        <v>36</v>
      </c>
      <c r="D314" s="721" t="s">
        <v>705</v>
      </c>
      <c r="E314" s="1038">
        <v>0.4</v>
      </c>
      <c r="F314" s="1038">
        <v>0.6</v>
      </c>
      <c r="G314" s="265">
        <v>209</v>
      </c>
      <c r="H314" s="261" t="s">
        <v>726</v>
      </c>
      <c r="I314" s="275" t="s">
        <v>727</v>
      </c>
      <c r="J314" s="262" t="s">
        <v>708</v>
      </c>
      <c r="K314" s="415">
        <v>4</v>
      </c>
      <c r="L314" s="304" t="s">
        <v>58</v>
      </c>
      <c r="M314" s="288">
        <v>1</v>
      </c>
      <c r="N314" s="288">
        <v>1</v>
      </c>
      <c r="O314" s="259">
        <v>1</v>
      </c>
      <c r="P314" s="387">
        <v>1</v>
      </c>
      <c r="Q314" s="288">
        <v>1</v>
      </c>
      <c r="R314" s="268"/>
      <c r="S314" s="389">
        <v>1</v>
      </c>
      <c r="T314" s="288">
        <v>1</v>
      </c>
      <c r="U314" s="288"/>
      <c r="V314" s="389">
        <v>1</v>
      </c>
      <c r="W314" s="288">
        <v>1</v>
      </c>
      <c r="X314" s="304"/>
      <c r="Y314" s="631">
        <v>0.5</v>
      </c>
      <c r="Z314" s="443">
        <f>BM314/$BM$313</f>
        <v>0.14246153846153847</v>
      </c>
      <c r="AA314" s="264">
        <v>3</v>
      </c>
      <c r="AB314" s="263" t="s">
        <v>455</v>
      </c>
      <c r="AC314" s="57"/>
      <c r="AD314" s="58"/>
      <c r="AE314" s="59"/>
      <c r="AF314" s="59"/>
      <c r="AG314" s="57"/>
      <c r="AH314" s="58"/>
      <c r="AI314" s="58"/>
      <c r="AJ314" s="58"/>
      <c r="AK314" s="57">
        <v>18520000</v>
      </c>
      <c r="AL314" s="58">
        <v>18520000</v>
      </c>
      <c r="AM314" s="58">
        <v>18520000</v>
      </c>
      <c r="AN314" s="58">
        <v>18520000</v>
      </c>
      <c r="AO314" s="57"/>
      <c r="AP314" s="58"/>
      <c r="AQ314" s="58"/>
      <c r="AR314" s="58"/>
      <c r="AS314" s="57"/>
      <c r="AT314" s="58"/>
      <c r="AU314" s="59"/>
      <c r="AV314" s="59"/>
      <c r="AW314" s="57"/>
      <c r="AX314" s="58"/>
      <c r="AY314" s="58"/>
      <c r="AZ314" s="58"/>
      <c r="BA314" s="57"/>
      <c r="BB314" s="58"/>
      <c r="BC314" s="58"/>
      <c r="BD314" s="58"/>
      <c r="BE314" s="57"/>
      <c r="BF314" s="58"/>
      <c r="BG314" s="59"/>
      <c r="BH314" s="59"/>
      <c r="BI314" s="57"/>
      <c r="BJ314" s="58"/>
      <c r="BK314" s="58"/>
      <c r="BL314" s="58"/>
      <c r="BM314" s="53">
        <f>+AC314+AG314+AK314+AO314+AS314+AW314+BA314+BE314+BI314</f>
        <v>18520000</v>
      </c>
      <c r="BN314" s="54">
        <f t="shared" ref="BN314:BP316" si="691">AD314+AH314+AL314+AP314+AT314+AX314+BB314+BF314+BJ314</f>
        <v>18520000</v>
      </c>
      <c r="BO314" s="54">
        <f t="shared" si="691"/>
        <v>18520000</v>
      </c>
      <c r="BP314" s="54">
        <f t="shared" si="691"/>
        <v>18520000</v>
      </c>
      <c r="BQ314" s="83"/>
      <c r="BR314" s="83"/>
      <c r="BS314" s="83"/>
      <c r="BT314" s="83"/>
      <c r="BU314" s="83"/>
      <c r="BV314" s="83">
        <v>58154184</v>
      </c>
      <c r="BW314" s="83">
        <v>49156016</v>
      </c>
      <c r="BX314" s="83">
        <v>49156016</v>
      </c>
      <c r="BY314" s="83"/>
      <c r="BZ314" s="83">
        <v>19075600</v>
      </c>
      <c r="CA314" s="83"/>
      <c r="CB314" s="83"/>
      <c r="CC314" s="83"/>
      <c r="CD314" s="83"/>
      <c r="CE314" s="83"/>
      <c r="CF314" s="83"/>
      <c r="CG314" s="83"/>
      <c r="CH314" s="83"/>
      <c r="CI314" s="83"/>
      <c r="CJ314" s="83"/>
      <c r="CK314" s="83"/>
      <c r="CL314" s="83"/>
      <c r="CM314" s="83"/>
      <c r="CN314" s="83"/>
      <c r="CO314" s="83"/>
      <c r="CP314" s="83"/>
      <c r="CQ314" s="83"/>
      <c r="CR314" s="83"/>
      <c r="CS314" s="83"/>
      <c r="CT314" s="83"/>
      <c r="CU314" s="83"/>
      <c r="CV314" s="83"/>
      <c r="CW314" s="83"/>
      <c r="CX314" s="83"/>
      <c r="CY314" s="83"/>
      <c r="CZ314" s="83"/>
      <c r="DA314" s="83"/>
      <c r="DB314" s="83"/>
      <c r="DC314" s="83"/>
      <c r="DD314" s="83"/>
      <c r="DE314" s="81">
        <f t="shared" ref="DE314:DH316" si="692">BQ314+BU314+BZ314+CE314+CI314+CM314+CQ314+CV314+DA314</f>
        <v>19075600</v>
      </c>
      <c r="DF314" s="95">
        <f t="shared" si="692"/>
        <v>58154184</v>
      </c>
      <c r="DG314" s="95">
        <f t="shared" si="692"/>
        <v>49156016</v>
      </c>
      <c r="DH314" s="95">
        <f t="shared" si="692"/>
        <v>49156016</v>
      </c>
      <c r="DI314" s="95"/>
      <c r="DJ314" s="84"/>
      <c r="DK314" s="65"/>
      <c r="DL314" s="84"/>
      <c r="DM314" s="84"/>
      <c r="DN314" s="84"/>
      <c r="DO314" s="84">
        <v>59100000</v>
      </c>
      <c r="DP314" s="84">
        <v>49199000</v>
      </c>
      <c r="DQ314" s="84">
        <v>49199000</v>
      </c>
      <c r="DR314" s="84"/>
      <c r="DS314" s="84">
        <v>19600000</v>
      </c>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1"/>
      <c r="EU314" s="83"/>
      <c r="EV314" s="83"/>
      <c r="EW314" s="81">
        <f t="shared" ref="EW314:EX316" si="693">DJ314+DN314+DS314+DX314+EB314+EF314+EJ314+EN314+ES314</f>
        <v>19600000</v>
      </c>
      <c r="EX314" s="86">
        <f t="shared" si="693"/>
        <v>59100000</v>
      </c>
      <c r="EY314" s="86">
        <f t="shared" ref="EY314:EZ316" si="694">DL314+DP314+DU314+DZ314+ED314+EH314+EL314+EP314+EU314</f>
        <v>49199000</v>
      </c>
      <c r="EZ314" s="86">
        <f t="shared" si="694"/>
        <v>49199000</v>
      </c>
      <c r="FA314" s="176"/>
      <c r="FB314" s="83"/>
      <c r="FC314" s="84"/>
      <c r="FD314" s="84"/>
      <c r="FE314" s="84"/>
      <c r="FF314" s="140"/>
      <c r="FG314" s="83"/>
      <c r="FH314" s="83">
        <v>75000000</v>
      </c>
      <c r="FI314" s="83">
        <v>31112000</v>
      </c>
      <c r="FJ314" s="83">
        <v>13112000</v>
      </c>
      <c r="FK314" s="83"/>
      <c r="FL314" s="83">
        <v>20200000</v>
      </c>
      <c r="FM314" s="83"/>
      <c r="FN314" s="83"/>
      <c r="FO314" s="83"/>
      <c r="FP314" s="83"/>
      <c r="FQ314" s="83"/>
      <c r="FR314" s="83"/>
      <c r="FS314" s="83"/>
      <c r="FT314" s="83"/>
      <c r="FU314" s="83"/>
      <c r="FV314" s="83"/>
      <c r="FW314" s="83"/>
      <c r="FX314" s="83"/>
      <c r="FY314" s="83"/>
      <c r="FZ314" s="83"/>
      <c r="GA314" s="83"/>
      <c r="GB314" s="83"/>
      <c r="GC314" s="83"/>
      <c r="GD314" s="83"/>
      <c r="GE314" s="83"/>
      <c r="GF314" s="83"/>
      <c r="GG314" s="83"/>
      <c r="GH314" s="83"/>
      <c r="GI314" s="83"/>
      <c r="GJ314" s="83"/>
      <c r="GK314" s="83"/>
      <c r="GL314" s="83"/>
      <c r="GM314" s="83"/>
      <c r="GN314" s="83"/>
      <c r="GO314" s="83"/>
      <c r="GP314" s="83"/>
      <c r="GQ314" s="83"/>
      <c r="GR314" s="83"/>
      <c r="GS314" s="83"/>
      <c r="GT314" s="83"/>
      <c r="GU314" s="81">
        <f>FB314+FG314+FL314+FQ314+FV314+GA314+GF314+GK314+GP314</f>
        <v>20200000</v>
      </c>
      <c r="GV314" s="81">
        <f t="shared" ref="GV314:GY316" si="695">GQ314+GL314+GG314+GB314+FW314+FR314+FM314+FH314+FC314</f>
        <v>75000000</v>
      </c>
      <c r="GW314" s="81">
        <f t="shared" si="695"/>
        <v>31112000</v>
      </c>
      <c r="GX314" s="81">
        <f t="shared" si="695"/>
        <v>13112000</v>
      </c>
      <c r="GY314" s="673">
        <f t="shared" si="695"/>
        <v>0</v>
      </c>
      <c r="GZ314" s="67">
        <f>BM314+DE314+EW314+GU314</f>
        <v>77395600</v>
      </c>
    </row>
    <row r="315" spans="1:208" ht="56.25" customHeight="1" x14ac:dyDescent="0.2">
      <c r="A315" s="326"/>
      <c r="B315" s="326"/>
      <c r="C315" s="279"/>
      <c r="D315" s="722"/>
      <c r="E315" s="533"/>
      <c r="F315" s="533"/>
      <c r="G315" s="265">
        <v>210</v>
      </c>
      <c r="H315" s="261" t="s">
        <v>728</v>
      </c>
      <c r="I315" s="258" t="s">
        <v>729</v>
      </c>
      <c r="J315" s="262" t="s">
        <v>708</v>
      </c>
      <c r="K315" s="415">
        <v>4</v>
      </c>
      <c r="L315" s="263" t="s">
        <v>58</v>
      </c>
      <c r="M315" s="264">
        <v>1</v>
      </c>
      <c r="N315" s="264">
        <v>1</v>
      </c>
      <c r="O315" s="265">
        <v>1</v>
      </c>
      <c r="P315" s="266">
        <v>1</v>
      </c>
      <c r="Q315" s="264">
        <v>1</v>
      </c>
      <c r="R315" s="268"/>
      <c r="S315" s="266">
        <v>1</v>
      </c>
      <c r="T315" s="264">
        <v>1</v>
      </c>
      <c r="U315" s="264"/>
      <c r="V315" s="270">
        <v>1</v>
      </c>
      <c r="W315" s="264">
        <v>1</v>
      </c>
      <c r="X315" s="263"/>
      <c r="Y315" s="271">
        <v>0.6</v>
      </c>
      <c r="Z315" s="443">
        <f>BM315/$BM$313</f>
        <v>2.4230769230769229E-2</v>
      </c>
      <c r="AA315" s="264">
        <v>3</v>
      </c>
      <c r="AB315" s="263" t="s">
        <v>455</v>
      </c>
      <c r="AC315" s="57"/>
      <c r="AD315" s="58"/>
      <c r="AE315" s="59"/>
      <c r="AF315" s="59"/>
      <c r="AG315" s="57"/>
      <c r="AH315" s="58"/>
      <c r="AI315" s="58"/>
      <c r="AJ315" s="58"/>
      <c r="AK315" s="58">
        <v>3150000</v>
      </c>
      <c r="AL315" s="58">
        <v>1173201</v>
      </c>
      <c r="AM315" s="58">
        <v>1173201</v>
      </c>
      <c r="AN315" s="58">
        <v>1173201</v>
      </c>
      <c r="AO315" s="57"/>
      <c r="AP315" s="58"/>
      <c r="AQ315" s="58"/>
      <c r="AR315" s="58"/>
      <c r="AS315" s="57"/>
      <c r="AT315" s="58"/>
      <c r="AU315" s="59"/>
      <c r="AV315" s="59"/>
      <c r="AW315" s="57"/>
      <c r="AX315" s="58"/>
      <c r="AY315" s="58"/>
      <c r="AZ315" s="58"/>
      <c r="BA315" s="57"/>
      <c r="BB315" s="58"/>
      <c r="BC315" s="58"/>
      <c r="BD315" s="58"/>
      <c r="BE315" s="57"/>
      <c r="BF315" s="58"/>
      <c r="BG315" s="59"/>
      <c r="BH315" s="59"/>
      <c r="BI315" s="57"/>
      <c r="BJ315" s="58"/>
      <c r="BK315" s="58"/>
      <c r="BL315" s="58"/>
      <c r="BM315" s="53">
        <f>+AC315+AG315+AK315+AO315+AS315+AW315+BA315+BE315+BI315</f>
        <v>3150000</v>
      </c>
      <c r="BN315" s="54">
        <f t="shared" si="691"/>
        <v>1173201</v>
      </c>
      <c r="BO315" s="54">
        <f t="shared" si="691"/>
        <v>1173201</v>
      </c>
      <c r="BP315" s="54">
        <f t="shared" si="691"/>
        <v>1173201</v>
      </c>
      <c r="BQ315" s="83"/>
      <c r="BR315" s="83"/>
      <c r="BS315" s="83"/>
      <c r="BT315" s="83"/>
      <c r="BU315" s="83"/>
      <c r="BV315" s="83">
        <v>89217776</v>
      </c>
      <c r="BW315" s="83">
        <v>69397510</v>
      </c>
      <c r="BX315" s="83">
        <v>69397510</v>
      </c>
      <c r="BY315" s="83"/>
      <c r="BZ315" s="83">
        <v>3244500</v>
      </c>
      <c r="CA315" s="83"/>
      <c r="CB315" s="83"/>
      <c r="CC315" s="83"/>
      <c r="CD315" s="83"/>
      <c r="CE315" s="83"/>
      <c r="CF315" s="83"/>
      <c r="CG315" s="83"/>
      <c r="CH315" s="83"/>
      <c r="CI315" s="83"/>
      <c r="CJ315" s="83"/>
      <c r="CK315" s="83"/>
      <c r="CL315" s="83"/>
      <c r="CM315" s="83"/>
      <c r="CN315" s="83"/>
      <c r="CO315" s="83"/>
      <c r="CP315" s="83"/>
      <c r="CQ315" s="83"/>
      <c r="CR315" s="83"/>
      <c r="CS315" s="83"/>
      <c r="CT315" s="83"/>
      <c r="CU315" s="83"/>
      <c r="CV315" s="83"/>
      <c r="CW315" s="83"/>
      <c r="CX315" s="83"/>
      <c r="CY315" s="83"/>
      <c r="CZ315" s="83"/>
      <c r="DA315" s="83"/>
      <c r="DB315" s="83"/>
      <c r="DC315" s="83"/>
      <c r="DD315" s="83"/>
      <c r="DE315" s="81">
        <f t="shared" si="692"/>
        <v>3244500</v>
      </c>
      <c r="DF315" s="95">
        <f t="shared" si="692"/>
        <v>89217776</v>
      </c>
      <c r="DG315" s="95">
        <f t="shared" si="692"/>
        <v>69397510</v>
      </c>
      <c r="DH315" s="95">
        <f t="shared" si="692"/>
        <v>69397510</v>
      </c>
      <c r="DI315" s="95"/>
      <c r="DJ315" s="84"/>
      <c r="DK315" s="65"/>
      <c r="DL315" s="84"/>
      <c r="DM315" s="84"/>
      <c r="DN315" s="84"/>
      <c r="DO315" s="84">
        <v>65618664</v>
      </c>
      <c r="DP315" s="84">
        <v>52405000</v>
      </c>
      <c r="DQ315" s="84">
        <v>52405000</v>
      </c>
      <c r="DR315" s="84"/>
      <c r="DS315" s="84">
        <v>3340000</v>
      </c>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1"/>
      <c r="EU315" s="83"/>
      <c r="EV315" s="83"/>
      <c r="EW315" s="81">
        <f t="shared" si="693"/>
        <v>3340000</v>
      </c>
      <c r="EX315" s="86">
        <f t="shared" si="693"/>
        <v>65618664</v>
      </c>
      <c r="EY315" s="86">
        <f t="shared" si="694"/>
        <v>52405000</v>
      </c>
      <c r="EZ315" s="86">
        <f t="shared" si="694"/>
        <v>52405000</v>
      </c>
      <c r="FA315" s="176"/>
      <c r="FB315" s="83"/>
      <c r="FC315" s="84"/>
      <c r="FD315" s="84"/>
      <c r="FE315" s="84"/>
      <c r="FF315" s="140"/>
      <c r="FG315" s="83"/>
      <c r="FH315" s="83">
        <v>56171030</v>
      </c>
      <c r="FI315" s="83">
        <v>12915100</v>
      </c>
      <c r="FJ315" s="83">
        <v>10510000</v>
      </c>
      <c r="FK315" s="83"/>
      <c r="FL315" s="83">
        <v>3400000</v>
      </c>
      <c r="FM315" s="83"/>
      <c r="FN315" s="83"/>
      <c r="FO315" s="83"/>
      <c r="FP315" s="83"/>
      <c r="FQ315" s="83"/>
      <c r="FR315" s="83"/>
      <c r="FS315" s="83"/>
      <c r="FT315" s="83"/>
      <c r="FU315" s="83"/>
      <c r="FV315" s="83"/>
      <c r="FW315" s="83"/>
      <c r="FX315" s="83"/>
      <c r="FY315" s="83"/>
      <c r="FZ315" s="83"/>
      <c r="GA315" s="83"/>
      <c r="GB315" s="83"/>
      <c r="GC315" s="83"/>
      <c r="GD315" s="83"/>
      <c r="GE315" s="83"/>
      <c r="GF315" s="83"/>
      <c r="GG315" s="83"/>
      <c r="GH315" s="83"/>
      <c r="GI315" s="83"/>
      <c r="GJ315" s="83"/>
      <c r="GK315" s="83"/>
      <c r="GL315" s="83"/>
      <c r="GM315" s="83"/>
      <c r="GN315" s="83"/>
      <c r="GO315" s="83"/>
      <c r="GP315" s="83"/>
      <c r="GQ315" s="83"/>
      <c r="GR315" s="83"/>
      <c r="GS315" s="83"/>
      <c r="GT315" s="83"/>
      <c r="GU315" s="81">
        <f>FB315+FG315+FL315+FQ315+FV315+GA315+GF315+GK315+GP315</f>
        <v>3400000</v>
      </c>
      <c r="GV315" s="81">
        <f t="shared" si="695"/>
        <v>56171030</v>
      </c>
      <c r="GW315" s="81">
        <f t="shared" si="695"/>
        <v>12915100</v>
      </c>
      <c r="GX315" s="81">
        <f t="shared" si="695"/>
        <v>10510000</v>
      </c>
      <c r="GY315" s="673">
        <f t="shared" si="695"/>
        <v>0</v>
      </c>
      <c r="GZ315" s="67">
        <f>BM315+DE315+EW315+GU315</f>
        <v>13134500</v>
      </c>
    </row>
    <row r="316" spans="1:208" s="711" customFormat="1" ht="56.25" customHeight="1" x14ac:dyDescent="0.2">
      <c r="A316" s="703"/>
      <c r="B316" s="703"/>
      <c r="C316" s="715"/>
      <c r="D316" s="826"/>
      <c r="E316" s="838"/>
      <c r="F316" s="838"/>
      <c r="G316" s="682">
        <v>211</v>
      </c>
      <c r="H316" s="676" t="s">
        <v>730</v>
      </c>
      <c r="I316" s="676" t="s">
        <v>731</v>
      </c>
      <c r="J316" s="813" t="s">
        <v>708</v>
      </c>
      <c r="K316" s="892">
        <v>4</v>
      </c>
      <c r="L316" s="892" t="s">
        <v>58</v>
      </c>
      <c r="M316" s="621">
        <v>1</v>
      </c>
      <c r="N316" s="621">
        <v>1</v>
      </c>
      <c r="O316" s="621">
        <v>1</v>
      </c>
      <c r="P316" s="893">
        <v>1</v>
      </c>
      <c r="Q316" s="621">
        <v>1</v>
      </c>
      <c r="R316" s="814"/>
      <c r="S316" s="893">
        <v>1</v>
      </c>
      <c r="T316" s="621">
        <v>1</v>
      </c>
      <c r="U316" s="621"/>
      <c r="V316" s="893">
        <v>1</v>
      </c>
      <c r="W316" s="621">
        <v>1</v>
      </c>
      <c r="X316" s="892"/>
      <c r="Y316" s="639">
        <v>1</v>
      </c>
      <c r="Z316" s="852">
        <f>BM316/$BM$313</f>
        <v>0.8333076923076923</v>
      </c>
      <c r="AA316" s="682">
        <v>3</v>
      </c>
      <c r="AB316" s="813" t="s">
        <v>455</v>
      </c>
      <c r="AC316" s="830"/>
      <c r="AD316" s="831"/>
      <c r="AE316" s="818"/>
      <c r="AF316" s="818"/>
      <c r="AG316" s="830"/>
      <c r="AH316" s="831"/>
      <c r="AI316" s="831"/>
      <c r="AJ316" s="831"/>
      <c r="AK316" s="907">
        <v>108330000</v>
      </c>
      <c r="AL316" s="831">
        <v>83970380</v>
      </c>
      <c r="AM316" s="831">
        <v>62890625</v>
      </c>
      <c r="AN316" s="831">
        <v>62890625</v>
      </c>
      <c r="AO316" s="830"/>
      <c r="AP316" s="831"/>
      <c r="AQ316" s="831"/>
      <c r="AR316" s="831"/>
      <c r="AS316" s="830"/>
      <c r="AT316" s="831"/>
      <c r="AU316" s="818"/>
      <c r="AV316" s="818"/>
      <c r="AW316" s="830"/>
      <c r="AX316" s="831"/>
      <c r="AY316" s="831"/>
      <c r="AZ316" s="831"/>
      <c r="BA316" s="830"/>
      <c r="BB316" s="831"/>
      <c r="BC316" s="831"/>
      <c r="BD316" s="831"/>
      <c r="BE316" s="830"/>
      <c r="BF316" s="831"/>
      <c r="BG316" s="818"/>
      <c r="BH316" s="818"/>
      <c r="BI316" s="830"/>
      <c r="BJ316" s="831"/>
      <c r="BK316" s="831"/>
      <c r="BL316" s="831"/>
      <c r="BM316" s="817">
        <f>+AC316+AG316+AK316+AO316+AS316+AW316+BA316+BE316+BI316</f>
        <v>108330000</v>
      </c>
      <c r="BN316" s="818">
        <f t="shared" si="691"/>
        <v>83970380</v>
      </c>
      <c r="BO316" s="818">
        <f t="shared" si="691"/>
        <v>62890625</v>
      </c>
      <c r="BP316" s="818">
        <f t="shared" si="691"/>
        <v>62890625</v>
      </c>
      <c r="BQ316" s="667"/>
      <c r="BR316" s="667"/>
      <c r="BS316" s="667"/>
      <c r="BT316" s="667"/>
      <c r="BU316" s="667"/>
      <c r="BV316" s="667">
        <v>12800000</v>
      </c>
      <c r="BW316" s="667">
        <v>8746667</v>
      </c>
      <c r="BX316" s="667">
        <v>8746667</v>
      </c>
      <c r="BY316" s="667"/>
      <c r="BZ316" s="667">
        <v>111579900</v>
      </c>
      <c r="CA316" s="667"/>
      <c r="CB316" s="667"/>
      <c r="CC316" s="667"/>
      <c r="CD316" s="667"/>
      <c r="CE316" s="667"/>
      <c r="CF316" s="667"/>
      <c r="CG316" s="667"/>
      <c r="CH316" s="667"/>
      <c r="CI316" s="667"/>
      <c r="CJ316" s="667"/>
      <c r="CK316" s="667"/>
      <c r="CL316" s="667"/>
      <c r="CM316" s="667"/>
      <c r="CN316" s="667"/>
      <c r="CO316" s="667"/>
      <c r="CP316" s="667"/>
      <c r="CQ316" s="667"/>
      <c r="CR316" s="667"/>
      <c r="CS316" s="667"/>
      <c r="CT316" s="667"/>
      <c r="CU316" s="667"/>
      <c r="CV316" s="667"/>
      <c r="CW316" s="667"/>
      <c r="CX316" s="667"/>
      <c r="CY316" s="667"/>
      <c r="CZ316" s="667"/>
      <c r="DA316" s="667"/>
      <c r="DB316" s="667"/>
      <c r="DC316" s="667"/>
      <c r="DD316" s="667"/>
      <c r="DE316" s="708">
        <f t="shared" si="692"/>
        <v>111579900</v>
      </c>
      <c r="DF316" s="708">
        <f t="shared" si="692"/>
        <v>12800000</v>
      </c>
      <c r="DG316" s="708">
        <f t="shared" si="692"/>
        <v>8746667</v>
      </c>
      <c r="DH316" s="708">
        <f t="shared" si="692"/>
        <v>8746667</v>
      </c>
      <c r="DI316" s="708"/>
      <c r="DJ316" s="706"/>
      <c r="DK316" s="706"/>
      <c r="DL316" s="706"/>
      <c r="DM316" s="706"/>
      <c r="DN316" s="706"/>
      <c r="DO316" s="706">
        <v>51461261</v>
      </c>
      <c r="DP316" s="706">
        <v>30657960</v>
      </c>
      <c r="DQ316" s="706">
        <v>30657960</v>
      </c>
      <c r="DR316" s="706"/>
      <c r="DS316" s="706">
        <v>114977000</v>
      </c>
      <c r="DT316" s="706"/>
      <c r="DU316" s="706"/>
      <c r="DV316" s="706"/>
      <c r="DW316" s="706"/>
      <c r="DX316" s="706"/>
      <c r="DY316" s="706"/>
      <c r="DZ316" s="706"/>
      <c r="EA316" s="706"/>
      <c r="EB316" s="706"/>
      <c r="EC316" s="706"/>
      <c r="ED316" s="706"/>
      <c r="EE316" s="706"/>
      <c r="EF316" s="706"/>
      <c r="EG316" s="706"/>
      <c r="EH316" s="706"/>
      <c r="EI316" s="706"/>
      <c r="EJ316" s="706"/>
      <c r="EK316" s="706"/>
      <c r="EL316" s="706"/>
      <c r="EM316" s="706"/>
      <c r="EN316" s="706"/>
      <c r="EO316" s="706"/>
      <c r="EP316" s="706"/>
      <c r="EQ316" s="706"/>
      <c r="ER316" s="706"/>
      <c r="ES316" s="706"/>
      <c r="ET316" s="708"/>
      <c r="EU316" s="667"/>
      <c r="EV316" s="667"/>
      <c r="EW316" s="708">
        <f t="shared" si="693"/>
        <v>114977000</v>
      </c>
      <c r="EX316" s="819">
        <f t="shared" si="693"/>
        <v>51461261</v>
      </c>
      <c r="EY316" s="819">
        <f t="shared" si="694"/>
        <v>30657960</v>
      </c>
      <c r="EZ316" s="819">
        <f t="shared" si="694"/>
        <v>30657960</v>
      </c>
      <c r="FA316" s="820"/>
      <c r="FB316" s="667"/>
      <c r="FC316" s="706"/>
      <c r="FD316" s="706"/>
      <c r="FE316" s="706"/>
      <c r="FF316" s="707"/>
      <c r="FG316" s="667"/>
      <c r="FH316" s="667">
        <v>60159629.219999999</v>
      </c>
      <c r="FI316" s="667">
        <v>22120000</v>
      </c>
      <c r="FJ316" s="667">
        <v>1802000</v>
      </c>
      <c r="FK316" s="667"/>
      <c r="FL316" s="667">
        <v>118454510</v>
      </c>
      <c r="FM316" s="667"/>
      <c r="FN316" s="667"/>
      <c r="FO316" s="667"/>
      <c r="FP316" s="667"/>
      <c r="FQ316" s="667"/>
      <c r="FR316" s="667"/>
      <c r="FS316" s="667"/>
      <c r="FT316" s="667"/>
      <c r="FU316" s="667"/>
      <c r="FV316" s="667"/>
      <c r="FW316" s="667"/>
      <c r="FX316" s="667"/>
      <c r="FY316" s="667"/>
      <c r="FZ316" s="667"/>
      <c r="GA316" s="667"/>
      <c r="GB316" s="667"/>
      <c r="GC316" s="667"/>
      <c r="GD316" s="667"/>
      <c r="GE316" s="667"/>
      <c r="GF316" s="667"/>
      <c r="GG316" s="667"/>
      <c r="GH316" s="667"/>
      <c r="GI316" s="667"/>
      <c r="GJ316" s="667"/>
      <c r="GK316" s="667"/>
      <c r="GL316" s="667"/>
      <c r="GM316" s="667"/>
      <c r="GN316" s="667"/>
      <c r="GO316" s="667"/>
      <c r="GP316" s="667"/>
      <c r="GQ316" s="667"/>
      <c r="GR316" s="667"/>
      <c r="GS316" s="667"/>
      <c r="GT316" s="667"/>
      <c r="GU316" s="708">
        <f>FB316+FG316+FL316+FQ316+FV316+GA316+GF316+GK316+GP316</f>
        <v>118454510</v>
      </c>
      <c r="GV316" s="708">
        <f t="shared" si="695"/>
        <v>60159629.219999999</v>
      </c>
      <c r="GW316" s="708">
        <f t="shared" si="695"/>
        <v>22120000</v>
      </c>
      <c r="GX316" s="708">
        <f t="shared" si="695"/>
        <v>1802000</v>
      </c>
      <c r="GY316" s="709">
        <f t="shared" si="695"/>
        <v>0</v>
      </c>
      <c r="GZ316" s="710">
        <f>BM316+DE316+EW316+GU316</f>
        <v>453341410</v>
      </c>
    </row>
    <row r="317" spans="1:208" ht="24.75" customHeight="1" x14ac:dyDescent="0.2">
      <c r="A317" s="326"/>
      <c r="B317" s="326"/>
      <c r="C317" s="246">
        <v>73</v>
      </c>
      <c r="D317" s="247" t="s">
        <v>732</v>
      </c>
      <c r="E317" s="250"/>
      <c r="F317" s="250"/>
      <c r="G317" s="249"/>
      <c r="H317" s="249"/>
      <c r="I317" s="249"/>
      <c r="J317" s="249"/>
      <c r="K317" s="249"/>
      <c r="L317" s="249"/>
      <c r="M317" s="249"/>
      <c r="N317" s="249"/>
      <c r="O317" s="249"/>
      <c r="P317" s="249"/>
      <c r="Q317" s="249"/>
      <c r="R317" s="249"/>
      <c r="S317" s="249"/>
      <c r="T317" s="249"/>
      <c r="U317" s="249"/>
      <c r="V317" s="249"/>
      <c r="W317" s="249"/>
      <c r="X317" s="249"/>
      <c r="Y317" s="296"/>
      <c r="Z317" s="249"/>
      <c r="AA317" s="249"/>
      <c r="AB317" s="249"/>
      <c r="AC317" s="51">
        <f t="shared" ref="AC317:BL317" si="696">SUM(AC318)</f>
        <v>0</v>
      </c>
      <c r="AD317" s="51">
        <f t="shared" si="696"/>
        <v>0</v>
      </c>
      <c r="AE317" s="51">
        <f t="shared" si="696"/>
        <v>0</v>
      </c>
      <c r="AF317" s="51">
        <f t="shared" si="696"/>
        <v>0</v>
      </c>
      <c r="AG317" s="51">
        <f t="shared" si="696"/>
        <v>0</v>
      </c>
      <c r="AH317" s="51">
        <f t="shared" si="696"/>
        <v>71923416</v>
      </c>
      <c r="AI317" s="51">
        <f t="shared" si="696"/>
        <v>22900000</v>
      </c>
      <c r="AJ317" s="51">
        <f t="shared" si="696"/>
        <v>22900000</v>
      </c>
      <c r="AK317" s="51">
        <f t="shared" si="696"/>
        <v>71923416</v>
      </c>
      <c r="AL317" s="51">
        <f t="shared" si="696"/>
        <v>4200000</v>
      </c>
      <c r="AM317" s="51">
        <f t="shared" si="696"/>
        <v>3291667</v>
      </c>
      <c r="AN317" s="51">
        <f t="shared" si="696"/>
        <v>3291667</v>
      </c>
      <c r="AO317" s="51">
        <f t="shared" si="696"/>
        <v>0</v>
      </c>
      <c r="AP317" s="51">
        <f t="shared" si="696"/>
        <v>0</v>
      </c>
      <c r="AQ317" s="51">
        <f t="shared" si="696"/>
        <v>0</v>
      </c>
      <c r="AR317" s="51">
        <f t="shared" si="696"/>
        <v>0</v>
      </c>
      <c r="AS317" s="51">
        <f t="shared" si="696"/>
        <v>0</v>
      </c>
      <c r="AT317" s="51">
        <f t="shared" si="696"/>
        <v>0</v>
      </c>
      <c r="AU317" s="51">
        <f t="shared" si="696"/>
        <v>0</v>
      </c>
      <c r="AV317" s="51">
        <f t="shared" si="696"/>
        <v>0</v>
      </c>
      <c r="AW317" s="51">
        <f t="shared" si="696"/>
        <v>0</v>
      </c>
      <c r="AX317" s="51">
        <f t="shared" si="696"/>
        <v>0</v>
      </c>
      <c r="AY317" s="51">
        <f t="shared" si="696"/>
        <v>0</v>
      </c>
      <c r="AZ317" s="51">
        <f t="shared" si="696"/>
        <v>0</v>
      </c>
      <c r="BA317" s="51">
        <f t="shared" si="696"/>
        <v>0</v>
      </c>
      <c r="BB317" s="51">
        <f t="shared" si="696"/>
        <v>0</v>
      </c>
      <c r="BC317" s="51">
        <f t="shared" si="696"/>
        <v>0</v>
      </c>
      <c r="BD317" s="51">
        <f t="shared" si="696"/>
        <v>0</v>
      </c>
      <c r="BE317" s="51">
        <f t="shared" si="696"/>
        <v>0</v>
      </c>
      <c r="BF317" s="51">
        <f t="shared" si="696"/>
        <v>0</v>
      </c>
      <c r="BG317" s="51">
        <f t="shared" si="696"/>
        <v>0</v>
      </c>
      <c r="BH317" s="51">
        <f t="shared" si="696"/>
        <v>0</v>
      </c>
      <c r="BI317" s="51">
        <f t="shared" si="696"/>
        <v>0</v>
      </c>
      <c r="BJ317" s="51">
        <f t="shared" si="696"/>
        <v>0</v>
      </c>
      <c r="BK317" s="51">
        <f t="shared" si="696"/>
        <v>0</v>
      </c>
      <c r="BL317" s="51">
        <f t="shared" si="696"/>
        <v>0</v>
      </c>
      <c r="BM317" s="51">
        <f t="shared" ref="BM317:DX317" si="697">SUM(BM318)</f>
        <v>71923416</v>
      </c>
      <c r="BN317" s="51">
        <f t="shared" si="697"/>
        <v>76123416</v>
      </c>
      <c r="BO317" s="51">
        <f t="shared" si="697"/>
        <v>26191667</v>
      </c>
      <c r="BP317" s="51">
        <f t="shared" si="697"/>
        <v>26191667</v>
      </c>
      <c r="BQ317" s="51">
        <f t="shared" si="697"/>
        <v>0</v>
      </c>
      <c r="BR317" s="51">
        <f t="shared" si="697"/>
        <v>0</v>
      </c>
      <c r="BS317" s="51">
        <f t="shared" si="697"/>
        <v>0</v>
      </c>
      <c r="BT317" s="51">
        <f t="shared" si="697"/>
        <v>0</v>
      </c>
      <c r="BU317" s="51">
        <f t="shared" si="697"/>
        <v>0</v>
      </c>
      <c r="BV317" s="51">
        <f t="shared" si="697"/>
        <v>154700000</v>
      </c>
      <c r="BW317" s="51">
        <f t="shared" si="697"/>
        <v>108209999</v>
      </c>
      <c r="BX317" s="51">
        <f t="shared" si="697"/>
        <v>108209999</v>
      </c>
      <c r="BY317" s="51">
        <f t="shared" si="697"/>
        <v>0</v>
      </c>
      <c r="BZ317" s="51">
        <f t="shared" si="697"/>
        <v>74081118.480000004</v>
      </c>
      <c r="CA317" s="51">
        <f t="shared" si="697"/>
        <v>0</v>
      </c>
      <c r="CB317" s="51">
        <f t="shared" si="697"/>
        <v>0</v>
      </c>
      <c r="CC317" s="51">
        <f t="shared" si="697"/>
        <v>0</v>
      </c>
      <c r="CD317" s="51">
        <f t="shared" si="697"/>
        <v>0</v>
      </c>
      <c r="CE317" s="51">
        <f t="shared" si="697"/>
        <v>0</v>
      </c>
      <c r="CF317" s="51">
        <f t="shared" si="697"/>
        <v>0</v>
      </c>
      <c r="CG317" s="51">
        <f t="shared" si="697"/>
        <v>0</v>
      </c>
      <c r="CH317" s="51">
        <f t="shared" si="697"/>
        <v>0</v>
      </c>
      <c r="CI317" s="51">
        <f t="shared" si="697"/>
        <v>0</v>
      </c>
      <c r="CJ317" s="51">
        <f t="shared" si="697"/>
        <v>0</v>
      </c>
      <c r="CK317" s="51">
        <f t="shared" si="697"/>
        <v>0</v>
      </c>
      <c r="CL317" s="51">
        <f t="shared" si="697"/>
        <v>0</v>
      </c>
      <c r="CM317" s="51">
        <f t="shared" si="697"/>
        <v>0</v>
      </c>
      <c r="CN317" s="51">
        <f t="shared" si="697"/>
        <v>0</v>
      </c>
      <c r="CO317" s="51">
        <f t="shared" si="697"/>
        <v>0</v>
      </c>
      <c r="CP317" s="51">
        <f t="shared" si="697"/>
        <v>0</v>
      </c>
      <c r="CQ317" s="51">
        <f t="shared" si="697"/>
        <v>0</v>
      </c>
      <c r="CR317" s="51">
        <f t="shared" si="697"/>
        <v>0</v>
      </c>
      <c r="CS317" s="51">
        <f t="shared" si="697"/>
        <v>0</v>
      </c>
      <c r="CT317" s="51">
        <f t="shared" si="697"/>
        <v>0</v>
      </c>
      <c r="CU317" s="51">
        <f t="shared" si="697"/>
        <v>0</v>
      </c>
      <c r="CV317" s="51">
        <f t="shared" si="697"/>
        <v>0</v>
      </c>
      <c r="CW317" s="51">
        <f t="shared" si="697"/>
        <v>0</v>
      </c>
      <c r="CX317" s="51">
        <f t="shared" si="697"/>
        <v>0</v>
      </c>
      <c r="CY317" s="51">
        <f t="shared" si="697"/>
        <v>0</v>
      </c>
      <c r="CZ317" s="51">
        <f t="shared" si="697"/>
        <v>0</v>
      </c>
      <c r="DA317" s="51">
        <f t="shared" si="697"/>
        <v>0</v>
      </c>
      <c r="DB317" s="51">
        <f t="shared" si="697"/>
        <v>0</v>
      </c>
      <c r="DC317" s="51">
        <f t="shared" si="697"/>
        <v>0</v>
      </c>
      <c r="DD317" s="51">
        <f t="shared" si="697"/>
        <v>0</v>
      </c>
      <c r="DE317" s="51">
        <f t="shared" si="697"/>
        <v>74081118.480000004</v>
      </c>
      <c r="DF317" s="51">
        <f t="shared" si="697"/>
        <v>154700000</v>
      </c>
      <c r="DG317" s="51">
        <f t="shared" si="697"/>
        <v>108209999</v>
      </c>
      <c r="DH317" s="51">
        <f t="shared" si="697"/>
        <v>108209999</v>
      </c>
      <c r="DI317" s="51">
        <f t="shared" si="697"/>
        <v>0</v>
      </c>
      <c r="DJ317" s="51">
        <f t="shared" si="697"/>
        <v>0</v>
      </c>
      <c r="DK317" s="51">
        <f t="shared" si="697"/>
        <v>0</v>
      </c>
      <c r="DL317" s="51">
        <f t="shared" si="697"/>
        <v>0</v>
      </c>
      <c r="DM317" s="51">
        <f t="shared" si="697"/>
        <v>0</v>
      </c>
      <c r="DN317" s="51">
        <f t="shared" si="697"/>
        <v>0</v>
      </c>
      <c r="DO317" s="51">
        <f t="shared" si="697"/>
        <v>83500000</v>
      </c>
      <c r="DP317" s="51">
        <f t="shared" si="697"/>
        <v>67396667</v>
      </c>
      <c r="DQ317" s="51">
        <f t="shared" si="697"/>
        <v>67396667</v>
      </c>
      <c r="DR317" s="51">
        <f t="shared" si="697"/>
        <v>0</v>
      </c>
      <c r="DS317" s="51">
        <f t="shared" si="697"/>
        <v>76303552.034400001</v>
      </c>
      <c r="DT317" s="51">
        <f t="shared" si="697"/>
        <v>0</v>
      </c>
      <c r="DU317" s="51">
        <f t="shared" si="697"/>
        <v>0</v>
      </c>
      <c r="DV317" s="51">
        <f t="shared" si="697"/>
        <v>0</v>
      </c>
      <c r="DW317" s="51">
        <f t="shared" si="697"/>
        <v>0</v>
      </c>
      <c r="DX317" s="51">
        <f t="shared" si="697"/>
        <v>0</v>
      </c>
      <c r="DY317" s="51">
        <f t="shared" ref="DY317:EW317" si="698">SUM(DY318)</f>
        <v>0</v>
      </c>
      <c r="DZ317" s="51">
        <f t="shared" si="698"/>
        <v>0</v>
      </c>
      <c r="EA317" s="51">
        <f t="shared" si="698"/>
        <v>0</v>
      </c>
      <c r="EB317" s="51">
        <f t="shared" si="698"/>
        <v>0</v>
      </c>
      <c r="EC317" s="51">
        <f t="shared" si="698"/>
        <v>0</v>
      </c>
      <c r="ED317" s="51">
        <f t="shared" si="698"/>
        <v>0</v>
      </c>
      <c r="EE317" s="51">
        <f t="shared" si="698"/>
        <v>0</v>
      </c>
      <c r="EF317" s="51">
        <f t="shared" si="698"/>
        <v>0</v>
      </c>
      <c r="EG317" s="51">
        <f t="shared" si="698"/>
        <v>0</v>
      </c>
      <c r="EH317" s="51">
        <f t="shared" si="698"/>
        <v>0</v>
      </c>
      <c r="EI317" s="51">
        <f t="shared" si="698"/>
        <v>0</v>
      </c>
      <c r="EJ317" s="51">
        <f t="shared" si="698"/>
        <v>0</v>
      </c>
      <c r="EK317" s="51">
        <f t="shared" si="698"/>
        <v>0</v>
      </c>
      <c r="EL317" s="51">
        <f t="shared" si="698"/>
        <v>0</v>
      </c>
      <c r="EM317" s="51">
        <f t="shared" si="698"/>
        <v>0</v>
      </c>
      <c r="EN317" s="51">
        <f t="shared" si="698"/>
        <v>0</v>
      </c>
      <c r="EO317" s="51">
        <f t="shared" si="698"/>
        <v>0</v>
      </c>
      <c r="EP317" s="51">
        <f t="shared" si="698"/>
        <v>0</v>
      </c>
      <c r="EQ317" s="51">
        <f t="shared" si="698"/>
        <v>0</v>
      </c>
      <c r="ER317" s="51">
        <f t="shared" si="698"/>
        <v>0</v>
      </c>
      <c r="ES317" s="51">
        <f t="shared" si="698"/>
        <v>0</v>
      </c>
      <c r="ET317" s="51">
        <f t="shared" si="698"/>
        <v>0</v>
      </c>
      <c r="EU317" s="51">
        <f t="shared" si="698"/>
        <v>0</v>
      </c>
      <c r="EV317" s="51">
        <f t="shared" si="698"/>
        <v>0</v>
      </c>
      <c r="EW317" s="51">
        <f t="shared" si="698"/>
        <v>76303552.034400001</v>
      </c>
      <c r="EX317" s="51">
        <f t="shared" ref="EX317:GZ317" si="699">SUM(EX318)</f>
        <v>83500000</v>
      </c>
      <c r="EY317" s="51">
        <f t="shared" si="699"/>
        <v>67396667</v>
      </c>
      <c r="EZ317" s="51">
        <f t="shared" si="699"/>
        <v>67396667</v>
      </c>
      <c r="FA317" s="51">
        <f t="shared" si="699"/>
        <v>0</v>
      </c>
      <c r="FB317" s="51">
        <f t="shared" si="699"/>
        <v>0</v>
      </c>
      <c r="FC317" s="51">
        <f t="shared" si="699"/>
        <v>0</v>
      </c>
      <c r="FD317" s="51">
        <f t="shared" si="699"/>
        <v>0</v>
      </c>
      <c r="FE317" s="51">
        <f t="shared" si="699"/>
        <v>0</v>
      </c>
      <c r="FF317" s="51">
        <f t="shared" si="699"/>
        <v>0</v>
      </c>
      <c r="FG317" s="51">
        <f t="shared" si="699"/>
        <v>0</v>
      </c>
      <c r="FH317" s="51">
        <f t="shared" si="699"/>
        <v>199599321.65000001</v>
      </c>
      <c r="FI317" s="51">
        <f t="shared" si="699"/>
        <v>120300000</v>
      </c>
      <c r="FJ317" s="51">
        <f t="shared" si="699"/>
        <v>12200000</v>
      </c>
      <c r="FK317" s="51">
        <f t="shared" si="699"/>
        <v>0</v>
      </c>
      <c r="FL317" s="51">
        <f t="shared" si="699"/>
        <v>78592658.595431998</v>
      </c>
      <c r="FM317" s="51">
        <f t="shared" si="699"/>
        <v>0</v>
      </c>
      <c r="FN317" s="51">
        <f t="shared" si="699"/>
        <v>0</v>
      </c>
      <c r="FO317" s="51">
        <f t="shared" si="699"/>
        <v>0</v>
      </c>
      <c r="FP317" s="51">
        <f t="shared" si="699"/>
        <v>0</v>
      </c>
      <c r="FQ317" s="51">
        <f t="shared" si="699"/>
        <v>0</v>
      </c>
      <c r="FR317" s="51">
        <f t="shared" si="699"/>
        <v>0</v>
      </c>
      <c r="FS317" s="51">
        <f t="shared" si="699"/>
        <v>0</v>
      </c>
      <c r="FT317" s="51">
        <f t="shared" si="699"/>
        <v>0</v>
      </c>
      <c r="FU317" s="51">
        <f t="shared" si="699"/>
        <v>0</v>
      </c>
      <c r="FV317" s="51">
        <f t="shared" si="699"/>
        <v>0</v>
      </c>
      <c r="FW317" s="51">
        <f t="shared" si="699"/>
        <v>0</v>
      </c>
      <c r="FX317" s="51">
        <f t="shared" si="699"/>
        <v>0</v>
      </c>
      <c r="FY317" s="51">
        <f t="shared" si="699"/>
        <v>0</v>
      </c>
      <c r="FZ317" s="51">
        <f t="shared" si="699"/>
        <v>0</v>
      </c>
      <c r="GA317" s="51">
        <f t="shared" si="699"/>
        <v>0</v>
      </c>
      <c r="GB317" s="51">
        <f t="shared" si="699"/>
        <v>0</v>
      </c>
      <c r="GC317" s="51">
        <f t="shared" si="699"/>
        <v>0</v>
      </c>
      <c r="GD317" s="51">
        <f t="shared" si="699"/>
        <v>0</v>
      </c>
      <c r="GE317" s="51">
        <f t="shared" si="699"/>
        <v>0</v>
      </c>
      <c r="GF317" s="51">
        <f t="shared" si="699"/>
        <v>0</v>
      </c>
      <c r="GG317" s="51">
        <f t="shared" si="699"/>
        <v>0</v>
      </c>
      <c r="GH317" s="51">
        <f t="shared" si="699"/>
        <v>0</v>
      </c>
      <c r="GI317" s="51">
        <f t="shared" si="699"/>
        <v>0</v>
      </c>
      <c r="GJ317" s="51">
        <f t="shared" si="699"/>
        <v>0</v>
      </c>
      <c r="GK317" s="51">
        <f t="shared" si="699"/>
        <v>0</v>
      </c>
      <c r="GL317" s="51">
        <f t="shared" si="699"/>
        <v>0</v>
      </c>
      <c r="GM317" s="51">
        <f t="shared" si="699"/>
        <v>0</v>
      </c>
      <c r="GN317" s="51">
        <f t="shared" si="699"/>
        <v>0</v>
      </c>
      <c r="GO317" s="51">
        <f t="shared" si="699"/>
        <v>0</v>
      </c>
      <c r="GP317" s="51">
        <f t="shared" si="699"/>
        <v>0</v>
      </c>
      <c r="GQ317" s="51">
        <f t="shared" si="699"/>
        <v>0</v>
      </c>
      <c r="GR317" s="51">
        <f t="shared" si="699"/>
        <v>0</v>
      </c>
      <c r="GS317" s="51">
        <f t="shared" si="699"/>
        <v>0</v>
      </c>
      <c r="GT317" s="51">
        <f t="shared" si="699"/>
        <v>0</v>
      </c>
      <c r="GU317" s="51">
        <f t="shared" si="699"/>
        <v>78592658.595431998</v>
      </c>
      <c r="GV317" s="51">
        <f t="shared" si="699"/>
        <v>199599321.65000001</v>
      </c>
      <c r="GW317" s="51">
        <f t="shared" si="699"/>
        <v>120300000</v>
      </c>
      <c r="GX317" s="51">
        <f t="shared" si="699"/>
        <v>12200000</v>
      </c>
      <c r="GY317" s="51">
        <f t="shared" si="699"/>
        <v>0</v>
      </c>
      <c r="GZ317" s="51">
        <f t="shared" si="699"/>
        <v>300900745.10983199</v>
      </c>
    </row>
    <row r="318" spans="1:208" ht="75" customHeight="1" x14ac:dyDescent="0.2">
      <c r="A318" s="326"/>
      <c r="B318" s="372"/>
      <c r="C318" s="288">
        <v>36</v>
      </c>
      <c r="D318" s="721" t="s">
        <v>705</v>
      </c>
      <c r="E318" s="1038">
        <v>0.4</v>
      </c>
      <c r="F318" s="1038">
        <v>0.6</v>
      </c>
      <c r="G318" s="265">
        <v>212</v>
      </c>
      <c r="H318" s="261" t="s">
        <v>733</v>
      </c>
      <c r="I318" s="275" t="s">
        <v>734</v>
      </c>
      <c r="J318" s="262" t="s">
        <v>708</v>
      </c>
      <c r="K318" s="415">
        <v>4</v>
      </c>
      <c r="L318" s="304" t="s">
        <v>58</v>
      </c>
      <c r="M318" s="288">
        <v>1</v>
      </c>
      <c r="N318" s="288">
        <v>1</v>
      </c>
      <c r="O318" s="259">
        <v>1</v>
      </c>
      <c r="P318" s="387">
        <v>1</v>
      </c>
      <c r="Q318" s="288">
        <v>1</v>
      </c>
      <c r="R318" s="268"/>
      <c r="S318" s="389">
        <v>1</v>
      </c>
      <c r="T318" s="288">
        <v>1</v>
      </c>
      <c r="U318" s="288"/>
      <c r="V318" s="389">
        <v>1</v>
      </c>
      <c r="W318" s="288">
        <v>1</v>
      </c>
      <c r="X318" s="304"/>
      <c r="Y318" s="631">
        <v>0.5</v>
      </c>
      <c r="Z318" s="443">
        <v>1</v>
      </c>
      <c r="AA318" s="264">
        <v>3</v>
      </c>
      <c r="AB318" s="263" t="s">
        <v>455</v>
      </c>
      <c r="AC318" s="57"/>
      <c r="AD318" s="58"/>
      <c r="AE318" s="59"/>
      <c r="AF318" s="59"/>
      <c r="AG318" s="57"/>
      <c r="AH318" s="55">
        <v>71923416</v>
      </c>
      <c r="AI318" s="58">
        <v>22900000</v>
      </c>
      <c r="AJ318" s="58">
        <v>22900000</v>
      </c>
      <c r="AK318" s="57">
        <v>71923416</v>
      </c>
      <c r="AL318" s="58">
        <v>4200000</v>
      </c>
      <c r="AM318" s="58">
        <v>3291667</v>
      </c>
      <c r="AN318" s="58">
        <v>3291667</v>
      </c>
      <c r="AO318" s="57"/>
      <c r="AP318" s="58"/>
      <c r="AQ318" s="58"/>
      <c r="AR318" s="58"/>
      <c r="AS318" s="57"/>
      <c r="AT318" s="58"/>
      <c r="AU318" s="59"/>
      <c r="AV318" s="59"/>
      <c r="AW318" s="57"/>
      <c r="AX318" s="58"/>
      <c r="AY318" s="58"/>
      <c r="AZ318" s="58"/>
      <c r="BA318" s="57"/>
      <c r="BB318" s="58"/>
      <c r="BC318" s="58"/>
      <c r="BD318" s="58"/>
      <c r="BE318" s="57"/>
      <c r="BF318" s="58"/>
      <c r="BG318" s="59"/>
      <c r="BH318" s="59"/>
      <c r="BI318" s="57"/>
      <c r="BJ318" s="58"/>
      <c r="BK318" s="58"/>
      <c r="BL318" s="58"/>
      <c r="BM318" s="53">
        <f>+AC318+AG318+AK318+AO318+AS318+AW318+BA318+BE318+BI318</f>
        <v>71923416</v>
      </c>
      <c r="BN318" s="54">
        <f>AD318+AH318+AL318+AP318+AT318+AX318+BB318+BF318+BJ318</f>
        <v>76123416</v>
      </c>
      <c r="BO318" s="54">
        <f>AE318+AI318+AM318+AQ318+AU318+AY318+BC318+BG318+BK318</f>
        <v>26191667</v>
      </c>
      <c r="BP318" s="54">
        <f>AF318+AJ318+AN318+AR318+AV318+AZ318+BD318+BH318+BL318</f>
        <v>26191667</v>
      </c>
      <c r="BQ318" s="83"/>
      <c r="BR318" s="83"/>
      <c r="BS318" s="83"/>
      <c r="BT318" s="83"/>
      <c r="BU318" s="83"/>
      <c r="BV318" s="83">
        <v>154700000</v>
      </c>
      <c r="BW318" s="83">
        <v>108209999</v>
      </c>
      <c r="BX318" s="83">
        <v>108209999</v>
      </c>
      <c r="BY318" s="83"/>
      <c r="BZ318" s="83">
        <v>74081118.480000004</v>
      </c>
      <c r="CA318" s="83"/>
      <c r="CB318" s="83"/>
      <c r="CC318" s="83"/>
      <c r="CD318" s="83"/>
      <c r="CE318" s="83"/>
      <c r="CF318" s="83"/>
      <c r="CG318" s="83"/>
      <c r="CH318" s="83"/>
      <c r="CI318" s="83"/>
      <c r="CJ318" s="83"/>
      <c r="CK318" s="83"/>
      <c r="CL318" s="83"/>
      <c r="CM318" s="83"/>
      <c r="CN318" s="83"/>
      <c r="CO318" s="83"/>
      <c r="CP318" s="83"/>
      <c r="CQ318" s="83"/>
      <c r="CR318" s="83"/>
      <c r="CS318" s="83"/>
      <c r="CT318" s="83"/>
      <c r="CU318" s="83"/>
      <c r="CV318" s="83"/>
      <c r="CW318" s="83"/>
      <c r="CX318" s="83"/>
      <c r="CY318" s="83"/>
      <c r="CZ318" s="83"/>
      <c r="DA318" s="83"/>
      <c r="DB318" s="83"/>
      <c r="DC318" s="83"/>
      <c r="DD318" s="83"/>
      <c r="DE318" s="81">
        <f>BQ318+BU318+BZ318+CE318+CI318+CM318+CQ318+CV318+DA318</f>
        <v>74081118.480000004</v>
      </c>
      <c r="DF318" s="95">
        <f>BR318+BV318+CA318+CF318+CJ318+CN318+CR318+CW318+DB318</f>
        <v>154700000</v>
      </c>
      <c r="DG318" s="95">
        <f>BS318+BW318+CB318+CG318+CK318+CO318+CS318+CX318+DC318</f>
        <v>108209999</v>
      </c>
      <c r="DH318" s="95">
        <f>BT318+BX318+CC318+CH318+CL318+CP318+CT318+CY318+DD318</f>
        <v>108209999</v>
      </c>
      <c r="DI318" s="95"/>
      <c r="DJ318" s="84"/>
      <c r="DK318" s="65"/>
      <c r="DL318" s="84"/>
      <c r="DM318" s="84"/>
      <c r="DN318" s="84"/>
      <c r="DO318" s="84">
        <v>83500000</v>
      </c>
      <c r="DP318" s="84">
        <v>67396667</v>
      </c>
      <c r="DQ318" s="84">
        <v>67396667</v>
      </c>
      <c r="DR318" s="84"/>
      <c r="DS318" s="84">
        <v>76303552.034400001</v>
      </c>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1"/>
      <c r="EU318" s="83"/>
      <c r="EV318" s="83"/>
      <c r="EW318" s="81">
        <f>DJ318+DN318+DS318+DX318+EB318+EF318+EJ318+EN318+ES318</f>
        <v>76303552.034400001</v>
      </c>
      <c r="EX318" s="86">
        <f>DK318+DO318+DT318+DY318+EC318+EG318+EK318+EO318+ET318</f>
        <v>83500000</v>
      </c>
      <c r="EY318" s="86">
        <f>DL318+DP318+DU318+DZ318+ED318+EH318+EL318+EP318+EU318</f>
        <v>67396667</v>
      </c>
      <c r="EZ318" s="86">
        <f>DM318+DQ318+DV318+EA318+EE318+EI318+EM318+EQ318+EV318</f>
        <v>67396667</v>
      </c>
      <c r="FA318" s="176"/>
      <c r="FB318" s="83"/>
      <c r="FC318" s="84"/>
      <c r="FD318" s="84"/>
      <c r="FE318" s="84"/>
      <c r="FF318" s="140"/>
      <c r="FG318" s="83"/>
      <c r="FH318" s="83">
        <v>199599321.65000001</v>
      </c>
      <c r="FI318" s="83">
        <v>120300000</v>
      </c>
      <c r="FJ318" s="83">
        <v>12200000</v>
      </c>
      <c r="FK318" s="83"/>
      <c r="FL318" s="83">
        <v>78592658.595431998</v>
      </c>
      <c r="FM318" s="83"/>
      <c r="FN318" s="83"/>
      <c r="FO318" s="83"/>
      <c r="FP318" s="83"/>
      <c r="FQ318" s="83"/>
      <c r="FR318" s="83"/>
      <c r="FS318" s="83"/>
      <c r="FT318" s="83"/>
      <c r="FU318" s="83"/>
      <c r="FV318" s="83"/>
      <c r="FW318" s="83"/>
      <c r="FX318" s="83"/>
      <c r="FY318" s="83"/>
      <c r="FZ318" s="83"/>
      <c r="GA318" s="83"/>
      <c r="GB318" s="83"/>
      <c r="GC318" s="83"/>
      <c r="GD318" s="83"/>
      <c r="GE318" s="83"/>
      <c r="GF318" s="83"/>
      <c r="GG318" s="83"/>
      <c r="GH318" s="83"/>
      <c r="GI318" s="83"/>
      <c r="GJ318" s="83"/>
      <c r="GK318" s="83"/>
      <c r="GL318" s="83"/>
      <c r="GM318" s="83"/>
      <c r="GN318" s="83"/>
      <c r="GO318" s="83"/>
      <c r="GP318" s="83"/>
      <c r="GQ318" s="83"/>
      <c r="GR318" s="83"/>
      <c r="GS318" s="83"/>
      <c r="GT318" s="83"/>
      <c r="GU318" s="81">
        <f>FB318+FG318+FL318+FQ318+FV318+GA318+GF318+GK318+GP318</f>
        <v>78592658.595431998</v>
      </c>
      <c r="GV318" s="81">
        <f>GQ318+GL318+GG318+GB318+FW318+FR318+FM318+FH318+FC318</f>
        <v>199599321.65000001</v>
      </c>
      <c r="GW318" s="81">
        <f>GR318+GM318+GH318+GC318+FX318+FS318+FN318+FI318+FD318</f>
        <v>120300000</v>
      </c>
      <c r="GX318" s="81">
        <f>GS318+GN318+GI318+GD318+FY318+FT318+FO318+FJ318+FE318</f>
        <v>12200000</v>
      </c>
      <c r="GY318" s="673">
        <f>GT318+GO318+GJ318+GE318+FZ318+FU318+FP318+FK318+FF318</f>
        <v>0</v>
      </c>
      <c r="GZ318" s="67">
        <f>BM318+DE318+EW318+GU318</f>
        <v>300900745.10983199</v>
      </c>
    </row>
    <row r="319" spans="1:208" ht="24.75" customHeight="1" x14ac:dyDescent="0.2">
      <c r="A319" s="326"/>
      <c r="B319" s="234">
        <v>22</v>
      </c>
      <c r="C319" s="324" t="s">
        <v>735</v>
      </c>
      <c r="D319" s="236"/>
      <c r="E319" s="236"/>
      <c r="F319" s="236"/>
      <c r="G319" s="325"/>
      <c r="H319" s="325"/>
      <c r="I319" s="325"/>
      <c r="J319" s="325"/>
      <c r="K319" s="325"/>
      <c r="L319" s="325"/>
      <c r="M319" s="325"/>
      <c r="N319" s="325"/>
      <c r="O319" s="325"/>
      <c r="P319" s="325"/>
      <c r="Q319" s="325"/>
      <c r="R319" s="325"/>
      <c r="S319" s="325"/>
      <c r="T319" s="325"/>
      <c r="U319" s="325"/>
      <c r="V319" s="325"/>
      <c r="W319" s="325"/>
      <c r="X319" s="325"/>
      <c r="Y319" s="627"/>
      <c r="Z319" s="325"/>
      <c r="AA319" s="325"/>
      <c r="AB319" s="325"/>
      <c r="AC319" s="50">
        <f t="shared" ref="AC319:CN319" si="700">AC320</f>
        <v>0</v>
      </c>
      <c r="AD319" s="50">
        <f t="shared" si="700"/>
        <v>0</v>
      </c>
      <c r="AE319" s="50">
        <f t="shared" si="700"/>
        <v>0</v>
      </c>
      <c r="AF319" s="50">
        <f t="shared" si="700"/>
        <v>0</v>
      </c>
      <c r="AG319" s="50">
        <f t="shared" si="700"/>
        <v>230048382</v>
      </c>
      <c r="AH319" s="50">
        <f t="shared" si="700"/>
        <v>217969207</v>
      </c>
      <c r="AI319" s="50">
        <f t="shared" si="700"/>
        <v>212093674</v>
      </c>
      <c r="AJ319" s="50">
        <f t="shared" si="700"/>
        <v>212093674</v>
      </c>
      <c r="AK319" s="50">
        <f t="shared" si="700"/>
        <v>0</v>
      </c>
      <c r="AL319" s="50">
        <f t="shared" si="700"/>
        <v>0</v>
      </c>
      <c r="AM319" s="50">
        <f t="shared" si="700"/>
        <v>0</v>
      </c>
      <c r="AN319" s="50">
        <f t="shared" si="700"/>
        <v>0</v>
      </c>
      <c r="AO319" s="50">
        <f t="shared" si="700"/>
        <v>0</v>
      </c>
      <c r="AP319" s="50">
        <f t="shared" si="700"/>
        <v>0</v>
      </c>
      <c r="AQ319" s="50">
        <f t="shared" si="700"/>
        <v>0</v>
      </c>
      <c r="AR319" s="50">
        <f t="shared" si="700"/>
        <v>0</v>
      </c>
      <c r="AS319" s="50">
        <f t="shared" si="700"/>
        <v>0</v>
      </c>
      <c r="AT319" s="50">
        <f t="shared" si="700"/>
        <v>0</v>
      </c>
      <c r="AU319" s="50">
        <f t="shared" si="700"/>
        <v>0</v>
      </c>
      <c r="AV319" s="50">
        <f t="shared" si="700"/>
        <v>0</v>
      </c>
      <c r="AW319" s="50">
        <f t="shared" si="700"/>
        <v>0</v>
      </c>
      <c r="AX319" s="50">
        <f t="shared" si="700"/>
        <v>0</v>
      </c>
      <c r="AY319" s="50">
        <f t="shared" si="700"/>
        <v>0</v>
      </c>
      <c r="AZ319" s="50">
        <f t="shared" si="700"/>
        <v>0</v>
      </c>
      <c r="BA319" s="50">
        <f t="shared" si="700"/>
        <v>0</v>
      </c>
      <c r="BB319" s="50">
        <f t="shared" si="700"/>
        <v>0</v>
      </c>
      <c r="BC319" s="50">
        <f t="shared" si="700"/>
        <v>0</v>
      </c>
      <c r="BD319" s="50">
        <f t="shared" si="700"/>
        <v>0</v>
      </c>
      <c r="BE319" s="50">
        <f t="shared" si="700"/>
        <v>0</v>
      </c>
      <c r="BF319" s="50">
        <f t="shared" si="700"/>
        <v>0</v>
      </c>
      <c r="BG319" s="50">
        <f t="shared" si="700"/>
        <v>0</v>
      </c>
      <c r="BH319" s="50">
        <f t="shared" si="700"/>
        <v>0</v>
      </c>
      <c r="BI319" s="50">
        <f t="shared" si="700"/>
        <v>0</v>
      </c>
      <c r="BJ319" s="50">
        <f t="shared" si="700"/>
        <v>0</v>
      </c>
      <c r="BK319" s="50">
        <f t="shared" si="700"/>
        <v>0</v>
      </c>
      <c r="BL319" s="50">
        <f t="shared" si="700"/>
        <v>0</v>
      </c>
      <c r="BM319" s="50">
        <f t="shared" si="700"/>
        <v>230048382</v>
      </c>
      <c r="BN319" s="50">
        <f t="shared" si="700"/>
        <v>217969207</v>
      </c>
      <c r="BO319" s="50">
        <f t="shared" si="700"/>
        <v>212093674</v>
      </c>
      <c r="BP319" s="50">
        <f t="shared" si="700"/>
        <v>212093674</v>
      </c>
      <c r="BQ319" s="50">
        <f t="shared" si="700"/>
        <v>0</v>
      </c>
      <c r="BR319" s="50">
        <f t="shared" si="700"/>
        <v>0</v>
      </c>
      <c r="BS319" s="50">
        <f t="shared" si="700"/>
        <v>0</v>
      </c>
      <c r="BT319" s="50">
        <f t="shared" si="700"/>
        <v>0</v>
      </c>
      <c r="BU319" s="50">
        <f t="shared" si="700"/>
        <v>236949833.46000001</v>
      </c>
      <c r="BV319" s="50">
        <f t="shared" si="700"/>
        <v>212553176</v>
      </c>
      <c r="BW319" s="50">
        <f t="shared" si="700"/>
        <v>212523130.55999997</v>
      </c>
      <c r="BX319" s="50">
        <f t="shared" si="700"/>
        <v>212523130.55999991</v>
      </c>
      <c r="BY319" s="50">
        <f t="shared" si="700"/>
        <v>0</v>
      </c>
      <c r="BZ319" s="50">
        <f t="shared" si="700"/>
        <v>0</v>
      </c>
      <c r="CA319" s="50">
        <f t="shared" si="700"/>
        <v>0</v>
      </c>
      <c r="CB319" s="50">
        <f t="shared" si="700"/>
        <v>0</v>
      </c>
      <c r="CC319" s="50">
        <f t="shared" si="700"/>
        <v>0</v>
      </c>
      <c r="CD319" s="50">
        <f t="shared" si="700"/>
        <v>0</v>
      </c>
      <c r="CE319" s="50">
        <f t="shared" si="700"/>
        <v>0</v>
      </c>
      <c r="CF319" s="50">
        <f t="shared" si="700"/>
        <v>0</v>
      </c>
      <c r="CG319" s="50">
        <f t="shared" si="700"/>
        <v>0</v>
      </c>
      <c r="CH319" s="50">
        <f t="shared" si="700"/>
        <v>0</v>
      </c>
      <c r="CI319" s="50">
        <f t="shared" si="700"/>
        <v>0</v>
      </c>
      <c r="CJ319" s="50">
        <f t="shared" si="700"/>
        <v>0</v>
      </c>
      <c r="CK319" s="50">
        <f t="shared" si="700"/>
        <v>0</v>
      </c>
      <c r="CL319" s="50">
        <f t="shared" si="700"/>
        <v>0</v>
      </c>
      <c r="CM319" s="50">
        <f t="shared" si="700"/>
        <v>0</v>
      </c>
      <c r="CN319" s="50">
        <f t="shared" si="700"/>
        <v>0</v>
      </c>
      <c r="CO319" s="50">
        <f t="shared" ref="CO319:EV319" si="701">CO320</f>
        <v>0</v>
      </c>
      <c r="CP319" s="50">
        <f t="shared" si="701"/>
        <v>0</v>
      </c>
      <c r="CQ319" s="50">
        <f t="shared" si="701"/>
        <v>0</v>
      </c>
      <c r="CR319" s="50">
        <f t="shared" si="701"/>
        <v>0</v>
      </c>
      <c r="CS319" s="50">
        <f t="shared" si="701"/>
        <v>0</v>
      </c>
      <c r="CT319" s="50">
        <f t="shared" si="701"/>
        <v>0</v>
      </c>
      <c r="CU319" s="50">
        <f t="shared" si="701"/>
        <v>0</v>
      </c>
      <c r="CV319" s="50">
        <f t="shared" si="701"/>
        <v>0</v>
      </c>
      <c r="CW319" s="50">
        <f t="shared" si="701"/>
        <v>0</v>
      </c>
      <c r="CX319" s="50">
        <f t="shared" si="701"/>
        <v>0</v>
      </c>
      <c r="CY319" s="50">
        <f t="shared" si="701"/>
        <v>0</v>
      </c>
      <c r="CZ319" s="50">
        <f t="shared" si="701"/>
        <v>0</v>
      </c>
      <c r="DA319" s="50">
        <f t="shared" si="701"/>
        <v>0</v>
      </c>
      <c r="DB319" s="50">
        <f t="shared" si="701"/>
        <v>0</v>
      </c>
      <c r="DC319" s="50">
        <f t="shared" si="701"/>
        <v>0</v>
      </c>
      <c r="DD319" s="50">
        <f t="shared" si="701"/>
        <v>0</v>
      </c>
      <c r="DE319" s="50">
        <f t="shared" si="701"/>
        <v>236949833.46000001</v>
      </c>
      <c r="DF319" s="50">
        <f t="shared" si="701"/>
        <v>212553176</v>
      </c>
      <c r="DG319" s="50">
        <f t="shared" si="701"/>
        <v>212523130.55999997</v>
      </c>
      <c r="DH319" s="50">
        <f t="shared" si="701"/>
        <v>212523130.55999991</v>
      </c>
      <c r="DI319" s="50">
        <f t="shared" si="701"/>
        <v>0</v>
      </c>
      <c r="DJ319" s="50">
        <f t="shared" si="701"/>
        <v>0</v>
      </c>
      <c r="DK319" s="50">
        <f t="shared" si="701"/>
        <v>0</v>
      </c>
      <c r="DL319" s="50">
        <f t="shared" si="701"/>
        <v>0</v>
      </c>
      <c r="DM319" s="50">
        <f t="shared" si="701"/>
        <v>0</v>
      </c>
      <c r="DN319" s="50">
        <f t="shared" si="701"/>
        <v>244058328.46380001</v>
      </c>
      <c r="DO319" s="50">
        <f t="shared" si="701"/>
        <v>0</v>
      </c>
      <c r="DP319" s="50">
        <f t="shared" si="701"/>
        <v>0</v>
      </c>
      <c r="DQ319" s="50">
        <f t="shared" si="701"/>
        <v>0</v>
      </c>
      <c r="DR319" s="50">
        <f t="shared" si="701"/>
        <v>0</v>
      </c>
      <c r="DS319" s="50">
        <f t="shared" si="701"/>
        <v>0</v>
      </c>
      <c r="DT319" s="50">
        <f t="shared" si="701"/>
        <v>0</v>
      </c>
      <c r="DU319" s="50">
        <f t="shared" si="701"/>
        <v>0</v>
      </c>
      <c r="DV319" s="50">
        <f t="shared" si="701"/>
        <v>0</v>
      </c>
      <c r="DW319" s="50">
        <f t="shared" si="701"/>
        <v>0</v>
      </c>
      <c r="DX319" s="50">
        <f t="shared" si="701"/>
        <v>0</v>
      </c>
      <c r="DY319" s="50">
        <f t="shared" si="701"/>
        <v>0</v>
      </c>
      <c r="DZ319" s="50">
        <f t="shared" si="701"/>
        <v>0</v>
      </c>
      <c r="EA319" s="50">
        <f t="shared" si="701"/>
        <v>0</v>
      </c>
      <c r="EB319" s="50">
        <f t="shared" si="701"/>
        <v>0</v>
      </c>
      <c r="EC319" s="50">
        <f t="shared" si="701"/>
        <v>0</v>
      </c>
      <c r="ED319" s="50">
        <f t="shared" si="701"/>
        <v>0</v>
      </c>
      <c r="EE319" s="50">
        <f t="shared" si="701"/>
        <v>0</v>
      </c>
      <c r="EF319" s="50">
        <f t="shared" si="701"/>
        <v>0</v>
      </c>
      <c r="EG319" s="50">
        <f t="shared" si="701"/>
        <v>0</v>
      </c>
      <c r="EH319" s="50">
        <f t="shared" si="701"/>
        <v>0</v>
      </c>
      <c r="EI319" s="50">
        <f t="shared" si="701"/>
        <v>0</v>
      </c>
      <c r="EJ319" s="50">
        <f t="shared" si="701"/>
        <v>0</v>
      </c>
      <c r="EK319" s="50">
        <f t="shared" si="701"/>
        <v>0</v>
      </c>
      <c r="EL319" s="50">
        <f t="shared" si="701"/>
        <v>0</v>
      </c>
      <c r="EM319" s="50">
        <f t="shared" si="701"/>
        <v>0</v>
      </c>
      <c r="EN319" s="50">
        <f t="shared" si="701"/>
        <v>0</v>
      </c>
      <c r="EO319" s="50">
        <f t="shared" si="701"/>
        <v>0</v>
      </c>
      <c r="EP319" s="50">
        <f t="shared" si="701"/>
        <v>0</v>
      </c>
      <c r="EQ319" s="50">
        <f t="shared" si="701"/>
        <v>0</v>
      </c>
      <c r="ER319" s="50">
        <f t="shared" si="701"/>
        <v>0</v>
      </c>
      <c r="ES319" s="50">
        <f t="shared" si="701"/>
        <v>0</v>
      </c>
      <c r="ET319" s="50">
        <f t="shared" si="701"/>
        <v>0</v>
      </c>
      <c r="EU319" s="50">
        <f t="shared" si="701"/>
        <v>0</v>
      </c>
      <c r="EV319" s="50">
        <f t="shared" si="701"/>
        <v>0</v>
      </c>
      <c r="EW319" s="50">
        <f t="shared" ref="EW319" si="702">EW320</f>
        <v>244058328.46380001</v>
      </c>
      <c r="EX319" s="50">
        <f t="shared" ref="EX319:GZ319" si="703">EX320</f>
        <v>0</v>
      </c>
      <c r="EY319" s="50">
        <f t="shared" si="703"/>
        <v>0</v>
      </c>
      <c r="EZ319" s="50">
        <f t="shared" si="703"/>
        <v>0</v>
      </c>
      <c r="FA319" s="50">
        <f t="shared" si="703"/>
        <v>0</v>
      </c>
      <c r="FB319" s="50">
        <f t="shared" si="703"/>
        <v>0</v>
      </c>
      <c r="FC319" s="50">
        <f t="shared" si="703"/>
        <v>0</v>
      </c>
      <c r="FD319" s="50">
        <f t="shared" si="703"/>
        <v>0</v>
      </c>
      <c r="FE319" s="50">
        <f t="shared" si="703"/>
        <v>0</v>
      </c>
      <c r="FF319" s="50">
        <f t="shared" si="703"/>
        <v>0</v>
      </c>
      <c r="FG319" s="50">
        <f t="shared" si="703"/>
        <v>251380078.31771401</v>
      </c>
      <c r="FH319" s="50">
        <f t="shared" si="703"/>
        <v>233682415</v>
      </c>
      <c r="FI319" s="50">
        <f t="shared" si="703"/>
        <v>28530000</v>
      </c>
      <c r="FJ319" s="50">
        <f t="shared" si="703"/>
        <v>7208000</v>
      </c>
      <c r="FK319" s="50">
        <f t="shared" si="703"/>
        <v>0</v>
      </c>
      <c r="FL319" s="50">
        <f t="shared" si="703"/>
        <v>0</v>
      </c>
      <c r="FM319" s="50">
        <f t="shared" si="703"/>
        <v>0</v>
      </c>
      <c r="FN319" s="50">
        <f t="shared" si="703"/>
        <v>0</v>
      </c>
      <c r="FO319" s="50">
        <f t="shared" si="703"/>
        <v>0</v>
      </c>
      <c r="FP319" s="50">
        <f t="shared" si="703"/>
        <v>0</v>
      </c>
      <c r="FQ319" s="50">
        <f t="shared" si="703"/>
        <v>0</v>
      </c>
      <c r="FR319" s="50">
        <f t="shared" si="703"/>
        <v>0</v>
      </c>
      <c r="FS319" s="50">
        <f t="shared" si="703"/>
        <v>0</v>
      </c>
      <c r="FT319" s="50">
        <f t="shared" si="703"/>
        <v>0</v>
      </c>
      <c r="FU319" s="50">
        <f t="shared" si="703"/>
        <v>0</v>
      </c>
      <c r="FV319" s="50">
        <f t="shared" si="703"/>
        <v>0</v>
      </c>
      <c r="FW319" s="50">
        <f t="shared" si="703"/>
        <v>0</v>
      </c>
      <c r="FX319" s="50">
        <f t="shared" si="703"/>
        <v>0</v>
      </c>
      <c r="FY319" s="50">
        <f t="shared" si="703"/>
        <v>0</v>
      </c>
      <c r="FZ319" s="50">
        <f t="shared" si="703"/>
        <v>0</v>
      </c>
      <c r="GA319" s="50">
        <f t="shared" si="703"/>
        <v>0</v>
      </c>
      <c r="GB319" s="50">
        <f t="shared" si="703"/>
        <v>0</v>
      </c>
      <c r="GC319" s="50">
        <f t="shared" si="703"/>
        <v>0</v>
      </c>
      <c r="GD319" s="50">
        <f t="shared" si="703"/>
        <v>0</v>
      </c>
      <c r="GE319" s="50">
        <f t="shared" si="703"/>
        <v>0</v>
      </c>
      <c r="GF319" s="50">
        <f t="shared" si="703"/>
        <v>0</v>
      </c>
      <c r="GG319" s="50">
        <f t="shared" si="703"/>
        <v>0</v>
      </c>
      <c r="GH319" s="50">
        <f t="shared" si="703"/>
        <v>0</v>
      </c>
      <c r="GI319" s="50">
        <f t="shared" si="703"/>
        <v>0</v>
      </c>
      <c r="GJ319" s="50">
        <f t="shared" si="703"/>
        <v>0</v>
      </c>
      <c r="GK319" s="50">
        <f t="shared" si="703"/>
        <v>0</v>
      </c>
      <c r="GL319" s="50">
        <f t="shared" si="703"/>
        <v>0</v>
      </c>
      <c r="GM319" s="50">
        <f t="shared" si="703"/>
        <v>0</v>
      </c>
      <c r="GN319" s="50">
        <f t="shared" si="703"/>
        <v>0</v>
      </c>
      <c r="GO319" s="50">
        <f t="shared" si="703"/>
        <v>0</v>
      </c>
      <c r="GP319" s="50">
        <f t="shared" si="703"/>
        <v>0</v>
      </c>
      <c r="GQ319" s="50">
        <f t="shared" si="703"/>
        <v>0</v>
      </c>
      <c r="GR319" s="50">
        <f t="shared" si="703"/>
        <v>0</v>
      </c>
      <c r="GS319" s="50">
        <f t="shared" si="703"/>
        <v>0</v>
      </c>
      <c r="GT319" s="50">
        <f t="shared" si="703"/>
        <v>0</v>
      </c>
      <c r="GU319" s="50">
        <f t="shared" si="703"/>
        <v>251380078.31771401</v>
      </c>
      <c r="GV319" s="50">
        <f t="shared" si="703"/>
        <v>233682415</v>
      </c>
      <c r="GW319" s="50">
        <f t="shared" si="703"/>
        <v>28530000</v>
      </c>
      <c r="GX319" s="50">
        <f t="shared" si="703"/>
        <v>7208000</v>
      </c>
      <c r="GY319" s="50">
        <f t="shared" si="703"/>
        <v>0</v>
      </c>
      <c r="GZ319" s="50">
        <f t="shared" si="703"/>
        <v>962436622.24151397</v>
      </c>
    </row>
    <row r="320" spans="1:208" ht="24.75" customHeight="1" x14ac:dyDescent="0.2">
      <c r="A320" s="326"/>
      <c r="B320" s="993"/>
      <c r="C320" s="246">
        <v>74</v>
      </c>
      <c r="D320" s="247" t="s">
        <v>736</v>
      </c>
      <c r="E320" s="250"/>
      <c r="F320" s="250"/>
      <c r="G320" s="251"/>
      <c r="H320" s="251"/>
      <c r="I320" s="251"/>
      <c r="J320" s="251"/>
      <c r="K320" s="251"/>
      <c r="L320" s="251"/>
      <c r="M320" s="251"/>
      <c r="N320" s="251"/>
      <c r="O320" s="251"/>
      <c r="P320" s="251"/>
      <c r="Q320" s="251"/>
      <c r="R320" s="251"/>
      <c r="S320" s="251"/>
      <c r="T320" s="251"/>
      <c r="U320" s="251"/>
      <c r="V320" s="251"/>
      <c r="W320" s="251"/>
      <c r="X320" s="251"/>
      <c r="Y320" s="252"/>
      <c r="Z320" s="251"/>
      <c r="AA320" s="251"/>
      <c r="AB320" s="251"/>
      <c r="AC320" s="186">
        <f t="shared" ref="AC320:BL320" si="704">SUM(AC321)</f>
        <v>0</v>
      </c>
      <c r="AD320" s="186">
        <f t="shared" si="704"/>
        <v>0</v>
      </c>
      <c r="AE320" s="186">
        <f t="shared" si="704"/>
        <v>0</v>
      </c>
      <c r="AF320" s="186">
        <f t="shared" si="704"/>
        <v>0</v>
      </c>
      <c r="AG320" s="186">
        <f t="shared" si="704"/>
        <v>230048382</v>
      </c>
      <c r="AH320" s="186">
        <f t="shared" si="704"/>
        <v>217969207</v>
      </c>
      <c r="AI320" s="186">
        <f t="shared" si="704"/>
        <v>212093674</v>
      </c>
      <c r="AJ320" s="186">
        <f t="shared" si="704"/>
        <v>212093674</v>
      </c>
      <c r="AK320" s="186">
        <f t="shared" si="704"/>
        <v>0</v>
      </c>
      <c r="AL320" s="186">
        <f t="shared" si="704"/>
        <v>0</v>
      </c>
      <c r="AM320" s="186">
        <f t="shared" si="704"/>
        <v>0</v>
      </c>
      <c r="AN320" s="186">
        <f t="shared" si="704"/>
        <v>0</v>
      </c>
      <c r="AO320" s="186">
        <f t="shared" si="704"/>
        <v>0</v>
      </c>
      <c r="AP320" s="186">
        <f t="shared" si="704"/>
        <v>0</v>
      </c>
      <c r="AQ320" s="186">
        <f t="shared" si="704"/>
        <v>0</v>
      </c>
      <c r="AR320" s="186">
        <f t="shared" si="704"/>
        <v>0</v>
      </c>
      <c r="AS320" s="186">
        <f t="shared" si="704"/>
        <v>0</v>
      </c>
      <c r="AT320" s="186">
        <f t="shared" si="704"/>
        <v>0</v>
      </c>
      <c r="AU320" s="186">
        <f t="shared" si="704"/>
        <v>0</v>
      </c>
      <c r="AV320" s="186">
        <f t="shared" si="704"/>
        <v>0</v>
      </c>
      <c r="AW320" s="186">
        <f t="shared" si="704"/>
        <v>0</v>
      </c>
      <c r="AX320" s="186">
        <f t="shared" si="704"/>
        <v>0</v>
      </c>
      <c r="AY320" s="186">
        <f t="shared" si="704"/>
        <v>0</v>
      </c>
      <c r="AZ320" s="186">
        <f t="shared" si="704"/>
        <v>0</v>
      </c>
      <c r="BA320" s="186">
        <f t="shared" si="704"/>
        <v>0</v>
      </c>
      <c r="BB320" s="186">
        <f t="shared" si="704"/>
        <v>0</v>
      </c>
      <c r="BC320" s="186">
        <f t="shared" si="704"/>
        <v>0</v>
      </c>
      <c r="BD320" s="186">
        <f t="shared" si="704"/>
        <v>0</v>
      </c>
      <c r="BE320" s="186">
        <f t="shared" si="704"/>
        <v>0</v>
      </c>
      <c r="BF320" s="186">
        <f t="shared" si="704"/>
        <v>0</v>
      </c>
      <c r="BG320" s="186">
        <f t="shared" si="704"/>
        <v>0</v>
      </c>
      <c r="BH320" s="186">
        <f t="shared" si="704"/>
        <v>0</v>
      </c>
      <c r="BI320" s="186">
        <f t="shared" si="704"/>
        <v>0</v>
      </c>
      <c r="BJ320" s="186">
        <f t="shared" si="704"/>
        <v>0</v>
      </c>
      <c r="BK320" s="186">
        <f t="shared" si="704"/>
        <v>0</v>
      </c>
      <c r="BL320" s="186">
        <f t="shared" si="704"/>
        <v>0</v>
      </c>
      <c r="BM320" s="186">
        <f t="shared" ref="BM320:DX320" si="705">SUM(BM321)</f>
        <v>230048382</v>
      </c>
      <c r="BN320" s="186">
        <f t="shared" si="705"/>
        <v>217969207</v>
      </c>
      <c r="BO320" s="186">
        <f t="shared" si="705"/>
        <v>212093674</v>
      </c>
      <c r="BP320" s="186">
        <f t="shared" si="705"/>
        <v>212093674</v>
      </c>
      <c r="BQ320" s="186">
        <f t="shared" si="705"/>
        <v>0</v>
      </c>
      <c r="BR320" s="186">
        <f t="shared" si="705"/>
        <v>0</v>
      </c>
      <c r="BS320" s="186">
        <f t="shared" si="705"/>
        <v>0</v>
      </c>
      <c r="BT320" s="186">
        <f t="shared" si="705"/>
        <v>0</v>
      </c>
      <c r="BU320" s="186">
        <f t="shared" si="705"/>
        <v>236949833.46000001</v>
      </c>
      <c r="BV320" s="186">
        <f t="shared" si="705"/>
        <v>212553176</v>
      </c>
      <c r="BW320" s="186">
        <f t="shared" si="705"/>
        <v>212523130.55999997</v>
      </c>
      <c r="BX320" s="186">
        <f t="shared" si="705"/>
        <v>212523130.55999991</v>
      </c>
      <c r="BY320" s="186">
        <f t="shared" si="705"/>
        <v>0</v>
      </c>
      <c r="BZ320" s="186">
        <f t="shared" si="705"/>
        <v>0</v>
      </c>
      <c r="CA320" s="186">
        <f t="shared" si="705"/>
        <v>0</v>
      </c>
      <c r="CB320" s="186">
        <f t="shared" si="705"/>
        <v>0</v>
      </c>
      <c r="CC320" s="186">
        <f t="shared" si="705"/>
        <v>0</v>
      </c>
      <c r="CD320" s="186">
        <f t="shared" si="705"/>
        <v>0</v>
      </c>
      <c r="CE320" s="186">
        <f t="shared" si="705"/>
        <v>0</v>
      </c>
      <c r="CF320" s="186">
        <f t="shared" si="705"/>
        <v>0</v>
      </c>
      <c r="CG320" s="186">
        <f t="shared" si="705"/>
        <v>0</v>
      </c>
      <c r="CH320" s="186">
        <f t="shared" si="705"/>
        <v>0</v>
      </c>
      <c r="CI320" s="186">
        <f t="shared" si="705"/>
        <v>0</v>
      </c>
      <c r="CJ320" s="186">
        <f t="shared" si="705"/>
        <v>0</v>
      </c>
      <c r="CK320" s="186">
        <f t="shared" si="705"/>
        <v>0</v>
      </c>
      <c r="CL320" s="186">
        <f t="shared" si="705"/>
        <v>0</v>
      </c>
      <c r="CM320" s="186">
        <f t="shared" si="705"/>
        <v>0</v>
      </c>
      <c r="CN320" s="186">
        <f t="shared" si="705"/>
        <v>0</v>
      </c>
      <c r="CO320" s="186">
        <f t="shared" si="705"/>
        <v>0</v>
      </c>
      <c r="CP320" s="186">
        <f t="shared" si="705"/>
        <v>0</v>
      </c>
      <c r="CQ320" s="186">
        <f t="shared" si="705"/>
        <v>0</v>
      </c>
      <c r="CR320" s="186">
        <f t="shared" si="705"/>
        <v>0</v>
      </c>
      <c r="CS320" s="186">
        <f t="shared" si="705"/>
        <v>0</v>
      </c>
      <c r="CT320" s="186">
        <f t="shared" si="705"/>
        <v>0</v>
      </c>
      <c r="CU320" s="186">
        <f t="shared" si="705"/>
        <v>0</v>
      </c>
      <c r="CV320" s="186">
        <f t="shared" si="705"/>
        <v>0</v>
      </c>
      <c r="CW320" s="186">
        <f t="shared" si="705"/>
        <v>0</v>
      </c>
      <c r="CX320" s="186">
        <f t="shared" si="705"/>
        <v>0</v>
      </c>
      <c r="CY320" s="186">
        <f t="shared" si="705"/>
        <v>0</v>
      </c>
      <c r="CZ320" s="186">
        <f t="shared" si="705"/>
        <v>0</v>
      </c>
      <c r="DA320" s="186">
        <f t="shared" si="705"/>
        <v>0</v>
      </c>
      <c r="DB320" s="186">
        <f t="shared" si="705"/>
        <v>0</v>
      </c>
      <c r="DC320" s="186">
        <f t="shared" si="705"/>
        <v>0</v>
      </c>
      <c r="DD320" s="186">
        <f t="shared" si="705"/>
        <v>0</v>
      </c>
      <c r="DE320" s="186">
        <f t="shared" si="705"/>
        <v>236949833.46000001</v>
      </c>
      <c r="DF320" s="186">
        <f t="shared" si="705"/>
        <v>212553176</v>
      </c>
      <c r="DG320" s="186">
        <f t="shared" si="705"/>
        <v>212523130.55999997</v>
      </c>
      <c r="DH320" s="186">
        <f t="shared" si="705"/>
        <v>212523130.55999991</v>
      </c>
      <c r="DI320" s="186">
        <f t="shared" si="705"/>
        <v>0</v>
      </c>
      <c r="DJ320" s="186">
        <f t="shared" si="705"/>
        <v>0</v>
      </c>
      <c r="DK320" s="186">
        <f t="shared" si="705"/>
        <v>0</v>
      </c>
      <c r="DL320" s="186">
        <f t="shared" si="705"/>
        <v>0</v>
      </c>
      <c r="DM320" s="186">
        <f t="shared" si="705"/>
        <v>0</v>
      </c>
      <c r="DN320" s="186">
        <f t="shared" si="705"/>
        <v>244058328.46380001</v>
      </c>
      <c r="DO320" s="186">
        <f t="shared" si="705"/>
        <v>0</v>
      </c>
      <c r="DP320" s="186">
        <f t="shared" si="705"/>
        <v>0</v>
      </c>
      <c r="DQ320" s="186">
        <f t="shared" si="705"/>
        <v>0</v>
      </c>
      <c r="DR320" s="186">
        <f t="shared" si="705"/>
        <v>0</v>
      </c>
      <c r="DS320" s="186">
        <f t="shared" si="705"/>
        <v>0</v>
      </c>
      <c r="DT320" s="186">
        <f t="shared" si="705"/>
        <v>0</v>
      </c>
      <c r="DU320" s="186">
        <f t="shared" si="705"/>
        <v>0</v>
      </c>
      <c r="DV320" s="186">
        <f t="shared" si="705"/>
        <v>0</v>
      </c>
      <c r="DW320" s="186">
        <f t="shared" si="705"/>
        <v>0</v>
      </c>
      <c r="DX320" s="186">
        <f t="shared" si="705"/>
        <v>0</v>
      </c>
      <c r="DY320" s="186">
        <f t="shared" ref="DY320:EW320" si="706">SUM(DY321)</f>
        <v>0</v>
      </c>
      <c r="DZ320" s="186">
        <f t="shared" si="706"/>
        <v>0</v>
      </c>
      <c r="EA320" s="186">
        <f t="shared" si="706"/>
        <v>0</v>
      </c>
      <c r="EB320" s="186">
        <f t="shared" si="706"/>
        <v>0</v>
      </c>
      <c r="EC320" s="186">
        <f t="shared" si="706"/>
        <v>0</v>
      </c>
      <c r="ED320" s="186">
        <f t="shared" si="706"/>
        <v>0</v>
      </c>
      <c r="EE320" s="186">
        <f t="shared" si="706"/>
        <v>0</v>
      </c>
      <c r="EF320" s="186">
        <f t="shared" si="706"/>
        <v>0</v>
      </c>
      <c r="EG320" s="186">
        <f t="shared" si="706"/>
        <v>0</v>
      </c>
      <c r="EH320" s="186">
        <f t="shared" si="706"/>
        <v>0</v>
      </c>
      <c r="EI320" s="186">
        <f t="shared" si="706"/>
        <v>0</v>
      </c>
      <c r="EJ320" s="186">
        <f t="shared" si="706"/>
        <v>0</v>
      </c>
      <c r="EK320" s="186">
        <f t="shared" si="706"/>
        <v>0</v>
      </c>
      <c r="EL320" s="186">
        <f t="shared" si="706"/>
        <v>0</v>
      </c>
      <c r="EM320" s="186">
        <f t="shared" si="706"/>
        <v>0</v>
      </c>
      <c r="EN320" s="186">
        <f t="shared" si="706"/>
        <v>0</v>
      </c>
      <c r="EO320" s="186">
        <f t="shared" si="706"/>
        <v>0</v>
      </c>
      <c r="EP320" s="186">
        <f t="shared" si="706"/>
        <v>0</v>
      </c>
      <c r="EQ320" s="186">
        <f t="shared" si="706"/>
        <v>0</v>
      </c>
      <c r="ER320" s="186">
        <f t="shared" si="706"/>
        <v>0</v>
      </c>
      <c r="ES320" s="186">
        <f t="shared" si="706"/>
        <v>0</v>
      </c>
      <c r="ET320" s="186">
        <f t="shared" si="706"/>
        <v>0</v>
      </c>
      <c r="EU320" s="186">
        <f t="shared" si="706"/>
        <v>0</v>
      </c>
      <c r="EV320" s="186">
        <f t="shared" si="706"/>
        <v>0</v>
      </c>
      <c r="EW320" s="186">
        <f t="shared" si="706"/>
        <v>244058328.46380001</v>
      </c>
      <c r="EX320" s="186">
        <f t="shared" ref="EX320:GZ320" si="707">SUM(EX321)</f>
        <v>0</v>
      </c>
      <c r="EY320" s="186">
        <f t="shared" si="707"/>
        <v>0</v>
      </c>
      <c r="EZ320" s="186">
        <f t="shared" si="707"/>
        <v>0</v>
      </c>
      <c r="FA320" s="186">
        <f t="shared" si="707"/>
        <v>0</v>
      </c>
      <c r="FB320" s="186">
        <f t="shared" si="707"/>
        <v>0</v>
      </c>
      <c r="FC320" s="186">
        <f t="shared" si="707"/>
        <v>0</v>
      </c>
      <c r="FD320" s="186">
        <f t="shared" si="707"/>
        <v>0</v>
      </c>
      <c r="FE320" s="186">
        <f t="shared" si="707"/>
        <v>0</v>
      </c>
      <c r="FF320" s="186">
        <f t="shared" si="707"/>
        <v>0</v>
      </c>
      <c r="FG320" s="186">
        <f t="shared" si="707"/>
        <v>251380078.31771401</v>
      </c>
      <c r="FH320" s="186">
        <f t="shared" si="707"/>
        <v>233682415</v>
      </c>
      <c r="FI320" s="186">
        <f t="shared" si="707"/>
        <v>28530000</v>
      </c>
      <c r="FJ320" s="186">
        <f t="shared" si="707"/>
        <v>7208000</v>
      </c>
      <c r="FK320" s="186">
        <f t="shared" si="707"/>
        <v>0</v>
      </c>
      <c r="FL320" s="186">
        <f t="shared" si="707"/>
        <v>0</v>
      </c>
      <c r="FM320" s="186">
        <f t="shared" si="707"/>
        <v>0</v>
      </c>
      <c r="FN320" s="186">
        <f t="shared" si="707"/>
        <v>0</v>
      </c>
      <c r="FO320" s="186">
        <f t="shared" si="707"/>
        <v>0</v>
      </c>
      <c r="FP320" s="186">
        <f t="shared" si="707"/>
        <v>0</v>
      </c>
      <c r="FQ320" s="186">
        <f t="shared" si="707"/>
        <v>0</v>
      </c>
      <c r="FR320" s="186">
        <f t="shared" si="707"/>
        <v>0</v>
      </c>
      <c r="FS320" s="186">
        <f t="shared" si="707"/>
        <v>0</v>
      </c>
      <c r="FT320" s="186">
        <f t="shared" si="707"/>
        <v>0</v>
      </c>
      <c r="FU320" s="186">
        <f t="shared" si="707"/>
        <v>0</v>
      </c>
      <c r="FV320" s="186">
        <f t="shared" si="707"/>
        <v>0</v>
      </c>
      <c r="FW320" s="186">
        <f t="shared" si="707"/>
        <v>0</v>
      </c>
      <c r="FX320" s="186">
        <f t="shared" si="707"/>
        <v>0</v>
      </c>
      <c r="FY320" s="186">
        <f t="shared" si="707"/>
        <v>0</v>
      </c>
      <c r="FZ320" s="186">
        <f t="shared" si="707"/>
        <v>0</v>
      </c>
      <c r="GA320" s="186">
        <f t="shared" si="707"/>
        <v>0</v>
      </c>
      <c r="GB320" s="186">
        <f t="shared" si="707"/>
        <v>0</v>
      </c>
      <c r="GC320" s="186">
        <f t="shared" si="707"/>
        <v>0</v>
      </c>
      <c r="GD320" s="186">
        <f t="shared" si="707"/>
        <v>0</v>
      </c>
      <c r="GE320" s="186">
        <f t="shared" si="707"/>
        <v>0</v>
      </c>
      <c r="GF320" s="186">
        <f t="shared" si="707"/>
        <v>0</v>
      </c>
      <c r="GG320" s="186">
        <f t="shared" si="707"/>
        <v>0</v>
      </c>
      <c r="GH320" s="186">
        <f t="shared" si="707"/>
        <v>0</v>
      </c>
      <c r="GI320" s="186">
        <f t="shared" si="707"/>
        <v>0</v>
      </c>
      <c r="GJ320" s="186">
        <f t="shared" si="707"/>
        <v>0</v>
      </c>
      <c r="GK320" s="186">
        <f t="shared" si="707"/>
        <v>0</v>
      </c>
      <c r="GL320" s="186">
        <f t="shared" si="707"/>
        <v>0</v>
      </c>
      <c r="GM320" s="186">
        <f t="shared" si="707"/>
        <v>0</v>
      </c>
      <c r="GN320" s="186">
        <f t="shared" si="707"/>
        <v>0</v>
      </c>
      <c r="GO320" s="186">
        <f t="shared" si="707"/>
        <v>0</v>
      </c>
      <c r="GP320" s="186">
        <f t="shared" si="707"/>
        <v>0</v>
      </c>
      <c r="GQ320" s="186">
        <f t="shared" si="707"/>
        <v>0</v>
      </c>
      <c r="GR320" s="186">
        <f t="shared" si="707"/>
        <v>0</v>
      </c>
      <c r="GS320" s="186">
        <f t="shared" si="707"/>
        <v>0</v>
      </c>
      <c r="GT320" s="186">
        <f t="shared" si="707"/>
        <v>0</v>
      </c>
      <c r="GU320" s="186">
        <f t="shared" si="707"/>
        <v>251380078.31771401</v>
      </c>
      <c r="GV320" s="186">
        <f t="shared" si="707"/>
        <v>233682415</v>
      </c>
      <c r="GW320" s="186">
        <f t="shared" si="707"/>
        <v>28530000</v>
      </c>
      <c r="GX320" s="186">
        <f t="shared" si="707"/>
        <v>7208000</v>
      </c>
      <c r="GY320" s="186">
        <f t="shared" si="707"/>
        <v>0</v>
      </c>
      <c r="GZ320" s="186">
        <f t="shared" si="707"/>
        <v>962436622.24151397</v>
      </c>
    </row>
    <row r="321" spans="1:208" ht="65.25" customHeight="1" x14ac:dyDescent="0.2">
      <c r="A321" s="372"/>
      <c r="B321" s="372"/>
      <c r="C321" s="288">
        <v>36</v>
      </c>
      <c r="D321" s="721" t="s">
        <v>705</v>
      </c>
      <c r="E321" s="1038">
        <v>0.4</v>
      </c>
      <c r="F321" s="1038">
        <v>0.6</v>
      </c>
      <c r="G321" s="265">
        <v>213</v>
      </c>
      <c r="H321" s="261" t="s">
        <v>737</v>
      </c>
      <c r="I321" s="275" t="s">
        <v>738</v>
      </c>
      <c r="J321" s="262" t="s">
        <v>708</v>
      </c>
      <c r="K321" s="415">
        <v>4</v>
      </c>
      <c r="L321" s="304" t="s">
        <v>58</v>
      </c>
      <c r="M321" s="288">
        <v>12</v>
      </c>
      <c r="N321" s="288">
        <v>12</v>
      </c>
      <c r="O321" s="259">
        <v>12</v>
      </c>
      <c r="P321" s="387">
        <v>11</v>
      </c>
      <c r="Q321" s="288">
        <v>12</v>
      </c>
      <c r="R321" s="268"/>
      <c r="S321" s="389">
        <v>12</v>
      </c>
      <c r="T321" s="288">
        <v>12</v>
      </c>
      <c r="U321" s="288"/>
      <c r="V321" s="389">
        <v>12</v>
      </c>
      <c r="W321" s="288">
        <v>12</v>
      </c>
      <c r="X321" s="534"/>
      <c r="Y321" s="647">
        <v>12</v>
      </c>
      <c r="Z321" s="506">
        <f>BM321/BM320</f>
        <v>1</v>
      </c>
      <c r="AA321" s="264">
        <v>10</v>
      </c>
      <c r="AB321" s="347" t="s">
        <v>389</v>
      </c>
      <c r="AC321" s="62"/>
      <c r="AD321" s="58"/>
      <c r="AE321" s="59"/>
      <c r="AF321" s="59"/>
      <c r="AG321" s="57">
        <v>230048382</v>
      </c>
      <c r="AH321" s="55">
        <v>217969207</v>
      </c>
      <c r="AI321" s="58">
        <v>212093674</v>
      </c>
      <c r="AJ321" s="58">
        <v>212093674</v>
      </c>
      <c r="AK321" s="62"/>
      <c r="AL321" s="58"/>
      <c r="AM321" s="58"/>
      <c r="AN321" s="58"/>
      <c r="AO321" s="62"/>
      <c r="AP321" s="58"/>
      <c r="AQ321" s="58"/>
      <c r="AR321" s="58"/>
      <c r="AS321" s="62"/>
      <c r="AT321" s="58"/>
      <c r="AU321" s="59"/>
      <c r="AV321" s="59"/>
      <c r="AW321" s="62"/>
      <c r="AX321" s="58"/>
      <c r="AY321" s="58"/>
      <c r="AZ321" s="58"/>
      <c r="BA321" s="62"/>
      <c r="BB321" s="58"/>
      <c r="BC321" s="58"/>
      <c r="BD321" s="58"/>
      <c r="BE321" s="62"/>
      <c r="BF321" s="58"/>
      <c r="BG321" s="59"/>
      <c r="BH321" s="59"/>
      <c r="BI321" s="62"/>
      <c r="BJ321" s="58"/>
      <c r="BK321" s="58"/>
      <c r="BL321" s="58"/>
      <c r="BM321" s="53">
        <f>+AC321+AG321+AK321+AO321+AS321+AW321+BA321+BE321+BI321</f>
        <v>230048382</v>
      </c>
      <c r="BN321" s="54">
        <f>AD321+AH321+AL321+AP321+AT321+AX321+BB321+BF321+BJ321</f>
        <v>217969207</v>
      </c>
      <c r="BO321" s="54">
        <f>AE321+AI321+AM321+AQ321+AU321+AY321+BC321+BG321+BK321</f>
        <v>212093674</v>
      </c>
      <c r="BP321" s="54">
        <f>AF321+AJ321+AN321+AR321+AV321+AZ321+BD321+BH321+BL321</f>
        <v>212093674</v>
      </c>
      <c r="BQ321" s="83"/>
      <c r="BR321" s="83"/>
      <c r="BS321" s="83"/>
      <c r="BT321" s="83"/>
      <c r="BU321" s="84">
        <v>236949833.46000001</v>
      </c>
      <c r="BV321" s="83">
        <f>236949833+5875533-30272190</f>
        <v>212553176</v>
      </c>
      <c r="BW321" s="83">
        <v>212523130.55999997</v>
      </c>
      <c r="BX321" s="83">
        <v>212523130.55999991</v>
      </c>
      <c r="BY321" s="83"/>
      <c r="BZ321" s="83"/>
      <c r="CA321" s="83"/>
      <c r="CB321" s="83"/>
      <c r="CC321" s="83"/>
      <c r="CD321" s="83"/>
      <c r="CE321" s="83"/>
      <c r="CF321" s="83"/>
      <c r="CG321" s="83"/>
      <c r="CH321" s="83"/>
      <c r="CI321" s="83"/>
      <c r="CJ321" s="83"/>
      <c r="CK321" s="83"/>
      <c r="CL321" s="83"/>
      <c r="CM321" s="83"/>
      <c r="CN321" s="83"/>
      <c r="CO321" s="83"/>
      <c r="CP321" s="83"/>
      <c r="CQ321" s="83"/>
      <c r="CR321" s="83"/>
      <c r="CS321" s="83"/>
      <c r="CT321" s="83"/>
      <c r="CU321" s="83"/>
      <c r="CV321" s="83"/>
      <c r="CW321" s="83"/>
      <c r="CX321" s="83"/>
      <c r="CY321" s="83"/>
      <c r="CZ321" s="83"/>
      <c r="DA321" s="83"/>
      <c r="DB321" s="83"/>
      <c r="DC321" s="83"/>
      <c r="DD321" s="83"/>
      <c r="DE321" s="81">
        <f>BQ321+BU321+BZ321+CE321+CI321+CM321+CQ321+CV321+DA321</f>
        <v>236949833.46000001</v>
      </c>
      <c r="DF321" s="95">
        <f>BR321+BV321+CA321+CF321+CJ321+CN321+CR321+CW321+DB321</f>
        <v>212553176</v>
      </c>
      <c r="DG321" s="95">
        <f>BS321+BW321+CB321+CG321+CK321+CO321+CS321+CX321+DC321</f>
        <v>212523130.55999997</v>
      </c>
      <c r="DH321" s="95">
        <f>BT321+BX321+CC321+CH321+CL321+CP321+CT321+CY321+DD321</f>
        <v>212523130.55999991</v>
      </c>
      <c r="DI321" s="95"/>
      <c r="DJ321" s="84"/>
      <c r="DK321" s="65"/>
      <c r="DL321" s="84"/>
      <c r="DM321" s="84"/>
      <c r="DN321" s="84">
        <v>244058328.46380001</v>
      </c>
      <c r="DO321" s="84">
        <v>0</v>
      </c>
      <c r="DP321" s="84">
        <v>0</v>
      </c>
      <c r="DQ321" s="84">
        <v>0</v>
      </c>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1"/>
      <c r="EU321" s="83"/>
      <c r="EV321" s="83"/>
      <c r="EW321" s="81">
        <f>DJ321+DN321+DS321+DX321+EB321+EF321+EJ321+EN321+ES321</f>
        <v>244058328.46380001</v>
      </c>
      <c r="EX321" s="86">
        <f>DK321+DO321+DT321+DY321+EC321+EG321+EK321+EO321+ET321</f>
        <v>0</v>
      </c>
      <c r="EY321" s="86">
        <f>DL321+DP321+DU321+DZ321+ED321+EH321+EL321+EP321+EU321</f>
        <v>0</v>
      </c>
      <c r="EZ321" s="86">
        <f>DM321+DQ321+DV321+EA321+EE321+EI321+EM321+EQ321+EV321</f>
        <v>0</v>
      </c>
      <c r="FA321" s="176"/>
      <c r="FB321" s="83"/>
      <c r="FC321" s="84"/>
      <c r="FD321" s="84"/>
      <c r="FE321" s="84"/>
      <c r="FF321" s="140"/>
      <c r="FG321" s="83">
        <v>251380078.31771401</v>
      </c>
      <c r="FH321" s="83">
        <v>233682415</v>
      </c>
      <c r="FI321" s="83">
        <v>28530000</v>
      </c>
      <c r="FJ321" s="83">
        <v>7208000</v>
      </c>
      <c r="FK321" s="83"/>
      <c r="FL321" s="83"/>
      <c r="FM321" s="83"/>
      <c r="FN321" s="83"/>
      <c r="FO321" s="83"/>
      <c r="FP321" s="83"/>
      <c r="FQ321" s="83"/>
      <c r="FR321" s="83"/>
      <c r="FS321" s="83"/>
      <c r="FT321" s="83"/>
      <c r="FU321" s="83"/>
      <c r="FV321" s="83"/>
      <c r="FW321" s="83"/>
      <c r="FX321" s="83"/>
      <c r="FY321" s="83"/>
      <c r="FZ321" s="83"/>
      <c r="GA321" s="83"/>
      <c r="GB321" s="83"/>
      <c r="GC321" s="83"/>
      <c r="GD321" s="83"/>
      <c r="GE321" s="83"/>
      <c r="GF321" s="83"/>
      <c r="GG321" s="83"/>
      <c r="GH321" s="83"/>
      <c r="GI321" s="83"/>
      <c r="GJ321" s="83"/>
      <c r="GK321" s="83"/>
      <c r="GL321" s="83"/>
      <c r="GM321" s="83"/>
      <c r="GN321" s="83"/>
      <c r="GO321" s="83"/>
      <c r="GP321" s="83"/>
      <c r="GQ321" s="83"/>
      <c r="GR321" s="83"/>
      <c r="GS321" s="83"/>
      <c r="GT321" s="83"/>
      <c r="GU321" s="81">
        <f>FB321+FG321+FL321+FQ321+FV321+GA321+GF321+GK321+GP321</f>
        <v>251380078.31771401</v>
      </c>
      <c r="GV321" s="81">
        <f>GQ321+GL321+GG321+GB321+FW321+FR321+FM321+FH321+FC321</f>
        <v>233682415</v>
      </c>
      <c r="GW321" s="81">
        <f>GR321+GM321+GH321+GC321+FX321+FS321+FN321+FI321+FD321</f>
        <v>28530000</v>
      </c>
      <c r="GX321" s="81">
        <f>GS321+GN321+GI321+GD321+FY321+FT321+FO321+FJ321+FE321</f>
        <v>7208000</v>
      </c>
      <c r="GY321" s="673">
        <f>GT321+GO321+GJ321+GE321+FZ321+FU321+FP321+FK321+FF321</f>
        <v>0</v>
      </c>
      <c r="GZ321" s="67">
        <f>BM321+DE321+EW321+GU321</f>
        <v>962436622.24151397</v>
      </c>
    </row>
    <row r="322" spans="1:208" ht="24.75" customHeight="1" x14ac:dyDescent="0.2">
      <c r="A322" s="320">
        <v>4</v>
      </c>
      <c r="B322" s="321" t="s">
        <v>739</v>
      </c>
      <c r="C322" s="322"/>
      <c r="D322" s="323"/>
      <c r="E322" s="323"/>
      <c r="F322" s="323"/>
      <c r="G322" s="322"/>
      <c r="H322" s="322"/>
      <c r="I322" s="322"/>
      <c r="J322" s="322"/>
      <c r="K322" s="322"/>
      <c r="L322" s="322"/>
      <c r="M322" s="322"/>
      <c r="N322" s="322"/>
      <c r="O322" s="322"/>
      <c r="P322" s="322"/>
      <c r="Q322" s="322"/>
      <c r="R322" s="322"/>
      <c r="S322" s="322"/>
      <c r="T322" s="322"/>
      <c r="U322" s="322"/>
      <c r="V322" s="322"/>
      <c r="W322" s="322"/>
      <c r="X322" s="322"/>
      <c r="Y322" s="622"/>
      <c r="Z322" s="322"/>
      <c r="AA322" s="322"/>
      <c r="AB322" s="322"/>
      <c r="AC322" s="49">
        <f t="shared" ref="AC322:BL322" si="708">AC323+AC339+AC353</f>
        <v>0</v>
      </c>
      <c r="AD322" s="49">
        <f t="shared" si="708"/>
        <v>0</v>
      </c>
      <c r="AE322" s="49">
        <f t="shared" si="708"/>
        <v>0</v>
      </c>
      <c r="AF322" s="49">
        <f t="shared" si="708"/>
        <v>0</v>
      </c>
      <c r="AG322" s="49">
        <f t="shared" si="708"/>
        <v>6015925271</v>
      </c>
      <c r="AH322" s="49">
        <f t="shared" si="708"/>
        <v>6021924915</v>
      </c>
      <c r="AI322" s="49">
        <f t="shared" si="708"/>
        <v>496704244</v>
      </c>
      <c r="AJ322" s="49">
        <f t="shared" si="708"/>
        <v>473727614</v>
      </c>
      <c r="AK322" s="49">
        <f t="shared" si="708"/>
        <v>1077000000</v>
      </c>
      <c r="AL322" s="49">
        <f t="shared" si="708"/>
        <v>1347000000</v>
      </c>
      <c r="AM322" s="49">
        <f t="shared" si="708"/>
        <v>793204600</v>
      </c>
      <c r="AN322" s="49">
        <f t="shared" si="708"/>
        <v>742058578</v>
      </c>
      <c r="AO322" s="49">
        <f t="shared" si="708"/>
        <v>0</v>
      </c>
      <c r="AP322" s="49">
        <f t="shared" si="708"/>
        <v>0</v>
      </c>
      <c r="AQ322" s="49">
        <f t="shared" si="708"/>
        <v>0</v>
      </c>
      <c r="AR322" s="49">
        <f t="shared" si="708"/>
        <v>0</v>
      </c>
      <c r="AS322" s="49">
        <f t="shared" si="708"/>
        <v>0</v>
      </c>
      <c r="AT322" s="49">
        <f t="shared" si="708"/>
        <v>0</v>
      </c>
      <c r="AU322" s="49">
        <f t="shared" si="708"/>
        <v>0</v>
      </c>
      <c r="AV322" s="49">
        <f t="shared" si="708"/>
        <v>0</v>
      </c>
      <c r="AW322" s="49">
        <f t="shared" si="708"/>
        <v>0</v>
      </c>
      <c r="AX322" s="49">
        <f t="shared" si="708"/>
        <v>0</v>
      </c>
      <c r="AY322" s="49">
        <f t="shared" si="708"/>
        <v>0</v>
      </c>
      <c r="AZ322" s="49">
        <f t="shared" si="708"/>
        <v>0</v>
      </c>
      <c r="BA322" s="49">
        <f t="shared" si="708"/>
        <v>0</v>
      </c>
      <c r="BB322" s="49">
        <f t="shared" si="708"/>
        <v>0</v>
      </c>
      <c r="BC322" s="49">
        <f t="shared" si="708"/>
        <v>0</v>
      </c>
      <c r="BD322" s="49">
        <f t="shared" si="708"/>
        <v>0</v>
      </c>
      <c r="BE322" s="49">
        <f t="shared" si="708"/>
        <v>0</v>
      </c>
      <c r="BF322" s="49">
        <f t="shared" si="708"/>
        <v>0</v>
      </c>
      <c r="BG322" s="49">
        <f t="shared" si="708"/>
        <v>0</v>
      </c>
      <c r="BH322" s="49">
        <f t="shared" si="708"/>
        <v>0</v>
      </c>
      <c r="BI322" s="49">
        <f t="shared" si="708"/>
        <v>1000000000</v>
      </c>
      <c r="BJ322" s="49">
        <f t="shared" si="708"/>
        <v>0</v>
      </c>
      <c r="BK322" s="49">
        <f t="shared" si="708"/>
        <v>0</v>
      </c>
      <c r="BL322" s="49">
        <f t="shared" si="708"/>
        <v>0</v>
      </c>
      <c r="BM322" s="49">
        <f t="shared" ref="BM322:DX322" si="709">BM323+BM339+BM353</f>
        <v>8092925271</v>
      </c>
      <c r="BN322" s="49">
        <f t="shared" si="709"/>
        <v>7368924915</v>
      </c>
      <c r="BO322" s="49">
        <f t="shared" si="709"/>
        <v>1289908844</v>
      </c>
      <c r="BP322" s="49">
        <f t="shared" si="709"/>
        <v>1215786192</v>
      </c>
      <c r="BQ322" s="49">
        <f t="shared" si="709"/>
        <v>0</v>
      </c>
      <c r="BR322" s="49">
        <f t="shared" si="709"/>
        <v>0</v>
      </c>
      <c r="BS322" s="49">
        <f t="shared" si="709"/>
        <v>0</v>
      </c>
      <c r="BT322" s="49">
        <f t="shared" si="709"/>
        <v>0</v>
      </c>
      <c r="BU322" s="49">
        <f t="shared" si="709"/>
        <v>1804560000</v>
      </c>
      <c r="BV322" s="49">
        <f t="shared" si="709"/>
        <v>7932683366</v>
      </c>
      <c r="BW322" s="49">
        <f t="shared" si="709"/>
        <v>3967268943</v>
      </c>
      <c r="BX322" s="49">
        <f t="shared" si="709"/>
        <v>3967268943</v>
      </c>
      <c r="BY322" s="49">
        <f t="shared" si="709"/>
        <v>0</v>
      </c>
      <c r="BZ322" s="49">
        <f t="shared" si="709"/>
        <v>1014349775.75</v>
      </c>
      <c r="CA322" s="49">
        <f t="shared" si="709"/>
        <v>2900992979.0999999</v>
      </c>
      <c r="CB322" s="49">
        <f t="shared" si="709"/>
        <v>2055807979</v>
      </c>
      <c r="CC322" s="49">
        <f t="shared" si="709"/>
        <v>1921149814</v>
      </c>
      <c r="CD322" s="49">
        <f t="shared" si="709"/>
        <v>0</v>
      </c>
      <c r="CE322" s="49">
        <f t="shared" si="709"/>
        <v>0</v>
      </c>
      <c r="CF322" s="49">
        <f t="shared" si="709"/>
        <v>500000000</v>
      </c>
      <c r="CG322" s="49">
        <f t="shared" si="709"/>
        <v>0</v>
      </c>
      <c r="CH322" s="49">
        <f t="shared" si="709"/>
        <v>0</v>
      </c>
      <c r="CI322" s="49">
        <f t="shared" si="709"/>
        <v>0</v>
      </c>
      <c r="CJ322" s="49">
        <f t="shared" si="709"/>
        <v>0</v>
      </c>
      <c r="CK322" s="49">
        <f t="shared" si="709"/>
        <v>0</v>
      </c>
      <c r="CL322" s="49">
        <f t="shared" si="709"/>
        <v>0</v>
      </c>
      <c r="CM322" s="49">
        <f t="shared" si="709"/>
        <v>0</v>
      </c>
      <c r="CN322" s="49">
        <f t="shared" si="709"/>
        <v>0</v>
      </c>
      <c r="CO322" s="49">
        <f t="shared" si="709"/>
        <v>0</v>
      </c>
      <c r="CP322" s="49">
        <f t="shared" si="709"/>
        <v>0</v>
      </c>
      <c r="CQ322" s="49">
        <f t="shared" si="709"/>
        <v>0</v>
      </c>
      <c r="CR322" s="49">
        <f t="shared" si="709"/>
        <v>0</v>
      </c>
      <c r="CS322" s="49">
        <f t="shared" si="709"/>
        <v>0</v>
      </c>
      <c r="CT322" s="49">
        <f t="shared" si="709"/>
        <v>0</v>
      </c>
      <c r="CU322" s="49">
        <f t="shared" si="709"/>
        <v>0</v>
      </c>
      <c r="CV322" s="49">
        <f t="shared" si="709"/>
        <v>0</v>
      </c>
      <c r="CW322" s="49">
        <f t="shared" si="709"/>
        <v>0</v>
      </c>
      <c r="CX322" s="49">
        <f t="shared" si="709"/>
        <v>0</v>
      </c>
      <c r="CY322" s="49">
        <f t="shared" si="709"/>
        <v>0</v>
      </c>
      <c r="CZ322" s="49">
        <f t="shared" si="709"/>
        <v>0</v>
      </c>
      <c r="DA322" s="49">
        <f t="shared" si="709"/>
        <v>1000000000</v>
      </c>
      <c r="DB322" s="49">
        <f t="shared" si="709"/>
        <v>0</v>
      </c>
      <c r="DC322" s="49">
        <f t="shared" si="709"/>
        <v>0</v>
      </c>
      <c r="DD322" s="49">
        <f t="shared" si="709"/>
        <v>0</v>
      </c>
      <c r="DE322" s="49">
        <f t="shared" si="709"/>
        <v>3818909775.75</v>
      </c>
      <c r="DF322" s="49">
        <f t="shared" si="709"/>
        <v>11333676345.1</v>
      </c>
      <c r="DG322" s="49">
        <f t="shared" si="709"/>
        <v>6023076922</v>
      </c>
      <c r="DH322" s="49">
        <f t="shared" si="709"/>
        <v>5888418757</v>
      </c>
      <c r="DI322" s="49">
        <f t="shared" si="709"/>
        <v>0</v>
      </c>
      <c r="DJ322" s="49">
        <f t="shared" si="709"/>
        <v>0</v>
      </c>
      <c r="DK322" s="49">
        <f t="shared" si="709"/>
        <v>0</v>
      </c>
      <c r="DL322" s="49">
        <f t="shared" si="709"/>
        <v>0</v>
      </c>
      <c r="DM322" s="49">
        <f t="shared" si="709"/>
        <v>0</v>
      </c>
      <c r="DN322" s="49">
        <f t="shared" si="709"/>
        <v>1870696800</v>
      </c>
      <c r="DO322" s="49">
        <f t="shared" si="709"/>
        <v>4724396454.3800001</v>
      </c>
      <c r="DP322" s="49">
        <f t="shared" si="709"/>
        <v>1455372526</v>
      </c>
      <c r="DQ322" s="49">
        <f t="shared" si="709"/>
        <v>1447916926</v>
      </c>
      <c r="DR322" s="49">
        <f t="shared" si="709"/>
        <v>0</v>
      </c>
      <c r="DS322" s="49">
        <f t="shared" si="709"/>
        <v>804280269.023</v>
      </c>
      <c r="DT322" s="49">
        <f t="shared" si="709"/>
        <v>3742120500</v>
      </c>
      <c r="DU322" s="49">
        <f t="shared" si="709"/>
        <v>1973204863.6399999</v>
      </c>
      <c r="DV322" s="49">
        <f t="shared" si="709"/>
        <v>1963731463.6399999</v>
      </c>
      <c r="DW322" s="49">
        <f t="shared" si="709"/>
        <v>128827239</v>
      </c>
      <c r="DX322" s="49">
        <f t="shared" si="709"/>
        <v>0</v>
      </c>
      <c r="DY322" s="49">
        <f t="shared" ref="DY322:EW322" si="710">DY323+DY339+DY353</f>
        <v>0</v>
      </c>
      <c r="DZ322" s="49">
        <f t="shared" si="710"/>
        <v>0</v>
      </c>
      <c r="EA322" s="49">
        <f t="shared" si="710"/>
        <v>0</v>
      </c>
      <c r="EB322" s="49">
        <f t="shared" si="710"/>
        <v>0</v>
      </c>
      <c r="EC322" s="49">
        <f t="shared" si="710"/>
        <v>0</v>
      </c>
      <c r="ED322" s="49">
        <f t="shared" si="710"/>
        <v>0</v>
      </c>
      <c r="EE322" s="49">
        <f t="shared" si="710"/>
        <v>0</v>
      </c>
      <c r="EF322" s="49">
        <f t="shared" si="710"/>
        <v>0</v>
      </c>
      <c r="EG322" s="49">
        <f t="shared" si="710"/>
        <v>0</v>
      </c>
      <c r="EH322" s="49">
        <f t="shared" si="710"/>
        <v>0</v>
      </c>
      <c r="EI322" s="49">
        <f t="shared" si="710"/>
        <v>0</v>
      </c>
      <c r="EJ322" s="49">
        <f t="shared" si="710"/>
        <v>0</v>
      </c>
      <c r="EK322" s="49">
        <f t="shared" si="710"/>
        <v>0</v>
      </c>
      <c r="EL322" s="49">
        <f t="shared" si="710"/>
        <v>0</v>
      </c>
      <c r="EM322" s="49">
        <f t="shared" si="710"/>
        <v>0</v>
      </c>
      <c r="EN322" s="49">
        <f t="shared" si="710"/>
        <v>0</v>
      </c>
      <c r="EO322" s="49">
        <f t="shared" si="710"/>
        <v>0</v>
      </c>
      <c r="EP322" s="49">
        <f t="shared" si="710"/>
        <v>0</v>
      </c>
      <c r="EQ322" s="49">
        <f t="shared" si="710"/>
        <v>0</v>
      </c>
      <c r="ER322" s="49">
        <f t="shared" si="710"/>
        <v>0</v>
      </c>
      <c r="ES322" s="49">
        <f t="shared" si="710"/>
        <v>1000000000</v>
      </c>
      <c r="ET322" s="49">
        <f t="shared" si="710"/>
        <v>0</v>
      </c>
      <c r="EU322" s="49">
        <f t="shared" si="710"/>
        <v>0</v>
      </c>
      <c r="EV322" s="49">
        <f t="shared" si="710"/>
        <v>0</v>
      </c>
      <c r="EW322" s="49">
        <f t="shared" si="710"/>
        <v>3674977069.0229998</v>
      </c>
      <c r="EX322" s="49">
        <f t="shared" ref="EX322:GZ322" si="711">EX323+EX339+EX353</f>
        <v>8466516954.3800001</v>
      </c>
      <c r="EY322" s="49">
        <f t="shared" si="711"/>
        <v>3428577389.6399999</v>
      </c>
      <c r="EZ322" s="49">
        <f t="shared" si="711"/>
        <v>3411648389.6399999</v>
      </c>
      <c r="FA322" s="49">
        <f t="shared" si="711"/>
        <v>128827239</v>
      </c>
      <c r="FB322" s="49">
        <f t="shared" si="711"/>
        <v>0</v>
      </c>
      <c r="FC322" s="49">
        <f t="shared" si="711"/>
        <v>0</v>
      </c>
      <c r="FD322" s="49">
        <f t="shared" si="711"/>
        <v>0</v>
      </c>
      <c r="FE322" s="49">
        <f t="shared" si="711"/>
        <v>0</v>
      </c>
      <c r="FF322" s="49">
        <f t="shared" si="711"/>
        <v>0</v>
      </c>
      <c r="FG322" s="49">
        <f t="shared" si="711"/>
        <v>1926457704.0002038</v>
      </c>
      <c r="FH322" s="49">
        <f t="shared" si="711"/>
        <v>5298773772</v>
      </c>
      <c r="FI322" s="49">
        <f t="shared" si="711"/>
        <v>834009226</v>
      </c>
      <c r="FJ322" s="49">
        <f t="shared" si="711"/>
        <v>325542082</v>
      </c>
      <c r="FK322" s="49">
        <f t="shared" si="711"/>
        <v>0</v>
      </c>
      <c r="FL322" s="49">
        <f t="shared" si="711"/>
        <v>760628677.08999991</v>
      </c>
      <c r="FM322" s="49">
        <f t="shared" si="711"/>
        <v>4110493515</v>
      </c>
      <c r="FN322" s="49">
        <f t="shared" si="711"/>
        <v>1700980858</v>
      </c>
      <c r="FO322" s="49">
        <f t="shared" si="711"/>
        <v>610008258</v>
      </c>
      <c r="FP322" s="49">
        <f t="shared" si="711"/>
        <v>0</v>
      </c>
      <c r="FQ322" s="49">
        <f t="shared" si="711"/>
        <v>0</v>
      </c>
      <c r="FR322" s="49">
        <f t="shared" si="711"/>
        <v>169985263</v>
      </c>
      <c r="FS322" s="49">
        <f t="shared" si="711"/>
        <v>0</v>
      </c>
      <c r="FT322" s="49">
        <f t="shared" si="711"/>
        <v>0</v>
      </c>
      <c r="FU322" s="49">
        <f t="shared" si="711"/>
        <v>0</v>
      </c>
      <c r="FV322" s="49">
        <f t="shared" si="711"/>
        <v>0</v>
      </c>
      <c r="FW322" s="49">
        <f t="shared" si="711"/>
        <v>0</v>
      </c>
      <c r="FX322" s="49">
        <f t="shared" si="711"/>
        <v>0</v>
      </c>
      <c r="FY322" s="49">
        <f t="shared" si="711"/>
        <v>0</v>
      </c>
      <c r="FZ322" s="49">
        <f t="shared" si="711"/>
        <v>0</v>
      </c>
      <c r="GA322" s="49">
        <f t="shared" si="711"/>
        <v>0</v>
      </c>
      <c r="GB322" s="49">
        <f t="shared" si="711"/>
        <v>0</v>
      </c>
      <c r="GC322" s="49">
        <f t="shared" si="711"/>
        <v>0</v>
      </c>
      <c r="GD322" s="49">
        <f t="shared" si="711"/>
        <v>0</v>
      </c>
      <c r="GE322" s="49">
        <f t="shared" si="711"/>
        <v>0</v>
      </c>
      <c r="GF322" s="49">
        <f t="shared" si="711"/>
        <v>0</v>
      </c>
      <c r="GG322" s="49">
        <f t="shared" si="711"/>
        <v>0</v>
      </c>
      <c r="GH322" s="49">
        <f t="shared" si="711"/>
        <v>0</v>
      </c>
      <c r="GI322" s="49">
        <f t="shared" si="711"/>
        <v>0</v>
      </c>
      <c r="GJ322" s="49">
        <f t="shared" si="711"/>
        <v>0</v>
      </c>
      <c r="GK322" s="49">
        <f t="shared" si="711"/>
        <v>0</v>
      </c>
      <c r="GL322" s="49">
        <f t="shared" si="711"/>
        <v>0</v>
      </c>
      <c r="GM322" s="49">
        <f t="shared" si="711"/>
        <v>0</v>
      </c>
      <c r="GN322" s="49">
        <f t="shared" si="711"/>
        <v>0</v>
      </c>
      <c r="GO322" s="49">
        <f t="shared" si="711"/>
        <v>0</v>
      </c>
      <c r="GP322" s="49">
        <f t="shared" si="711"/>
        <v>1000000000</v>
      </c>
      <c r="GQ322" s="49">
        <f t="shared" si="711"/>
        <v>0</v>
      </c>
      <c r="GR322" s="49">
        <f t="shared" si="711"/>
        <v>0</v>
      </c>
      <c r="GS322" s="49">
        <f t="shared" si="711"/>
        <v>0</v>
      </c>
      <c r="GT322" s="49">
        <f t="shared" si="711"/>
        <v>0</v>
      </c>
      <c r="GU322" s="49">
        <f t="shared" si="711"/>
        <v>3687086381.0902042</v>
      </c>
      <c r="GV322" s="49">
        <f t="shared" si="711"/>
        <v>9579252550</v>
      </c>
      <c r="GW322" s="49">
        <f t="shared" si="711"/>
        <v>2534990084</v>
      </c>
      <c r="GX322" s="49">
        <f t="shared" si="711"/>
        <v>935550340</v>
      </c>
      <c r="GY322" s="49">
        <f t="shared" si="711"/>
        <v>0</v>
      </c>
      <c r="GZ322" s="49">
        <f t="shared" si="711"/>
        <v>19273898496.863205</v>
      </c>
    </row>
    <row r="323" spans="1:208" ht="24.75" customHeight="1" x14ac:dyDescent="0.2">
      <c r="A323" s="993"/>
      <c r="B323" s="234">
        <v>23</v>
      </c>
      <c r="C323" s="324" t="s">
        <v>740</v>
      </c>
      <c r="D323" s="236"/>
      <c r="E323" s="236"/>
      <c r="F323" s="236"/>
      <c r="G323" s="325"/>
      <c r="H323" s="325"/>
      <c r="I323" s="325"/>
      <c r="J323" s="325"/>
      <c r="K323" s="325"/>
      <c r="L323" s="325"/>
      <c r="M323" s="325"/>
      <c r="N323" s="325"/>
      <c r="O323" s="325"/>
      <c r="P323" s="325"/>
      <c r="Q323" s="325"/>
      <c r="R323" s="325"/>
      <c r="S323" s="325"/>
      <c r="T323" s="325"/>
      <c r="U323" s="325"/>
      <c r="V323" s="325"/>
      <c r="W323" s="325"/>
      <c r="X323" s="325"/>
      <c r="Y323" s="627"/>
      <c r="Z323" s="325"/>
      <c r="AA323" s="325"/>
      <c r="AB323" s="325"/>
      <c r="AC323" s="50">
        <f t="shared" ref="AC323:CN323" si="712">AC324+AC330+AC335</f>
        <v>0</v>
      </c>
      <c r="AD323" s="50">
        <f t="shared" si="712"/>
        <v>0</v>
      </c>
      <c r="AE323" s="50">
        <f t="shared" si="712"/>
        <v>0</v>
      </c>
      <c r="AF323" s="50">
        <f t="shared" si="712"/>
        <v>0</v>
      </c>
      <c r="AG323" s="50">
        <f t="shared" si="712"/>
        <v>6015925271</v>
      </c>
      <c r="AH323" s="50">
        <f t="shared" si="712"/>
        <v>6021924915</v>
      </c>
      <c r="AI323" s="50">
        <f t="shared" si="712"/>
        <v>496704244</v>
      </c>
      <c r="AJ323" s="50">
        <f t="shared" si="712"/>
        <v>473727614</v>
      </c>
      <c r="AK323" s="50">
        <f t="shared" si="712"/>
        <v>60000000</v>
      </c>
      <c r="AL323" s="50">
        <f t="shared" si="712"/>
        <v>330000000</v>
      </c>
      <c r="AM323" s="50">
        <f t="shared" si="712"/>
        <v>221527329</v>
      </c>
      <c r="AN323" s="50">
        <f t="shared" si="712"/>
        <v>196027329</v>
      </c>
      <c r="AO323" s="50">
        <f t="shared" si="712"/>
        <v>0</v>
      </c>
      <c r="AP323" s="50">
        <f t="shared" si="712"/>
        <v>0</v>
      </c>
      <c r="AQ323" s="50">
        <f t="shared" si="712"/>
        <v>0</v>
      </c>
      <c r="AR323" s="50">
        <f t="shared" si="712"/>
        <v>0</v>
      </c>
      <c r="AS323" s="50">
        <f t="shared" si="712"/>
        <v>0</v>
      </c>
      <c r="AT323" s="50">
        <f t="shared" si="712"/>
        <v>0</v>
      </c>
      <c r="AU323" s="50">
        <f t="shared" si="712"/>
        <v>0</v>
      </c>
      <c r="AV323" s="50">
        <f t="shared" si="712"/>
        <v>0</v>
      </c>
      <c r="AW323" s="50">
        <f t="shared" si="712"/>
        <v>0</v>
      </c>
      <c r="AX323" s="50">
        <f t="shared" si="712"/>
        <v>0</v>
      </c>
      <c r="AY323" s="50">
        <f t="shared" si="712"/>
        <v>0</v>
      </c>
      <c r="AZ323" s="50">
        <f t="shared" si="712"/>
        <v>0</v>
      </c>
      <c r="BA323" s="50">
        <f t="shared" si="712"/>
        <v>0</v>
      </c>
      <c r="BB323" s="50">
        <f t="shared" si="712"/>
        <v>0</v>
      </c>
      <c r="BC323" s="50">
        <f t="shared" si="712"/>
        <v>0</v>
      </c>
      <c r="BD323" s="50">
        <f t="shared" si="712"/>
        <v>0</v>
      </c>
      <c r="BE323" s="50">
        <f t="shared" si="712"/>
        <v>0</v>
      </c>
      <c r="BF323" s="50">
        <f t="shared" si="712"/>
        <v>0</v>
      </c>
      <c r="BG323" s="50">
        <f t="shared" si="712"/>
        <v>0</v>
      </c>
      <c r="BH323" s="50">
        <f t="shared" si="712"/>
        <v>0</v>
      </c>
      <c r="BI323" s="50">
        <f t="shared" si="712"/>
        <v>1000000000</v>
      </c>
      <c r="BJ323" s="50">
        <f t="shared" si="712"/>
        <v>0</v>
      </c>
      <c r="BK323" s="50">
        <f t="shared" si="712"/>
        <v>0</v>
      </c>
      <c r="BL323" s="50">
        <f t="shared" si="712"/>
        <v>0</v>
      </c>
      <c r="BM323" s="50">
        <f t="shared" si="712"/>
        <v>7075925271</v>
      </c>
      <c r="BN323" s="50">
        <f t="shared" si="712"/>
        <v>6351924915</v>
      </c>
      <c r="BO323" s="50">
        <f t="shared" si="712"/>
        <v>718231573</v>
      </c>
      <c r="BP323" s="50">
        <f t="shared" si="712"/>
        <v>669754943</v>
      </c>
      <c r="BQ323" s="50">
        <f t="shared" si="712"/>
        <v>0</v>
      </c>
      <c r="BR323" s="50">
        <f t="shared" si="712"/>
        <v>0</v>
      </c>
      <c r="BS323" s="50">
        <f t="shared" si="712"/>
        <v>0</v>
      </c>
      <c r="BT323" s="50">
        <f t="shared" si="712"/>
        <v>0</v>
      </c>
      <c r="BU323" s="50">
        <f t="shared" si="712"/>
        <v>1804560000</v>
      </c>
      <c r="BV323" s="50">
        <f t="shared" si="712"/>
        <v>7638183366</v>
      </c>
      <c r="BW323" s="50">
        <f t="shared" si="712"/>
        <v>3786850844</v>
      </c>
      <c r="BX323" s="50">
        <f t="shared" si="712"/>
        <v>3786850844</v>
      </c>
      <c r="BY323" s="50">
        <f t="shared" si="712"/>
        <v>0</v>
      </c>
      <c r="BZ323" s="50">
        <f t="shared" si="712"/>
        <v>60000000</v>
      </c>
      <c r="CA323" s="50">
        <f t="shared" si="712"/>
        <v>1896643203.0999999</v>
      </c>
      <c r="CB323" s="50">
        <f t="shared" si="712"/>
        <v>1381584816</v>
      </c>
      <c r="CC323" s="50">
        <f t="shared" si="712"/>
        <v>1250757577</v>
      </c>
      <c r="CD323" s="50">
        <f t="shared" si="712"/>
        <v>0</v>
      </c>
      <c r="CE323" s="50">
        <f t="shared" si="712"/>
        <v>0</v>
      </c>
      <c r="CF323" s="50">
        <f t="shared" si="712"/>
        <v>500000000</v>
      </c>
      <c r="CG323" s="50">
        <f t="shared" si="712"/>
        <v>0</v>
      </c>
      <c r="CH323" s="50">
        <f t="shared" si="712"/>
        <v>0</v>
      </c>
      <c r="CI323" s="50">
        <f t="shared" si="712"/>
        <v>0</v>
      </c>
      <c r="CJ323" s="50">
        <f t="shared" si="712"/>
        <v>0</v>
      </c>
      <c r="CK323" s="50">
        <f t="shared" si="712"/>
        <v>0</v>
      </c>
      <c r="CL323" s="50">
        <f t="shared" si="712"/>
        <v>0</v>
      </c>
      <c r="CM323" s="50">
        <f t="shared" si="712"/>
        <v>0</v>
      </c>
      <c r="CN323" s="50">
        <f t="shared" si="712"/>
        <v>0</v>
      </c>
      <c r="CO323" s="50">
        <f t="shared" ref="CO323:EV323" si="713">CO324+CO330+CO335</f>
        <v>0</v>
      </c>
      <c r="CP323" s="50">
        <f t="shared" si="713"/>
        <v>0</v>
      </c>
      <c r="CQ323" s="50">
        <f t="shared" si="713"/>
        <v>0</v>
      </c>
      <c r="CR323" s="50">
        <f t="shared" si="713"/>
        <v>0</v>
      </c>
      <c r="CS323" s="50">
        <f t="shared" si="713"/>
        <v>0</v>
      </c>
      <c r="CT323" s="50">
        <f t="shared" si="713"/>
        <v>0</v>
      </c>
      <c r="CU323" s="50">
        <f t="shared" si="713"/>
        <v>0</v>
      </c>
      <c r="CV323" s="50">
        <f t="shared" si="713"/>
        <v>0</v>
      </c>
      <c r="CW323" s="50">
        <f t="shared" si="713"/>
        <v>0</v>
      </c>
      <c r="CX323" s="50">
        <f t="shared" si="713"/>
        <v>0</v>
      </c>
      <c r="CY323" s="50">
        <f t="shared" si="713"/>
        <v>0</v>
      </c>
      <c r="CZ323" s="50">
        <f t="shared" si="713"/>
        <v>0</v>
      </c>
      <c r="DA323" s="50">
        <f t="shared" si="713"/>
        <v>1000000000</v>
      </c>
      <c r="DB323" s="50">
        <f t="shared" si="713"/>
        <v>0</v>
      </c>
      <c r="DC323" s="50">
        <f t="shared" si="713"/>
        <v>0</v>
      </c>
      <c r="DD323" s="50">
        <f t="shared" si="713"/>
        <v>0</v>
      </c>
      <c r="DE323" s="50">
        <f t="shared" si="713"/>
        <v>2864560000</v>
      </c>
      <c r="DF323" s="50">
        <f t="shared" si="713"/>
        <v>10034826569.1</v>
      </c>
      <c r="DG323" s="50">
        <f t="shared" si="713"/>
        <v>5168435660</v>
      </c>
      <c r="DH323" s="50">
        <f t="shared" si="713"/>
        <v>5037608421</v>
      </c>
      <c r="DI323" s="50">
        <f t="shared" si="713"/>
        <v>0</v>
      </c>
      <c r="DJ323" s="50">
        <f t="shared" si="713"/>
        <v>0</v>
      </c>
      <c r="DK323" s="50">
        <f t="shared" si="713"/>
        <v>0</v>
      </c>
      <c r="DL323" s="50">
        <f t="shared" si="713"/>
        <v>0</v>
      </c>
      <c r="DM323" s="50">
        <f t="shared" si="713"/>
        <v>0</v>
      </c>
      <c r="DN323" s="50">
        <f t="shared" si="713"/>
        <v>1870696800</v>
      </c>
      <c r="DO323" s="50">
        <f t="shared" si="713"/>
        <v>4369835512.3800001</v>
      </c>
      <c r="DP323" s="50">
        <f t="shared" si="713"/>
        <v>1194495955</v>
      </c>
      <c r="DQ323" s="50">
        <f t="shared" si="713"/>
        <v>1187595955</v>
      </c>
      <c r="DR323" s="50">
        <f t="shared" si="713"/>
        <v>0</v>
      </c>
      <c r="DS323" s="50">
        <f t="shared" si="713"/>
        <v>46000000</v>
      </c>
      <c r="DT323" s="50">
        <f t="shared" si="713"/>
        <v>2650120500</v>
      </c>
      <c r="DU323" s="50">
        <f t="shared" si="713"/>
        <v>1309180421.6399999</v>
      </c>
      <c r="DV323" s="50">
        <f t="shared" si="713"/>
        <v>1304594021.6399999</v>
      </c>
      <c r="DW323" s="50">
        <f t="shared" si="713"/>
        <v>128827239</v>
      </c>
      <c r="DX323" s="50">
        <f t="shared" si="713"/>
        <v>0</v>
      </c>
      <c r="DY323" s="50">
        <f t="shared" si="713"/>
        <v>0</v>
      </c>
      <c r="DZ323" s="50">
        <f t="shared" si="713"/>
        <v>0</v>
      </c>
      <c r="EA323" s="50">
        <f t="shared" si="713"/>
        <v>0</v>
      </c>
      <c r="EB323" s="50">
        <f t="shared" si="713"/>
        <v>0</v>
      </c>
      <c r="EC323" s="50">
        <f t="shared" si="713"/>
        <v>0</v>
      </c>
      <c r="ED323" s="50">
        <f t="shared" si="713"/>
        <v>0</v>
      </c>
      <c r="EE323" s="50">
        <f t="shared" si="713"/>
        <v>0</v>
      </c>
      <c r="EF323" s="50">
        <f t="shared" si="713"/>
        <v>0</v>
      </c>
      <c r="EG323" s="50">
        <f t="shared" si="713"/>
        <v>0</v>
      </c>
      <c r="EH323" s="50">
        <f t="shared" si="713"/>
        <v>0</v>
      </c>
      <c r="EI323" s="50">
        <f t="shared" si="713"/>
        <v>0</v>
      </c>
      <c r="EJ323" s="50">
        <f t="shared" si="713"/>
        <v>0</v>
      </c>
      <c r="EK323" s="50">
        <f t="shared" si="713"/>
        <v>0</v>
      </c>
      <c r="EL323" s="50">
        <f t="shared" si="713"/>
        <v>0</v>
      </c>
      <c r="EM323" s="50">
        <f t="shared" si="713"/>
        <v>0</v>
      </c>
      <c r="EN323" s="50">
        <f t="shared" si="713"/>
        <v>0</v>
      </c>
      <c r="EO323" s="50">
        <f t="shared" si="713"/>
        <v>0</v>
      </c>
      <c r="EP323" s="50">
        <f t="shared" si="713"/>
        <v>0</v>
      </c>
      <c r="EQ323" s="50">
        <f t="shared" si="713"/>
        <v>0</v>
      </c>
      <c r="ER323" s="50">
        <f t="shared" si="713"/>
        <v>0</v>
      </c>
      <c r="ES323" s="50">
        <f t="shared" si="713"/>
        <v>1000000000</v>
      </c>
      <c r="ET323" s="50">
        <f t="shared" si="713"/>
        <v>0</v>
      </c>
      <c r="EU323" s="50">
        <f t="shared" si="713"/>
        <v>0</v>
      </c>
      <c r="EV323" s="50">
        <f t="shared" si="713"/>
        <v>0</v>
      </c>
      <c r="EW323" s="50">
        <f t="shared" ref="EW323" si="714">EW324+EW330+EW335</f>
        <v>2916696800</v>
      </c>
      <c r="EX323" s="50">
        <f t="shared" ref="EX323:GZ323" si="715">EX324+EX330+EX335</f>
        <v>7019956012.3800001</v>
      </c>
      <c r="EY323" s="50">
        <f t="shared" si="715"/>
        <v>2503676376.6399999</v>
      </c>
      <c r="EZ323" s="50">
        <f t="shared" si="715"/>
        <v>2492189976.6399999</v>
      </c>
      <c r="FA323" s="50">
        <f t="shared" si="715"/>
        <v>128827239</v>
      </c>
      <c r="FB323" s="50">
        <f t="shared" si="715"/>
        <v>0</v>
      </c>
      <c r="FC323" s="50">
        <f t="shared" si="715"/>
        <v>0</v>
      </c>
      <c r="FD323" s="50">
        <f t="shared" si="715"/>
        <v>0</v>
      </c>
      <c r="FE323" s="50">
        <f t="shared" si="715"/>
        <v>0</v>
      </c>
      <c r="FF323" s="50">
        <f t="shared" si="715"/>
        <v>0</v>
      </c>
      <c r="FG323" s="50">
        <f t="shared" si="715"/>
        <v>1926457704.0002038</v>
      </c>
      <c r="FH323" s="50">
        <f t="shared" si="715"/>
        <v>4940592174</v>
      </c>
      <c r="FI323" s="50">
        <f t="shared" si="715"/>
        <v>774309226</v>
      </c>
      <c r="FJ323" s="50">
        <f t="shared" si="715"/>
        <v>325542082</v>
      </c>
      <c r="FK323" s="50">
        <f t="shared" si="715"/>
        <v>0</v>
      </c>
      <c r="FL323" s="50">
        <f t="shared" si="715"/>
        <v>38000000</v>
      </c>
      <c r="FM323" s="50">
        <f t="shared" si="715"/>
        <v>3053470000</v>
      </c>
      <c r="FN323" s="50">
        <f t="shared" si="715"/>
        <v>937615345</v>
      </c>
      <c r="FO323" s="50">
        <f t="shared" si="715"/>
        <v>238280049</v>
      </c>
      <c r="FP323" s="50">
        <f t="shared" si="715"/>
        <v>0</v>
      </c>
      <c r="FQ323" s="50">
        <f t="shared" si="715"/>
        <v>0</v>
      </c>
      <c r="FR323" s="50">
        <f t="shared" si="715"/>
        <v>0</v>
      </c>
      <c r="FS323" s="50">
        <f t="shared" si="715"/>
        <v>0</v>
      </c>
      <c r="FT323" s="50">
        <f t="shared" si="715"/>
        <v>0</v>
      </c>
      <c r="FU323" s="50">
        <f t="shared" si="715"/>
        <v>0</v>
      </c>
      <c r="FV323" s="50">
        <f t="shared" si="715"/>
        <v>0</v>
      </c>
      <c r="FW323" s="50">
        <f t="shared" si="715"/>
        <v>0</v>
      </c>
      <c r="FX323" s="50">
        <f t="shared" si="715"/>
        <v>0</v>
      </c>
      <c r="FY323" s="50">
        <f t="shared" si="715"/>
        <v>0</v>
      </c>
      <c r="FZ323" s="50">
        <f t="shared" si="715"/>
        <v>0</v>
      </c>
      <c r="GA323" s="50">
        <f t="shared" si="715"/>
        <v>0</v>
      </c>
      <c r="GB323" s="50">
        <f t="shared" si="715"/>
        <v>0</v>
      </c>
      <c r="GC323" s="50">
        <f t="shared" si="715"/>
        <v>0</v>
      </c>
      <c r="GD323" s="50">
        <f t="shared" si="715"/>
        <v>0</v>
      </c>
      <c r="GE323" s="50">
        <f t="shared" si="715"/>
        <v>0</v>
      </c>
      <c r="GF323" s="50">
        <f t="shared" si="715"/>
        <v>0</v>
      </c>
      <c r="GG323" s="50">
        <f t="shared" si="715"/>
        <v>0</v>
      </c>
      <c r="GH323" s="50">
        <f t="shared" si="715"/>
        <v>0</v>
      </c>
      <c r="GI323" s="50">
        <f t="shared" si="715"/>
        <v>0</v>
      </c>
      <c r="GJ323" s="50">
        <f t="shared" si="715"/>
        <v>0</v>
      </c>
      <c r="GK323" s="50">
        <f t="shared" si="715"/>
        <v>0</v>
      </c>
      <c r="GL323" s="50">
        <f t="shared" si="715"/>
        <v>0</v>
      </c>
      <c r="GM323" s="50">
        <f t="shared" si="715"/>
        <v>0</v>
      </c>
      <c r="GN323" s="50">
        <f t="shared" si="715"/>
        <v>0</v>
      </c>
      <c r="GO323" s="50">
        <f t="shared" si="715"/>
        <v>0</v>
      </c>
      <c r="GP323" s="50">
        <f t="shared" si="715"/>
        <v>1000000000</v>
      </c>
      <c r="GQ323" s="50">
        <f t="shared" si="715"/>
        <v>0</v>
      </c>
      <c r="GR323" s="50">
        <f t="shared" si="715"/>
        <v>0</v>
      </c>
      <c r="GS323" s="50">
        <f t="shared" si="715"/>
        <v>0</v>
      </c>
      <c r="GT323" s="50">
        <f t="shared" si="715"/>
        <v>0</v>
      </c>
      <c r="GU323" s="50">
        <f t="shared" si="715"/>
        <v>2964457704.0002041</v>
      </c>
      <c r="GV323" s="50">
        <f t="shared" si="715"/>
        <v>7994062174</v>
      </c>
      <c r="GW323" s="50">
        <f t="shared" si="715"/>
        <v>1711924571</v>
      </c>
      <c r="GX323" s="50">
        <f t="shared" si="715"/>
        <v>563822131</v>
      </c>
      <c r="GY323" s="50">
        <f t="shared" si="715"/>
        <v>0</v>
      </c>
      <c r="GZ323" s="50">
        <f t="shared" si="715"/>
        <v>15821639775.000204</v>
      </c>
    </row>
    <row r="324" spans="1:208" ht="24.75" customHeight="1" x14ac:dyDescent="0.2">
      <c r="A324" s="326"/>
      <c r="B324" s="993"/>
      <c r="C324" s="246">
        <v>75</v>
      </c>
      <c r="D324" s="247" t="s">
        <v>741</v>
      </c>
      <c r="E324" s="250"/>
      <c r="F324" s="250"/>
      <c r="G324" s="251"/>
      <c r="H324" s="251"/>
      <c r="I324" s="251"/>
      <c r="J324" s="251"/>
      <c r="K324" s="251"/>
      <c r="L324" s="251"/>
      <c r="M324" s="251"/>
      <c r="N324" s="251"/>
      <c r="O324" s="251"/>
      <c r="P324" s="251"/>
      <c r="Q324" s="251"/>
      <c r="R324" s="251"/>
      <c r="S324" s="251"/>
      <c r="T324" s="251"/>
      <c r="U324" s="251"/>
      <c r="V324" s="251"/>
      <c r="W324" s="251"/>
      <c r="X324" s="251"/>
      <c r="Y324" s="252"/>
      <c r="Z324" s="251"/>
      <c r="AA324" s="251"/>
      <c r="AB324" s="251"/>
      <c r="AC324" s="51">
        <f t="shared" ref="AC324:BL324" si="716">SUM(AC325:AC329)</f>
        <v>0</v>
      </c>
      <c r="AD324" s="51">
        <f t="shared" si="716"/>
        <v>0</v>
      </c>
      <c r="AE324" s="51">
        <f t="shared" si="716"/>
        <v>0</v>
      </c>
      <c r="AF324" s="51">
        <f t="shared" si="716"/>
        <v>0</v>
      </c>
      <c r="AG324" s="51">
        <f t="shared" si="716"/>
        <v>5963925271</v>
      </c>
      <c r="AH324" s="51">
        <f t="shared" si="716"/>
        <v>5969924915</v>
      </c>
      <c r="AI324" s="51">
        <f t="shared" si="716"/>
        <v>456801995</v>
      </c>
      <c r="AJ324" s="51">
        <f t="shared" si="716"/>
        <v>433825365</v>
      </c>
      <c r="AK324" s="51">
        <f t="shared" si="716"/>
        <v>30000000</v>
      </c>
      <c r="AL324" s="51">
        <f t="shared" si="716"/>
        <v>80000000</v>
      </c>
      <c r="AM324" s="51">
        <f t="shared" si="716"/>
        <v>30000000</v>
      </c>
      <c r="AN324" s="51">
        <f t="shared" si="716"/>
        <v>30000000</v>
      </c>
      <c r="AO324" s="51">
        <f t="shared" si="716"/>
        <v>0</v>
      </c>
      <c r="AP324" s="51">
        <f t="shared" si="716"/>
        <v>0</v>
      </c>
      <c r="AQ324" s="51">
        <f t="shared" si="716"/>
        <v>0</v>
      </c>
      <c r="AR324" s="51">
        <f t="shared" si="716"/>
        <v>0</v>
      </c>
      <c r="AS324" s="51">
        <f t="shared" si="716"/>
        <v>0</v>
      </c>
      <c r="AT324" s="51">
        <f t="shared" si="716"/>
        <v>0</v>
      </c>
      <c r="AU324" s="51">
        <f t="shared" si="716"/>
        <v>0</v>
      </c>
      <c r="AV324" s="51">
        <f t="shared" si="716"/>
        <v>0</v>
      </c>
      <c r="AW324" s="51">
        <f t="shared" si="716"/>
        <v>0</v>
      </c>
      <c r="AX324" s="51">
        <f t="shared" si="716"/>
        <v>0</v>
      </c>
      <c r="AY324" s="51">
        <f t="shared" si="716"/>
        <v>0</v>
      </c>
      <c r="AZ324" s="51">
        <f t="shared" si="716"/>
        <v>0</v>
      </c>
      <c r="BA324" s="51">
        <f t="shared" si="716"/>
        <v>0</v>
      </c>
      <c r="BB324" s="51">
        <f t="shared" si="716"/>
        <v>0</v>
      </c>
      <c r="BC324" s="51">
        <f t="shared" si="716"/>
        <v>0</v>
      </c>
      <c r="BD324" s="51">
        <f t="shared" si="716"/>
        <v>0</v>
      </c>
      <c r="BE324" s="51">
        <f t="shared" si="716"/>
        <v>0</v>
      </c>
      <c r="BF324" s="51">
        <f t="shared" si="716"/>
        <v>0</v>
      </c>
      <c r="BG324" s="51">
        <f t="shared" si="716"/>
        <v>0</v>
      </c>
      <c r="BH324" s="51">
        <f t="shared" si="716"/>
        <v>0</v>
      </c>
      <c r="BI324" s="51">
        <f t="shared" si="716"/>
        <v>0</v>
      </c>
      <c r="BJ324" s="51">
        <f t="shared" si="716"/>
        <v>0</v>
      </c>
      <c r="BK324" s="51">
        <f t="shared" si="716"/>
        <v>0</v>
      </c>
      <c r="BL324" s="51">
        <f t="shared" si="716"/>
        <v>0</v>
      </c>
      <c r="BM324" s="51">
        <f t="shared" ref="BM324:DX324" si="717">SUM(BM325:BM329)</f>
        <v>5993925271</v>
      </c>
      <c r="BN324" s="51">
        <f t="shared" si="717"/>
        <v>6049924915</v>
      </c>
      <c r="BO324" s="51">
        <f t="shared" si="717"/>
        <v>486801995</v>
      </c>
      <c r="BP324" s="51">
        <f t="shared" si="717"/>
        <v>463825365</v>
      </c>
      <c r="BQ324" s="51">
        <f t="shared" si="717"/>
        <v>0</v>
      </c>
      <c r="BR324" s="51">
        <f t="shared" si="717"/>
        <v>0</v>
      </c>
      <c r="BS324" s="51">
        <f t="shared" si="717"/>
        <v>0</v>
      </c>
      <c r="BT324" s="51">
        <f t="shared" si="717"/>
        <v>0</v>
      </c>
      <c r="BU324" s="51">
        <f t="shared" si="717"/>
        <v>1513000000</v>
      </c>
      <c r="BV324" s="51">
        <f t="shared" si="717"/>
        <v>7508631612</v>
      </c>
      <c r="BW324" s="51">
        <f t="shared" si="717"/>
        <v>3705604180</v>
      </c>
      <c r="BX324" s="51">
        <f t="shared" si="717"/>
        <v>3705604180</v>
      </c>
      <c r="BY324" s="51">
        <f t="shared" si="717"/>
        <v>0</v>
      </c>
      <c r="BZ324" s="51">
        <f t="shared" si="717"/>
        <v>30000000</v>
      </c>
      <c r="CA324" s="51">
        <f t="shared" si="717"/>
        <v>1258643203.0999999</v>
      </c>
      <c r="CB324" s="51">
        <f t="shared" si="717"/>
        <v>887414251</v>
      </c>
      <c r="CC324" s="51">
        <f t="shared" si="717"/>
        <v>758587012</v>
      </c>
      <c r="CD324" s="51">
        <f t="shared" si="717"/>
        <v>0</v>
      </c>
      <c r="CE324" s="51">
        <f t="shared" si="717"/>
        <v>0</v>
      </c>
      <c r="CF324" s="51">
        <f t="shared" si="717"/>
        <v>0</v>
      </c>
      <c r="CG324" s="51">
        <f t="shared" si="717"/>
        <v>0</v>
      </c>
      <c r="CH324" s="51">
        <f t="shared" si="717"/>
        <v>0</v>
      </c>
      <c r="CI324" s="51">
        <f t="shared" si="717"/>
        <v>0</v>
      </c>
      <c r="CJ324" s="51">
        <f t="shared" si="717"/>
        <v>0</v>
      </c>
      <c r="CK324" s="51">
        <f t="shared" si="717"/>
        <v>0</v>
      </c>
      <c r="CL324" s="51">
        <f t="shared" si="717"/>
        <v>0</v>
      </c>
      <c r="CM324" s="51">
        <f t="shared" si="717"/>
        <v>0</v>
      </c>
      <c r="CN324" s="51">
        <f t="shared" si="717"/>
        <v>0</v>
      </c>
      <c r="CO324" s="51">
        <f t="shared" si="717"/>
        <v>0</v>
      </c>
      <c r="CP324" s="51">
        <f t="shared" si="717"/>
        <v>0</v>
      </c>
      <c r="CQ324" s="51">
        <f t="shared" si="717"/>
        <v>0</v>
      </c>
      <c r="CR324" s="51">
        <f t="shared" si="717"/>
        <v>0</v>
      </c>
      <c r="CS324" s="51">
        <f t="shared" si="717"/>
        <v>0</v>
      </c>
      <c r="CT324" s="51">
        <f t="shared" si="717"/>
        <v>0</v>
      </c>
      <c r="CU324" s="51">
        <f t="shared" si="717"/>
        <v>0</v>
      </c>
      <c r="CV324" s="51">
        <f t="shared" si="717"/>
        <v>0</v>
      </c>
      <c r="CW324" s="51">
        <f t="shared" si="717"/>
        <v>0</v>
      </c>
      <c r="CX324" s="51">
        <f t="shared" si="717"/>
        <v>0</v>
      </c>
      <c r="CY324" s="51">
        <f t="shared" si="717"/>
        <v>0</v>
      </c>
      <c r="CZ324" s="51">
        <f t="shared" si="717"/>
        <v>0</v>
      </c>
      <c r="DA324" s="51">
        <f t="shared" si="717"/>
        <v>0</v>
      </c>
      <c r="DB324" s="51">
        <f t="shared" si="717"/>
        <v>0</v>
      </c>
      <c r="DC324" s="51">
        <f t="shared" si="717"/>
        <v>0</v>
      </c>
      <c r="DD324" s="51">
        <f t="shared" si="717"/>
        <v>0</v>
      </c>
      <c r="DE324" s="51">
        <f t="shared" si="717"/>
        <v>1543000000</v>
      </c>
      <c r="DF324" s="51">
        <f t="shared" si="717"/>
        <v>8767274815.1000004</v>
      </c>
      <c r="DG324" s="51">
        <f t="shared" si="717"/>
        <v>4593018431</v>
      </c>
      <c r="DH324" s="51">
        <f t="shared" si="717"/>
        <v>4464191192</v>
      </c>
      <c r="DI324" s="51">
        <f t="shared" si="717"/>
        <v>0</v>
      </c>
      <c r="DJ324" s="51">
        <f t="shared" si="717"/>
        <v>0</v>
      </c>
      <c r="DK324" s="51">
        <f t="shared" si="717"/>
        <v>0</v>
      </c>
      <c r="DL324" s="51">
        <f t="shared" si="717"/>
        <v>0</v>
      </c>
      <c r="DM324" s="51">
        <f t="shared" si="717"/>
        <v>0</v>
      </c>
      <c r="DN324" s="51">
        <f t="shared" si="717"/>
        <v>1565530000</v>
      </c>
      <c r="DO324" s="51">
        <f t="shared" si="717"/>
        <v>3674835512.3800001</v>
      </c>
      <c r="DP324" s="51">
        <f t="shared" si="717"/>
        <v>782972342</v>
      </c>
      <c r="DQ324" s="51">
        <f t="shared" si="717"/>
        <v>776072342</v>
      </c>
      <c r="DR324" s="51">
        <f t="shared" si="717"/>
        <v>0</v>
      </c>
      <c r="DS324" s="51">
        <f t="shared" si="717"/>
        <v>28000000</v>
      </c>
      <c r="DT324" s="51">
        <f t="shared" si="717"/>
        <v>1831559012</v>
      </c>
      <c r="DU324" s="51">
        <f t="shared" si="717"/>
        <v>628559759.63999999</v>
      </c>
      <c r="DV324" s="51">
        <f t="shared" si="717"/>
        <v>628559759.63999999</v>
      </c>
      <c r="DW324" s="51">
        <f t="shared" si="717"/>
        <v>128827239</v>
      </c>
      <c r="DX324" s="51">
        <f t="shared" si="717"/>
        <v>0</v>
      </c>
      <c r="DY324" s="51">
        <f t="shared" ref="DY324:EW324" si="718">SUM(DY325:DY329)</f>
        <v>0</v>
      </c>
      <c r="DZ324" s="51">
        <f t="shared" si="718"/>
        <v>0</v>
      </c>
      <c r="EA324" s="51">
        <f t="shared" si="718"/>
        <v>0</v>
      </c>
      <c r="EB324" s="51">
        <f t="shared" si="718"/>
        <v>0</v>
      </c>
      <c r="EC324" s="51">
        <f t="shared" si="718"/>
        <v>0</v>
      </c>
      <c r="ED324" s="51">
        <f t="shared" si="718"/>
        <v>0</v>
      </c>
      <c r="EE324" s="51">
        <f t="shared" si="718"/>
        <v>0</v>
      </c>
      <c r="EF324" s="51">
        <f t="shared" si="718"/>
        <v>0</v>
      </c>
      <c r="EG324" s="51">
        <f t="shared" si="718"/>
        <v>0</v>
      </c>
      <c r="EH324" s="51">
        <f t="shared" si="718"/>
        <v>0</v>
      </c>
      <c r="EI324" s="51">
        <f t="shared" si="718"/>
        <v>0</v>
      </c>
      <c r="EJ324" s="51">
        <f t="shared" si="718"/>
        <v>0</v>
      </c>
      <c r="EK324" s="51">
        <f t="shared" si="718"/>
        <v>0</v>
      </c>
      <c r="EL324" s="51">
        <f t="shared" si="718"/>
        <v>0</v>
      </c>
      <c r="EM324" s="51">
        <f t="shared" si="718"/>
        <v>0</v>
      </c>
      <c r="EN324" s="51">
        <f t="shared" si="718"/>
        <v>0</v>
      </c>
      <c r="EO324" s="51">
        <f t="shared" si="718"/>
        <v>0</v>
      </c>
      <c r="EP324" s="51">
        <f t="shared" si="718"/>
        <v>0</v>
      </c>
      <c r="EQ324" s="51">
        <f t="shared" si="718"/>
        <v>0</v>
      </c>
      <c r="ER324" s="51">
        <f t="shared" si="718"/>
        <v>0</v>
      </c>
      <c r="ES324" s="51">
        <f t="shared" si="718"/>
        <v>0</v>
      </c>
      <c r="ET324" s="51">
        <f t="shared" si="718"/>
        <v>0</v>
      </c>
      <c r="EU324" s="51">
        <f t="shared" si="718"/>
        <v>0</v>
      </c>
      <c r="EV324" s="51">
        <f t="shared" si="718"/>
        <v>0</v>
      </c>
      <c r="EW324" s="51">
        <f t="shared" si="718"/>
        <v>1593530000</v>
      </c>
      <c r="EX324" s="51">
        <f t="shared" ref="EX324:GZ324" si="719">SUM(EX325:EX329)</f>
        <v>5506394524.3800001</v>
      </c>
      <c r="EY324" s="51">
        <f t="shared" si="719"/>
        <v>1411532101.6399999</v>
      </c>
      <c r="EZ324" s="51">
        <f t="shared" si="719"/>
        <v>1404632101.6399999</v>
      </c>
      <c r="FA324" s="51">
        <f t="shared" si="719"/>
        <v>128827239</v>
      </c>
      <c r="FB324" s="51">
        <f t="shared" si="719"/>
        <v>0</v>
      </c>
      <c r="FC324" s="51">
        <f t="shared" si="719"/>
        <v>0</v>
      </c>
      <c r="FD324" s="51">
        <f t="shared" si="719"/>
        <v>0</v>
      </c>
      <c r="FE324" s="51">
        <f t="shared" si="719"/>
        <v>0</v>
      </c>
      <c r="FF324" s="51">
        <f t="shared" si="719"/>
        <v>0</v>
      </c>
      <c r="FG324" s="51">
        <f t="shared" si="719"/>
        <v>1619635900.0002038</v>
      </c>
      <c r="FH324" s="51">
        <f t="shared" si="719"/>
        <v>3803623337</v>
      </c>
      <c r="FI324" s="51">
        <f t="shared" si="719"/>
        <v>367880100</v>
      </c>
      <c r="FJ324" s="51">
        <f t="shared" si="719"/>
        <v>104797750</v>
      </c>
      <c r="FK324" s="51">
        <f t="shared" si="719"/>
        <v>0</v>
      </c>
      <c r="FL324" s="51">
        <f t="shared" si="719"/>
        <v>20000000</v>
      </c>
      <c r="FM324" s="51">
        <f t="shared" si="719"/>
        <v>2864600000</v>
      </c>
      <c r="FN324" s="51">
        <f t="shared" si="719"/>
        <v>783396496</v>
      </c>
      <c r="FO324" s="51">
        <f t="shared" si="719"/>
        <v>90536366</v>
      </c>
      <c r="FP324" s="51">
        <f t="shared" si="719"/>
        <v>0</v>
      </c>
      <c r="FQ324" s="51">
        <f t="shared" si="719"/>
        <v>0</v>
      </c>
      <c r="FR324" s="51">
        <f t="shared" si="719"/>
        <v>0</v>
      </c>
      <c r="FS324" s="51">
        <f t="shared" si="719"/>
        <v>0</v>
      </c>
      <c r="FT324" s="51">
        <f t="shared" si="719"/>
        <v>0</v>
      </c>
      <c r="FU324" s="51">
        <f t="shared" si="719"/>
        <v>0</v>
      </c>
      <c r="FV324" s="51">
        <f t="shared" si="719"/>
        <v>0</v>
      </c>
      <c r="FW324" s="51">
        <f t="shared" si="719"/>
        <v>0</v>
      </c>
      <c r="FX324" s="51">
        <f t="shared" si="719"/>
        <v>0</v>
      </c>
      <c r="FY324" s="51">
        <f t="shared" si="719"/>
        <v>0</v>
      </c>
      <c r="FZ324" s="51">
        <f t="shared" si="719"/>
        <v>0</v>
      </c>
      <c r="GA324" s="51">
        <f t="shared" si="719"/>
        <v>0</v>
      </c>
      <c r="GB324" s="51">
        <f t="shared" si="719"/>
        <v>0</v>
      </c>
      <c r="GC324" s="51">
        <f t="shared" si="719"/>
        <v>0</v>
      </c>
      <c r="GD324" s="51">
        <f t="shared" si="719"/>
        <v>0</v>
      </c>
      <c r="GE324" s="51">
        <f t="shared" si="719"/>
        <v>0</v>
      </c>
      <c r="GF324" s="51">
        <f t="shared" si="719"/>
        <v>0</v>
      </c>
      <c r="GG324" s="51">
        <f t="shared" si="719"/>
        <v>0</v>
      </c>
      <c r="GH324" s="51">
        <f t="shared" si="719"/>
        <v>0</v>
      </c>
      <c r="GI324" s="51">
        <f t="shared" si="719"/>
        <v>0</v>
      </c>
      <c r="GJ324" s="51">
        <f t="shared" si="719"/>
        <v>0</v>
      </c>
      <c r="GK324" s="51">
        <f t="shared" si="719"/>
        <v>0</v>
      </c>
      <c r="GL324" s="51">
        <f t="shared" si="719"/>
        <v>0</v>
      </c>
      <c r="GM324" s="51">
        <f t="shared" si="719"/>
        <v>0</v>
      </c>
      <c r="GN324" s="51">
        <f t="shared" si="719"/>
        <v>0</v>
      </c>
      <c r="GO324" s="51">
        <f t="shared" si="719"/>
        <v>0</v>
      </c>
      <c r="GP324" s="51">
        <f t="shared" si="719"/>
        <v>0</v>
      </c>
      <c r="GQ324" s="51">
        <f t="shared" si="719"/>
        <v>0</v>
      </c>
      <c r="GR324" s="51">
        <f t="shared" si="719"/>
        <v>0</v>
      </c>
      <c r="GS324" s="51">
        <f t="shared" si="719"/>
        <v>0</v>
      </c>
      <c r="GT324" s="51">
        <f t="shared" si="719"/>
        <v>0</v>
      </c>
      <c r="GU324" s="51">
        <f t="shared" si="719"/>
        <v>1639635900.0002038</v>
      </c>
      <c r="GV324" s="51">
        <f t="shared" si="719"/>
        <v>6668223337</v>
      </c>
      <c r="GW324" s="51">
        <f t="shared" si="719"/>
        <v>1151276596</v>
      </c>
      <c r="GX324" s="51">
        <f t="shared" si="719"/>
        <v>195334116</v>
      </c>
      <c r="GY324" s="51">
        <f t="shared" si="719"/>
        <v>0</v>
      </c>
      <c r="GZ324" s="51">
        <f t="shared" si="719"/>
        <v>10770091171.000204</v>
      </c>
    </row>
    <row r="325" spans="1:208" s="711" customFormat="1" ht="83.25" customHeight="1" x14ac:dyDescent="0.2">
      <c r="A325" s="703"/>
      <c r="B325" s="703"/>
      <c r="C325" s="682" t="s">
        <v>947</v>
      </c>
      <c r="D325" s="908" t="s">
        <v>237</v>
      </c>
      <c r="E325" s="621" t="s">
        <v>238</v>
      </c>
      <c r="F325" s="621" t="s">
        <v>239</v>
      </c>
      <c r="G325" s="897">
        <v>214</v>
      </c>
      <c r="H325" s="909" t="s">
        <v>742</v>
      </c>
      <c r="I325" s="909" t="s">
        <v>743</v>
      </c>
      <c r="J325" s="682" t="s">
        <v>744</v>
      </c>
      <c r="K325" s="621">
        <v>18</v>
      </c>
      <c r="L325" s="621" t="s">
        <v>73</v>
      </c>
      <c r="M325" s="621" t="s">
        <v>53</v>
      </c>
      <c r="N325" s="621">
        <v>6</v>
      </c>
      <c r="O325" s="621">
        <v>1</v>
      </c>
      <c r="P325" s="893">
        <v>1</v>
      </c>
      <c r="Q325" s="621">
        <v>2</v>
      </c>
      <c r="R325" s="910">
        <v>1</v>
      </c>
      <c r="S325" s="893">
        <v>1</v>
      </c>
      <c r="T325" s="715">
        <v>2</v>
      </c>
      <c r="U325" s="715">
        <v>3</v>
      </c>
      <c r="V325" s="911">
        <v>2</v>
      </c>
      <c r="W325" s="715">
        <v>1</v>
      </c>
      <c r="X325" s="715"/>
      <c r="Y325" s="912"/>
      <c r="Z325" s="913">
        <f>BM325/$BM$324</f>
        <v>5.1418102431327425E-2</v>
      </c>
      <c r="AA325" s="682">
        <v>16</v>
      </c>
      <c r="AB325" s="682" t="s">
        <v>376</v>
      </c>
      <c r="AC325" s="831"/>
      <c r="AD325" s="831"/>
      <c r="AE325" s="818"/>
      <c r="AF325" s="818"/>
      <c r="AG325" s="831">
        <f>308196263.55-10000000</f>
        <v>298196263.55000001</v>
      </c>
      <c r="AH325" s="831">
        <v>298196263.55000001</v>
      </c>
      <c r="AI325" s="831">
        <v>24117720</v>
      </c>
      <c r="AJ325" s="831">
        <v>24117720</v>
      </c>
      <c r="AK325" s="831">
        <v>10000000</v>
      </c>
      <c r="AL325" s="831">
        <v>10000000</v>
      </c>
      <c r="AM325" s="831"/>
      <c r="AN325" s="831"/>
      <c r="AO325" s="831"/>
      <c r="AP325" s="831"/>
      <c r="AQ325" s="831"/>
      <c r="AR325" s="831"/>
      <c r="AS325" s="831"/>
      <c r="AT325" s="831"/>
      <c r="AU325" s="818"/>
      <c r="AV325" s="818"/>
      <c r="AW325" s="831"/>
      <c r="AX325" s="831"/>
      <c r="AY325" s="831"/>
      <c r="AZ325" s="831"/>
      <c r="BA325" s="831"/>
      <c r="BB325" s="831"/>
      <c r="BC325" s="831"/>
      <c r="BD325" s="831"/>
      <c r="BE325" s="831"/>
      <c r="BF325" s="831"/>
      <c r="BG325" s="818"/>
      <c r="BH325" s="818"/>
      <c r="BI325" s="831"/>
      <c r="BJ325" s="831"/>
      <c r="BK325" s="831"/>
      <c r="BL325" s="831"/>
      <c r="BM325" s="818">
        <f>+AC325+AG325+AK325+AO325+AS325+AW325+BA325+BE325+BI325</f>
        <v>308196263.55000001</v>
      </c>
      <c r="BN325" s="818">
        <f>AD325+AH325+AL325+AP325+AT325+AX325+BB325+BF325+BJ325</f>
        <v>308196263.55000001</v>
      </c>
      <c r="BO325" s="818">
        <f>AE325+AI325+AM325+AQ325+AU325+AY325+BC325+BG325+BK325</f>
        <v>24117720</v>
      </c>
      <c r="BP325" s="818">
        <f>AF325+AJ325+AN325+AR325+AV325+AZ325+BD325+BH325+BL325</f>
        <v>24117720</v>
      </c>
      <c r="BQ325" s="831"/>
      <c r="BR325" s="831"/>
      <c r="BS325" s="831"/>
      <c r="BT325" s="831"/>
      <c r="BU325" s="831">
        <v>49300000</v>
      </c>
      <c r="BV325" s="831"/>
      <c r="BW325" s="831"/>
      <c r="BX325" s="831"/>
      <c r="BY325" s="831"/>
      <c r="BZ325" s="831">
        <v>30000000</v>
      </c>
      <c r="CA325" s="831">
        <v>49300000</v>
      </c>
      <c r="CB325" s="831">
        <v>12649921</v>
      </c>
      <c r="CC325" s="831">
        <v>12649921</v>
      </c>
      <c r="CD325" s="831"/>
      <c r="CE325" s="831"/>
      <c r="CF325" s="831"/>
      <c r="CG325" s="831"/>
      <c r="CH325" s="831"/>
      <c r="CI325" s="831"/>
      <c r="CJ325" s="831"/>
      <c r="CK325" s="831"/>
      <c r="CL325" s="831"/>
      <c r="CM325" s="831"/>
      <c r="CN325" s="831"/>
      <c r="CO325" s="831"/>
      <c r="CP325" s="831"/>
      <c r="CQ325" s="831"/>
      <c r="CR325" s="831"/>
      <c r="CS325" s="831"/>
      <c r="CT325" s="831"/>
      <c r="CU325" s="831"/>
      <c r="CV325" s="831"/>
      <c r="CW325" s="831"/>
      <c r="CX325" s="831"/>
      <c r="CY325" s="831"/>
      <c r="CZ325" s="831"/>
      <c r="DA325" s="831"/>
      <c r="DB325" s="831"/>
      <c r="DC325" s="831"/>
      <c r="DD325" s="831"/>
      <c r="DE325" s="818">
        <f t="shared" ref="DE325:DH329" si="720">BQ325+BU325+BZ325+CE325+CI325+CM325+CQ325+CV325+DA325</f>
        <v>79300000</v>
      </c>
      <c r="DF325" s="818">
        <f t="shared" si="720"/>
        <v>49300000</v>
      </c>
      <c r="DG325" s="818">
        <f t="shared" si="720"/>
        <v>12649921</v>
      </c>
      <c r="DH325" s="818">
        <f t="shared" si="720"/>
        <v>12649921</v>
      </c>
      <c r="DI325" s="818"/>
      <c r="DJ325" s="831"/>
      <c r="DK325" s="831"/>
      <c r="DL325" s="831"/>
      <c r="DM325" s="831"/>
      <c r="DN325" s="831">
        <f>81930000-28000000</f>
        <v>53930000</v>
      </c>
      <c r="DO325" s="831"/>
      <c r="DP325" s="831"/>
      <c r="DQ325" s="831"/>
      <c r="DR325" s="831"/>
      <c r="DS325" s="831">
        <v>28000000</v>
      </c>
      <c r="DT325" s="831">
        <v>50000000</v>
      </c>
      <c r="DU325" s="831">
        <v>25990000</v>
      </c>
      <c r="DV325" s="831">
        <v>25990000</v>
      </c>
      <c r="DW325" s="831"/>
      <c r="DX325" s="706"/>
      <c r="DY325" s="706"/>
      <c r="DZ325" s="706"/>
      <c r="EA325" s="706"/>
      <c r="EB325" s="831"/>
      <c r="EC325" s="831"/>
      <c r="ED325" s="831"/>
      <c r="EE325" s="831"/>
      <c r="EF325" s="831"/>
      <c r="EG325" s="831"/>
      <c r="EH325" s="831"/>
      <c r="EI325" s="831"/>
      <c r="EJ325" s="831"/>
      <c r="EK325" s="831"/>
      <c r="EL325" s="831"/>
      <c r="EM325" s="831"/>
      <c r="EN325" s="831"/>
      <c r="EO325" s="831"/>
      <c r="EP325" s="831"/>
      <c r="EQ325" s="831"/>
      <c r="ER325" s="831"/>
      <c r="ES325" s="831"/>
      <c r="ET325" s="830"/>
      <c r="EU325" s="830"/>
      <c r="EV325" s="830"/>
      <c r="EW325" s="708">
        <f t="shared" ref="EW325:EX329" si="721">DJ325+DN325+DS325+DX325+EB325+EF325+EJ325+EN325+ES325</f>
        <v>81930000</v>
      </c>
      <c r="EX325" s="819">
        <f t="shared" si="721"/>
        <v>50000000</v>
      </c>
      <c r="EY325" s="819">
        <f t="shared" ref="EY325:EZ329" si="722">DL325+DP325+DU325+DZ325+ED325+EH325+EL325+EP325+EU325</f>
        <v>25990000</v>
      </c>
      <c r="EZ325" s="819">
        <f t="shared" si="722"/>
        <v>25990000</v>
      </c>
      <c r="FA325" s="820"/>
      <c r="FB325" s="830"/>
      <c r="FC325" s="831"/>
      <c r="FD325" s="831"/>
      <c r="FE325" s="831"/>
      <c r="FF325" s="914"/>
      <c r="FG325" s="831">
        <f>84300000-20000000</f>
        <v>64300000</v>
      </c>
      <c r="FH325" s="831">
        <v>20000000</v>
      </c>
      <c r="FI325" s="831"/>
      <c r="FJ325" s="831"/>
      <c r="FK325" s="831"/>
      <c r="FL325" s="831">
        <v>20000000</v>
      </c>
      <c r="FM325" s="831">
        <v>15000000</v>
      </c>
      <c r="FN325" s="831"/>
      <c r="FO325" s="831"/>
      <c r="FP325" s="831"/>
      <c r="FQ325" s="706"/>
      <c r="FR325" s="706"/>
      <c r="FS325" s="706"/>
      <c r="FT325" s="706"/>
      <c r="FU325" s="706"/>
      <c r="FV325" s="831"/>
      <c r="FW325" s="831"/>
      <c r="FX325" s="831"/>
      <c r="FY325" s="831"/>
      <c r="FZ325" s="831"/>
      <c r="GA325" s="831"/>
      <c r="GB325" s="831"/>
      <c r="GC325" s="831"/>
      <c r="GD325" s="831"/>
      <c r="GE325" s="831"/>
      <c r="GF325" s="831"/>
      <c r="GG325" s="831"/>
      <c r="GH325" s="831"/>
      <c r="GI325" s="831"/>
      <c r="GJ325" s="831"/>
      <c r="GK325" s="831"/>
      <c r="GL325" s="831"/>
      <c r="GM325" s="831"/>
      <c r="GN325" s="831"/>
      <c r="GO325" s="831"/>
      <c r="GP325" s="831"/>
      <c r="GQ325" s="830"/>
      <c r="GR325" s="830"/>
      <c r="GS325" s="830"/>
      <c r="GT325" s="830"/>
      <c r="GU325" s="708">
        <f>FB325+FG325+FL325+FQ325+FV325+GA325+GF325+GK325+GP325</f>
        <v>84300000</v>
      </c>
      <c r="GV325" s="708">
        <f t="shared" ref="GV325:GY329" si="723">GQ325+GL325+GG325+GB325+FW325+FR325+FM325+FH325+FC325</f>
        <v>35000000</v>
      </c>
      <c r="GW325" s="708">
        <f t="shared" si="723"/>
        <v>0</v>
      </c>
      <c r="GX325" s="708">
        <f t="shared" si="723"/>
        <v>0</v>
      </c>
      <c r="GY325" s="709">
        <f t="shared" si="723"/>
        <v>0</v>
      </c>
      <c r="GZ325" s="831">
        <f>BM325+DE325+EW325+GU325</f>
        <v>553726263.54999995</v>
      </c>
    </row>
    <row r="326" spans="1:208" s="711" customFormat="1" ht="113.25" customHeight="1" x14ac:dyDescent="0.2">
      <c r="A326" s="703"/>
      <c r="B326" s="703"/>
      <c r="C326" s="621">
        <v>32</v>
      </c>
      <c r="D326" s="676" t="s">
        <v>746</v>
      </c>
      <c r="E326" s="682" t="s">
        <v>251</v>
      </c>
      <c r="F326" s="714" t="s">
        <v>252</v>
      </c>
      <c r="G326" s="682">
        <v>215</v>
      </c>
      <c r="H326" s="826" t="s">
        <v>747</v>
      </c>
      <c r="I326" s="915" t="s">
        <v>748</v>
      </c>
      <c r="J326" s="916" t="s">
        <v>744</v>
      </c>
      <c r="K326" s="704">
        <v>18</v>
      </c>
      <c r="L326" s="704" t="s">
        <v>73</v>
      </c>
      <c r="M326" s="715">
        <v>10</v>
      </c>
      <c r="N326" s="715">
        <v>10</v>
      </c>
      <c r="O326" s="715">
        <v>2</v>
      </c>
      <c r="P326" s="911">
        <v>2</v>
      </c>
      <c r="Q326" s="715">
        <v>3</v>
      </c>
      <c r="R326" s="877"/>
      <c r="S326" s="911">
        <v>3</v>
      </c>
      <c r="T326" s="715">
        <v>3</v>
      </c>
      <c r="U326" s="715"/>
      <c r="V326" s="911">
        <v>3</v>
      </c>
      <c r="W326" s="715">
        <v>2</v>
      </c>
      <c r="X326" s="715"/>
      <c r="Y326" s="917">
        <v>2</v>
      </c>
      <c r="Z326" s="913">
        <f>BM326/$BM$324</f>
        <v>3.3367116031233551E-3</v>
      </c>
      <c r="AA326" s="827">
        <v>16</v>
      </c>
      <c r="AB326" s="827" t="s">
        <v>376</v>
      </c>
      <c r="AC326" s="880"/>
      <c r="AD326" s="880"/>
      <c r="AE326" s="881"/>
      <c r="AF326" s="881"/>
      <c r="AG326" s="918"/>
      <c r="AH326" s="880"/>
      <c r="AI326" s="880"/>
      <c r="AJ326" s="880"/>
      <c r="AK326" s="880">
        <v>20000000</v>
      </c>
      <c r="AL326" s="880">
        <v>20000000</v>
      </c>
      <c r="AM326" s="880">
        <v>20000000</v>
      </c>
      <c r="AN326" s="880">
        <v>20000000</v>
      </c>
      <c r="AO326" s="880"/>
      <c r="AP326" s="880"/>
      <c r="AQ326" s="880"/>
      <c r="AR326" s="880"/>
      <c r="AS326" s="880"/>
      <c r="AT326" s="880"/>
      <c r="AU326" s="881"/>
      <c r="AV326" s="881"/>
      <c r="AW326" s="880"/>
      <c r="AX326" s="880"/>
      <c r="AY326" s="880"/>
      <c r="AZ326" s="880"/>
      <c r="BA326" s="880"/>
      <c r="BB326" s="880"/>
      <c r="BC326" s="880"/>
      <c r="BD326" s="880"/>
      <c r="BE326" s="880"/>
      <c r="BF326" s="880"/>
      <c r="BG326" s="881"/>
      <c r="BH326" s="881"/>
      <c r="BI326" s="880"/>
      <c r="BJ326" s="880"/>
      <c r="BK326" s="880"/>
      <c r="BL326" s="880"/>
      <c r="BM326" s="882">
        <f>+AC326+AG326+AK326+AO326+AS326+AW326+BA326+BE326+BI326</f>
        <v>20000000</v>
      </c>
      <c r="BN326" s="881">
        <f t="shared" ref="BN326:BP329" si="724">AD326+AH326+AL326+AP326+AT326+AX326+BB326+BF326+BJ326</f>
        <v>20000000</v>
      </c>
      <c r="BO326" s="881">
        <f t="shared" si="724"/>
        <v>20000000</v>
      </c>
      <c r="BP326" s="881">
        <f t="shared" si="724"/>
        <v>20000000</v>
      </c>
      <c r="BQ326" s="919"/>
      <c r="BR326" s="919"/>
      <c r="BS326" s="919"/>
      <c r="BT326" s="919"/>
      <c r="BU326" s="883">
        <v>5100000</v>
      </c>
      <c r="BV326" s="919">
        <v>100000000</v>
      </c>
      <c r="BW326" s="919">
        <v>15000000</v>
      </c>
      <c r="BX326" s="919">
        <v>15000000</v>
      </c>
      <c r="BY326" s="919"/>
      <c r="BZ326" s="919"/>
      <c r="CA326" s="920">
        <v>5100000</v>
      </c>
      <c r="CB326" s="919"/>
      <c r="CC326" s="919"/>
      <c r="CD326" s="919"/>
      <c r="CE326" s="919"/>
      <c r="CF326" s="919"/>
      <c r="CG326" s="919"/>
      <c r="CH326" s="919"/>
      <c r="CI326" s="919"/>
      <c r="CJ326" s="919"/>
      <c r="CK326" s="919"/>
      <c r="CL326" s="919"/>
      <c r="CM326" s="919"/>
      <c r="CN326" s="919"/>
      <c r="CO326" s="919"/>
      <c r="CP326" s="919"/>
      <c r="CQ326" s="919"/>
      <c r="CR326" s="919"/>
      <c r="CS326" s="919"/>
      <c r="CT326" s="919"/>
      <c r="CU326" s="919"/>
      <c r="CV326" s="919"/>
      <c r="CW326" s="919"/>
      <c r="CX326" s="919"/>
      <c r="CY326" s="919"/>
      <c r="CZ326" s="919"/>
      <c r="DA326" s="919"/>
      <c r="DB326" s="919"/>
      <c r="DC326" s="919"/>
      <c r="DD326" s="919"/>
      <c r="DE326" s="885">
        <f t="shared" si="720"/>
        <v>5100000</v>
      </c>
      <c r="DF326" s="885">
        <f t="shared" si="720"/>
        <v>105100000</v>
      </c>
      <c r="DG326" s="885">
        <f t="shared" si="720"/>
        <v>15000000</v>
      </c>
      <c r="DH326" s="885">
        <f t="shared" si="720"/>
        <v>15000000</v>
      </c>
      <c r="DI326" s="886"/>
      <c r="DJ326" s="883"/>
      <c r="DK326" s="883"/>
      <c r="DL326" s="883"/>
      <c r="DM326" s="883"/>
      <c r="DN326" s="921">
        <v>5300000</v>
      </c>
      <c r="DO326" s="883"/>
      <c r="DP326" s="883"/>
      <c r="DQ326" s="883"/>
      <c r="DR326" s="883"/>
      <c r="DS326" s="883"/>
      <c r="DT326" s="883">
        <v>70000000</v>
      </c>
      <c r="DU326" s="883"/>
      <c r="DV326" s="883"/>
      <c r="DW326" s="883"/>
      <c r="DX326" s="883"/>
      <c r="DY326" s="883"/>
      <c r="DZ326" s="883"/>
      <c r="EA326" s="883"/>
      <c r="EB326" s="883"/>
      <c r="EC326" s="883"/>
      <c r="ED326" s="883"/>
      <c r="EE326" s="883"/>
      <c r="EF326" s="883"/>
      <c r="EG326" s="883"/>
      <c r="EH326" s="883"/>
      <c r="EI326" s="883"/>
      <c r="EJ326" s="883"/>
      <c r="EK326" s="883"/>
      <c r="EL326" s="883"/>
      <c r="EM326" s="883"/>
      <c r="EN326" s="883"/>
      <c r="EO326" s="883"/>
      <c r="EP326" s="883"/>
      <c r="EQ326" s="883"/>
      <c r="ER326" s="883"/>
      <c r="ES326" s="883"/>
      <c r="ET326" s="919"/>
      <c r="EU326" s="919"/>
      <c r="EV326" s="919"/>
      <c r="EW326" s="708">
        <f t="shared" si="721"/>
        <v>5300000</v>
      </c>
      <c r="EX326" s="819">
        <f t="shared" si="721"/>
        <v>70000000</v>
      </c>
      <c r="EY326" s="819">
        <f t="shared" si="722"/>
        <v>0</v>
      </c>
      <c r="EZ326" s="819">
        <f t="shared" si="722"/>
        <v>0</v>
      </c>
      <c r="FA326" s="922"/>
      <c r="FB326" s="923"/>
      <c r="FC326" s="706"/>
      <c r="FD326" s="706"/>
      <c r="FE326" s="706"/>
      <c r="FF326" s="924"/>
      <c r="FG326" s="923">
        <v>5470000</v>
      </c>
      <c r="FH326" s="923"/>
      <c r="FI326" s="923"/>
      <c r="FJ326" s="923"/>
      <c r="FK326" s="923"/>
      <c r="FL326" s="923"/>
      <c r="FM326" s="923">
        <v>15000000</v>
      </c>
      <c r="FN326" s="923">
        <v>14332000</v>
      </c>
      <c r="FO326" s="923">
        <v>14332000</v>
      </c>
      <c r="FP326" s="923"/>
      <c r="FQ326" s="923"/>
      <c r="FR326" s="923"/>
      <c r="FS326" s="923"/>
      <c r="FT326" s="923"/>
      <c r="FU326" s="923"/>
      <c r="FV326" s="923"/>
      <c r="FW326" s="923"/>
      <c r="FX326" s="923"/>
      <c r="FY326" s="923"/>
      <c r="FZ326" s="923"/>
      <c r="GA326" s="923"/>
      <c r="GB326" s="923"/>
      <c r="GC326" s="923"/>
      <c r="GD326" s="923"/>
      <c r="GE326" s="923"/>
      <c r="GF326" s="923"/>
      <c r="GG326" s="923"/>
      <c r="GH326" s="923"/>
      <c r="GI326" s="923"/>
      <c r="GJ326" s="923"/>
      <c r="GK326" s="923"/>
      <c r="GL326" s="923"/>
      <c r="GM326" s="923"/>
      <c r="GN326" s="923"/>
      <c r="GO326" s="923"/>
      <c r="GP326" s="923"/>
      <c r="GQ326" s="923"/>
      <c r="GR326" s="923"/>
      <c r="GS326" s="923"/>
      <c r="GT326" s="923"/>
      <c r="GU326" s="708">
        <f>FB326+FG326+FL326+FQ326+FV326+GA326+GF326+GK326+GP326</f>
        <v>5470000</v>
      </c>
      <c r="GV326" s="708">
        <f t="shared" si="723"/>
        <v>15000000</v>
      </c>
      <c r="GW326" s="708">
        <f t="shared" si="723"/>
        <v>14332000</v>
      </c>
      <c r="GX326" s="708">
        <f t="shared" si="723"/>
        <v>14332000</v>
      </c>
      <c r="GY326" s="709">
        <f t="shared" si="723"/>
        <v>0</v>
      </c>
      <c r="GZ326" s="890">
        <f>BM326+DE326+EW326+GU326</f>
        <v>35870000</v>
      </c>
    </row>
    <row r="327" spans="1:208" s="711" customFormat="1" ht="72.75" customHeight="1" x14ac:dyDescent="0.2">
      <c r="A327" s="703"/>
      <c r="B327" s="703"/>
      <c r="C327" s="621">
        <v>10</v>
      </c>
      <c r="D327" s="908" t="s">
        <v>237</v>
      </c>
      <c r="E327" s="621" t="s">
        <v>238</v>
      </c>
      <c r="F327" s="621" t="s">
        <v>239</v>
      </c>
      <c r="G327" s="897">
        <v>216</v>
      </c>
      <c r="H327" s="1005" t="s">
        <v>749</v>
      </c>
      <c r="I327" s="1005" t="s">
        <v>750</v>
      </c>
      <c r="J327" s="916" t="s">
        <v>744</v>
      </c>
      <c r="K327" s="704">
        <v>18</v>
      </c>
      <c r="L327" s="995" t="s">
        <v>73</v>
      </c>
      <c r="M327" s="897" t="s">
        <v>751</v>
      </c>
      <c r="N327" s="897">
        <v>6</v>
      </c>
      <c r="O327" s="621">
        <v>1</v>
      </c>
      <c r="P327" s="893">
        <v>6.0000000000000001E-3</v>
      </c>
      <c r="Q327" s="621">
        <v>2</v>
      </c>
      <c r="R327" s="925">
        <v>2.9940000000000002</v>
      </c>
      <c r="S327" s="893">
        <v>2</v>
      </c>
      <c r="T327" s="621">
        <v>2</v>
      </c>
      <c r="U327" s="621"/>
      <c r="V327" s="893">
        <v>0</v>
      </c>
      <c r="W327" s="621">
        <v>1</v>
      </c>
      <c r="X327" s="621">
        <v>1.994</v>
      </c>
      <c r="Y327" s="851">
        <v>0</v>
      </c>
      <c r="Z327" s="899">
        <f>BM327/$BM$324</f>
        <v>0.49749746629765751</v>
      </c>
      <c r="AA327" s="897">
        <v>16</v>
      </c>
      <c r="AB327" s="897" t="s">
        <v>376</v>
      </c>
      <c r="AC327" s="831"/>
      <c r="AD327" s="831"/>
      <c r="AE327" s="818"/>
      <c r="AF327" s="818"/>
      <c r="AG327" s="830">
        <v>2981962635.5</v>
      </c>
      <c r="AH327" s="831">
        <v>2984962457.5</v>
      </c>
      <c r="AI327" s="831">
        <v>9116666</v>
      </c>
      <c r="AJ327" s="831">
        <v>9116666</v>
      </c>
      <c r="AK327" s="831"/>
      <c r="AL327" s="831">
        <v>50000000</v>
      </c>
      <c r="AM327" s="831">
        <v>10000000</v>
      </c>
      <c r="AN327" s="831">
        <v>10000000</v>
      </c>
      <c r="AO327" s="831"/>
      <c r="AP327" s="831"/>
      <c r="AQ327" s="831"/>
      <c r="AR327" s="831"/>
      <c r="AS327" s="831"/>
      <c r="AT327" s="831"/>
      <c r="AU327" s="818"/>
      <c r="AV327" s="818"/>
      <c r="AW327" s="831"/>
      <c r="AX327" s="831"/>
      <c r="AY327" s="831"/>
      <c r="AZ327" s="831"/>
      <c r="BA327" s="831"/>
      <c r="BB327" s="831"/>
      <c r="BC327" s="831"/>
      <c r="BD327" s="831"/>
      <c r="BE327" s="831"/>
      <c r="BF327" s="831"/>
      <c r="BG327" s="818"/>
      <c r="BH327" s="818"/>
      <c r="BI327" s="831"/>
      <c r="BJ327" s="831"/>
      <c r="BK327" s="831"/>
      <c r="BL327" s="831"/>
      <c r="BM327" s="817">
        <f>+AC327+AG327+AK327+AO327+AS327+AW327+BA327+BE327+BI327</f>
        <v>2981962635.5</v>
      </c>
      <c r="BN327" s="818">
        <f t="shared" si="724"/>
        <v>3034962457.5</v>
      </c>
      <c r="BO327" s="818">
        <f t="shared" si="724"/>
        <v>19116666</v>
      </c>
      <c r="BP327" s="818">
        <f t="shared" si="724"/>
        <v>19116666</v>
      </c>
      <c r="BQ327" s="926"/>
      <c r="BR327" s="926"/>
      <c r="BS327" s="926"/>
      <c r="BT327" s="926"/>
      <c r="BU327" s="928">
        <v>767600000</v>
      </c>
      <c r="BV327" s="926">
        <f>2280000000+50000000</f>
        <v>2330000000</v>
      </c>
      <c r="BW327" s="926">
        <v>49882223</v>
      </c>
      <c r="BX327" s="926">
        <v>49882223</v>
      </c>
      <c r="BY327" s="926"/>
      <c r="BZ327" s="926"/>
      <c r="CA327" s="706">
        <v>233243203.10000002</v>
      </c>
      <c r="CB327" s="667">
        <v>28101812</v>
      </c>
      <c r="CC327" s="706">
        <v>28101812</v>
      </c>
      <c r="CD327" s="926"/>
      <c r="CE327" s="926"/>
      <c r="CF327" s="926"/>
      <c r="CG327" s="926"/>
      <c r="CH327" s="926"/>
      <c r="CI327" s="926"/>
      <c r="CJ327" s="926"/>
      <c r="CK327" s="926"/>
      <c r="CL327" s="926"/>
      <c r="CM327" s="926"/>
      <c r="CN327" s="926"/>
      <c r="CO327" s="926"/>
      <c r="CP327" s="926"/>
      <c r="CQ327" s="926"/>
      <c r="CR327" s="926"/>
      <c r="CS327" s="926"/>
      <c r="CT327" s="926"/>
      <c r="CU327" s="926"/>
      <c r="CV327" s="926"/>
      <c r="CW327" s="926"/>
      <c r="CX327" s="926"/>
      <c r="CY327" s="926"/>
      <c r="CZ327" s="926"/>
      <c r="DA327" s="926"/>
      <c r="DB327" s="926"/>
      <c r="DC327" s="926"/>
      <c r="DD327" s="926"/>
      <c r="DE327" s="708">
        <f t="shared" si="720"/>
        <v>767600000</v>
      </c>
      <c r="DF327" s="708">
        <f t="shared" si="720"/>
        <v>2563243203.0999999</v>
      </c>
      <c r="DG327" s="708">
        <f t="shared" si="720"/>
        <v>77984035</v>
      </c>
      <c r="DH327" s="708">
        <f t="shared" si="720"/>
        <v>77984035</v>
      </c>
      <c r="DI327" s="927"/>
      <c r="DJ327" s="928"/>
      <c r="DK327" s="928"/>
      <c r="DL327" s="928"/>
      <c r="DM327" s="928"/>
      <c r="DN327" s="706">
        <v>792700000</v>
      </c>
      <c r="DO327" s="928">
        <v>635000000</v>
      </c>
      <c r="DP327" s="928"/>
      <c r="DQ327" s="928"/>
      <c r="DR327" s="928"/>
      <c r="DS327" s="928"/>
      <c r="DT327" s="928">
        <v>150000000</v>
      </c>
      <c r="DU327" s="928"/>
      <c r="DV327" s="928"/>
      <c r="DW327" s="928"/>
      <c r="DX327" s="928"/>
      <c r="DY327" s="928"/>
      <c r="DZ327" s="928"/>
      <c r="EA327" s="928"/>
      <c r="EB327" s="928"/>
      <c r="EC327" s="928"/>
      <c r="ED327" s="928"/>
      <c r="EE327" s="928"/>
      <c r="EF327" s="928"/>
      <c r="EG327" s="928"/>
      <c r="EH327" s="928"/>
      <c r="EI327" s="928"/>
      <c r="EJ327" s="928"/>
      <c r="EK327" s="928"/>
      <c r="EL327" s="928"/>
      <c r="EM327" s="928"/>
      <c r="EN327" s="928"/>
      <c r="EO327" s="928"/>
      <c r="EP327" s="928"/>
      <c r="EQ327" s="928"/>
      <c r="ER327" s="928"/>
      <c r="ES327" s="928"/>
      <c r="ET327" s="926"/>
      <c r="EU327" s="926"/>
      <c r="EV327" s="926"/>
      <c r="EW327" s="708">
        <f t="shared" si="721"/>
        <v>792700000</v>
      </c>
      <c r="EX327" s="819">
        <f t="shared" si="721"/>
        <v>785000000</v>
      </c>
      <c r="EY327" s="819">
        <f t="shared" si="722"/>
        <v>0</v>
      </c>
      <c r="EZ327" s="819">
        <f t="shared" si="722"/>
        <v>0</v>
      </c>
      <c r="FA327" s="820"/>
      <c r="FB327" s="667"/>
      <c r="FC327" s="706"/>
      <c r="FD327" s="706"/>
      <c r="FE327" s="706"/>
      <c r="FF327" s="707"/>
      <c r="FG327" s="667">
        <v>815700000</v>
      </c>
      <c r="FH327" s="667">
        <v>1115000000</v>
      </c>
      <c r="FI327" s="667"/>
      <c r="FJ327" s="667"/>
      <c r="FK327" s="667"/>
      <c r="FL327" s="667"/>
      <c r="FM327" s="667">
        <v>25000000</v>
      </c>
      <c r="FN327" s="667"/>
      <c r="FO327" s="667"/>
      <c r="FP327" s="667"/>
      <c r="FQ327" s="667"/>
      <c r="FR327" s="667"/>
      <c r="FS327" s="667"/>
      <c r="FT327" s="667"/>
      <c r="FU327" s="667"/>
      <c r="FV327" s="667"/>
      <c r="FW327" s="667"/>
      <c r="FX327" s="667"/>
      <c r="FY327" s="667"/>
      <c r="FZ327" s="667"/>
      <c r="GA327" s="667"/>
      <c r="GB327" s="667"/>
      <c r="GC327" s="667"/>
      <c r="GD327" s="667"/>
      <c r="GE327" s="667"/>
      <c r="GF327" s="667"/>
      <c r="GG327" s="667"/>
      <c r="GH327" s="667"/>
      <c r="GI327" s="667"/>
      <c r="GJ327" s="667"/>
      <c r="GK327" s="667"/>
      <c r="GL327" s="667"/>
      <c r="GM327" s="667"/>
      <c r="GN327" s="667"/>
      <c r="GO327" s="667"/>
      <c r="GP327" s="667"/>
      <c r="GQ327" s="667"/>
      <c r="GR327" s="667"/>
      <c r="GS327" s="667"/>
      <c r="GT327" s="667"/>
      <c r="GU327" s="708">
        <f>FB327+FG327+FL327+FQ327+FV327+GA327+GF327+GK327+GP327</f>
        <v>815700000</v>
      </c>
      <c r="GV327" s="708">
        <f t="shared" si="723"/>
        <v>1140000000</v>
      </c>
      <c r="GW327" s="708">
        <f t="shared" si="723"/>
        <v>0</v>
      </c>
      <c r="GX327" s="708">
        <f t="shared" si="723"/>
        <v>0</v>
      </c>
      <c r="GY327" s="709">
        <f t="shared" si="723"/>
        <v>0</v>
      </c>
      <c r="GZ327" s="710">
        <f>BM327+DE327+EW327+GU327</f>
        <v>5357962635.5</v>
      </c>
    </row>
    <row r="328" spans="1:208" s="711" customFormat="1" ht="104.25" customHeight="1" x14ac:dyDescent="0.2">
      <c r="A328" s="703"/>
      <c r="B328" s="703"/>
      <c r="C328" s="822">
        <v>12</v>
      </c>
      <c r="D328" s="862" t="s">
        <v>745</v>
      </c>
      <c r="E328" s="822">
        <v>3166</v>
      </c>
      <c r="F328" s="822">
        <v>2500</v>
      </c>
      <c r="G328" s="682">
        <v>217</v>
      </c>
      <c r="H328" s="676" t="s">
        <v>752</v>
      </c>
      <c r="I328" s="676" t="s">
        <v>753</v>
      </c>
      <c r="J328" s="916" t="s">
        <v>744</v>
      </c>
      <c r="K328" s="704">
        <v>18</v>
      </c>
      <c r="L328" s="995" t="s">
        <v>58</v>
      </c>
      <c r="M328" s="682" t="s">
        <v>751</v>
      </c>
      <c r="N328" s="682">
        <v>5</v>
      </c>
      <c r="O328" s="621">
        <v>5</v>
      </c>
      <c r="P328" s="893">
        <v>4</v>
      </c>
      <c r="Q328" s="621">
        <v>5</v>
      </c>
      <c r="R328" s="814"/>
      <c r="S328" s="893">
        <v>5</v>
      </c>
      <c r="T328" s="621">
        <v>5</v>
      </c>
      <c r="U328" s="621"/>
      <c r="V328" s="893">
        <v>5</v>
      </c>
      <c r="W328" s="621">
        <v>5</v>
      </c>
      <c r="X328" s="621"/>
      <c r="Y328" s="929">
        <v>0.2</v>
      </c>
      <c r="Z328" s="899">
        <f>BM328/$BM$324</f>
        <v>0.29849847977859451</v>
      </c>
      <c r="AA328" s="682">
        <v>16</v>
      </c>
      <c r="AB328" s="682" t="s">
        <v>376</v>
      </c>
      <c r="AC328" s="831"/>
      <c r="AD328" s="831"/>
      <c r="AE328" s="818"/>
      <c r="AF328" s="818"/>
      <c r="AG328" s="830">
        <v>1789177581.3</v>
      </c>
      <c r="AH328" s="831">
        <v>1792177403.3</v>
      </c>
      <c r="AI328" s="831">
        <v>348384276</v>
      </c>
      <c r="AJ328" s="831">
        <v>325407646</v>
      </c>
      <c r="AK328" s="831"/>
      <c r="AL328" s="831"/>
      <c r="AM328" s="831"/>
      <c r="AN328" s="831"/>
      <c r="AO328" s="831"/>
      <c r="AP328" s="831"/>
      <c r="AQ328" s="831"/>
      <c r="AR328" s="831"/>
      <c r="AS328" s="831"/>
      <c r="AT328" s="831"/>
      <c r="AU328" s="818"/>
      <c r="AV328" s="818"/>
      <c r="AW328" s="831"/>
      <c r="AX328" s="831"/>
      <c r="AY328" s="831"/>
      <c r="AZ328" s="831"/>
      <c r="BA328" s="831"/>
      <c r="BB328" s="831"/>
      <c r="BC328" s="831"/>
      <c r="BD328" s="831"/>
      <c r="BE328" s="831"/>
      <c r="BF328" s="831"/>
      <c r="BG328" s="818"/>
      <c r="BH328" s="818"/>
      <c r="BI328" s="831"/>
      <c r="BJ328" s="831"/>
      <c r="BK328" s="831"/>
      <c r="BL328" s="831"/>
      <c r="BM328" s="817">
        <f>+AC328+AG328+AK328+AO328+AS328+AW328+BA328+BE328+BI328</f>
        <v>1789177581.3</v>
      </c>
      <c r="BN328" s="818">
        <f t="shared" si="724"/>
        <v>1792177403.3</v>
      </c>
      <c r="BO328" s="818">
        <f t="shared" si="724"/>
        <v>348384276</v>
      </c>
      <c r="BP328" s="818">
        <f t="shared" si="724"/>
        <v>325407646</v>
      </c>
      <c r="BQ328" s="926"/>
      <c r="BR328" s="926"/>
      <c r="BS328" s="926"/>
      <c r="BT328" s="926"/>
      <c r="BU328" s="928">
        <v>460500000</v>
      </c>
      <c r="BV328" s="926">
        <v>5023631612</v>
      </c>
      <c r="BW328" s="926">
        <v>3617938627</v>
      </c>
      <c r="BX328" s="926">
        <v>3617938627</v>
      </c>
      <c r="BY328" s="926"/>
      <c r="BZ328" s="926"/>
      <c r="CA328" s="836">
        <v>770500000</v>
      </c>
      <c r="CB328" s="836">
        <v>663829188</v>
      </c>
      <c r="CC328" s="836">
        <v>535001949</v>
      </c>
      <c r="CD328" s="930"/>
      <c r="CE328" s="926"/>
      <c r="CF328" s="926"/>
      <c r="CG328" s="926"/>
      <c r="CH328" s="926"/>
      <c r="CI328" s="926"/>
      <c r="CJ328" s="926"/>
      <c r="CK328" s="926"/>
      <c r="CL328" s="926"/>
      <c r="CM328" s="926"/>
      <c r="CN328" s="926"/>
      <c r="CO328" s="926"/>
      <c r="CP328" s="926"/>
      <c r="CQ328" s="926"/>
      <c r="CR328" s="926"/>
      <c r="CS328" s="926"/>
      <c r="CT328" s="926"/>
      <c r="CU328" s="926"/>
      <c r="CV328" s="926"/>
      <c r="CW328" s="926"/>
      <c r="CX328" s="926"/>
      <c r="CY328" s="926"/>
      <c r="CZ328" s="926"/>
      <c r="DA328" s="926"/>
      <c r="DB328" s="926"/>
      <c r="DC328" s="926"/>
      <c r="DD328" s="926"/>
      <c r="DE328" s="708">
        <f t="shared" si="720"/>
        <v>460500000</v>
      </c>
      <c r="DF328" s="708">
        <f t="shared" si="720"/>
        <v>5794131612</v>
      </c>
      <c r="DG328" s="708">
        <f t="shared" si="720"/>
        <v>4281767815</v>
      </c>
      <c r="DH328" s="708">
        <f t="shared" si="720"/>
        <v>4152940576</v>
      </c>
      <c r="DI328" s="927"/>
      <c r="DJ328" s="928"/>
      <c r="DK328" s="928"/>
      <c r="DL328" s="928"/>
      <c r="DM328" s="928"/>
      <c r="DN328" s="706">
        <v>475600000</v>
      </c>
      <c r="DO328" s="928">
        <v>3039835512.3800001</v>
      </c>
      <c r="DP328" s="928">
        <v>782972342</v>
      </c>
      <c r="DQ328" s="928">
        <v>776072342</v>
      </c>
      <c r="DR328" s="928"/>
      <c r="DS328" s="928"/>
      <c r="DT328" s="928">
        <v>1301559012</v>
      </c>
      <c r="DU328" s="928">
        <v>405542433</v>
      </c>
      <c r="DV328" s="928">
        <v>405542433</v>
      </c>
      <c r="DW328" s="928">
        <v>128827239</v>
      </c>
      <c r="DX328" s="928"/>
      <c r="DY328" s="928"/>
      <c r="DZ328" s="928"/>
      <c r="EA328" s="928"/>
      <c r="EB328" s="928"/>
      <c r="EC328" s="928"/>
      <c r="ED328" s="928"/>
      <c r="EE328" s="928"/>
      <c r="EF328" s="928"/>
      <c r="EG328" s="928"/>
      <c r="EH328" s="928"/>
      <c r="EI328" s="928"/>
      <c r="EJ328" s="928"/>
      <c r="EK328" s="928"/>
      <c r="EL328" s="928"/>
      <c r="EM328" s="928"/>
      <c r="EN328" s="928"/>
      <c r="EO328" s="928"/>
      <c r="EP328" s="928"/>
      <c r="EQ328" s="928"/>
      <c r="ER328" s="928"/>
      <c r="ES328" s="928"/>
      <c r="ET328" s="926"/>
      <c r="EU328" s="926"/>
      <c r="EV328" s="926"/>
      <c r="EW328" s="708">
        <f t="shared" si="721"/>
        <v>475600000</v>
      </c>
      <c r="EX328" s="819">
        <f t="shared" si="721"/>
        <v>4341394524.3800001</v>
      </c>
      <c r="EY328" s="819">
        <f t="shared" si="722"/>
        <v>1188514775</v>
      </c>
      <c r="EZ328" s="819">
        <f t="shared" si="722"/>
        <v>1181614775</v>
      </c>
      <c r="FA328" s="820">
        <f>DW328</f>
        <v>128827239</v>
      </c>
      <c r="FB328" s="667"/>
      <c r="FC328" s="706"/>
      <c r="FD328" s="706"/>
      <c r="FE328" s="706"/>
      <c r="FF328" s="707"/>
      <c r="FG328" s="667">
        <v>489400000</v>
      </c>
      <c r="FH328" s="667">
        <v>2593623337</v>
      </c>
      <c r="FI328" s="667">
        <v>297595500</v>
      </c>
      <c r="FJ328" s="667">
        <v>104797750</v>
      </c>
      <c r="FK328" s="667"/>
      <c r="FL328" s="667"/>
      <c r="FM328" s="667">
        <v>2760000000</v>
      </c>
      <c r="FN328" s="667">
        <v>727502496</v>
      </c>
      <c r="FO328" s="667">
        <v>34642366</v>
      </c>
      <c r="FP328" s="667"/>
      <c r="FQ328" s="667"/>
      <c r="FR328" s="667"/>
      <c r="FS328" s="667"/>
      <c r="FT328" s="667"/>
      <c r="FU328" s="667"/>
      <c r="FV328" s="667"/>
      <c r="FW328" s="667"/>
      <c r="FX328" s="667"/>
      <c r="FY328" s="667"/>
      <c r="FZ328" s="667"/>
      <c r="GA328" s="667"/>
      <c r="GB328" s="667"/>
      <c r="GC328" s="667"/>
      <c r="GD328" s="667"/>
      <c r="GE328" s="667"/>
      <c r="GF328" s="667"/>
      <c r="GG328" s="667"/>
      <c r="GH328" s="667"/>
      <c r="GI328" s="667"/>
      <c r="GJ328" s="667"/>
      <c r="GK328" s="667"/>
      <c r="GL328" s="667"/>
      <c r="GM328" s="667"/>
      <c r="GN328" s="667"/>
      <c r="GO328" s="667"/>
      <c r="GP328" s="667"/>
      <c r="GQ328" s="667"/>
      <c r="GR328" s="667"/>
      <c r="GS328" s="667"/>
      <c r="GT328" s="667"/>
      <c r="GU328" s="708">
        <f>FB328+FG328+FL328+FQ328+FV328+GA328+GF328+GK328+GP328</f>
        <v>489400000</v>
      </c>
      <c r="GV328" s="708">
        <f t="shared" si="723"/>
        <v>5353623337</v>
      </c>
      <c r="GW328" s="708">
        <f t="shared" si="723"/>
        <v>1025097996</v>
      </c>
      <c r="GX328" s="708">
        <f t="shared" si="723"/>
        <v>139440116</v>
      </c>
      <c r="GY328" s="709">
        <f t="shared" si="723"/>
        <v>0</v>
      </c>
      <c r="GZ328" s="710">
        <f>BM328+DE328+EW328+GU328</f>
        <v>3214677581.3000002</v>
      </c>
    </row>
    <row r="329" spans="1:208" ht="81.75" customHeight="1" x14ac:dyDescent="0.2">
      <c r="A329" s="326"/>
      <c r="B329" s="326"/>
      <c r="C329" s="277"/>
      <c r="D329" s="536"/>
      <c r="E329" s="306"/>
      <c r="F329" s="306"/>
      <c r="G329" s="265">
        <v>218</v>
      </c>
      <c r="H329" s="261" t="s">
        <v>754</v>
      </c>
      <c r="I329" s="275" t="s">
        <v>755</v>
      </c>
      <c r="J329" s="345" t="s">
        <v>744</v>
      </c>
      <c r="K329" s="505">
        <v>18</v>
      </c>
      <c r="L329" s="456" t="s">
        <v>58</v>
      </c>
      <c r="M329" s="288">
        <v>3</v>
      </c>
      <c r="N329" s="288">
        <v>3</v>
      </c>
      <c r="O329" s="417">
        <v>3</v>
      </c>
      <c r="P329" s="418">
        <v>2</v>
      </c>
      <c r="Q329" s="456">
        <v>3</v>
      </c>
      <c r="R329" s="268"/>
      <c r="S329" s="388">
        <v>3</v>
      </c>
      <c r="T329" s="288">
        <v>3</v>
      </c>
      <c r="U329" s="288"/>
      <c r="V329" s="389">
        <v>3</v>
      </c>
      <c r="W329" s="456">
        <v>3</v>
      </c>
      <c r="X329" s="456"/>
      <c r="Y329" s="648">
        <v>3</v>
      </c>
      <c r="Z329" s="508">
        <f>BM329/$BM$324</f>
        <v>0.14924923988929725</v>
      </c>
      <c r="AA329" s="264">
        <v>16</v>
      </c>
      <c r="AB329" s="264" t="s">
        <v>376</v>
      </c>
      <c r="AC329" s="58"/>
      <c r="AD329" s="58"/>
      <c r="AE329" s="59"/>
      <c r="AF329" s="59"/>
      <c r="AG329" s="57">
        <v>894588790.64999998</v>
      </c>
      <c r="AH329" s="55">
        <v>894588790.64999998</v>
      </c>
      <c r="AI329" s="58">
        <v>75183333</v>
      </c>
      <c r="AJ329" s="58">
        <v>75183333</v>
      </c>
      <c r="AK329" s="58"/>
      <c r="AL329" s="58"/>
      <c r="AM329" s="58"/>
      <c r="AN329" s="58"/>
      <c r="AO329" s="58"/>
      <c r="AP329" s="58"/>
      <c r="AQ329" s="58"/>
      <c r="AR329" s="58"/>
      <c r="AS329" s="58"/>
      <c r="AT329" s="58"/>
      <c r="AU329" s="59"/>
      <c r="AV329" s="59"/>
      <c r="AW329" s="58"/>
      <c r="AX329" s="58"/>
      <c r="AY329" s="58"/>
      <c r="AZ329" s="58"/>
      <c r="BA329" s="58"/>
      <c r="BB329" s="58"/>
      <c r="BC329" s="58"/>
      <c r="BD329" s="58"/>
      <c r="BE329" s="58"/>
      <c r="BF329" s="58"/>
      <c r="BG329" s="59"/>
      <c r="BH329" s="59"/>
      <c r="BI329" s="58"/>
      <c r="BJ329" s="58"/>
      <c r="BK329" s="58"/>
      <c r="BL329" s="58"/>
      <c r="BM329" s="53">
        <f>+AC329+AG329+AK329+AO329+AS329+AW329+BA329+BE329+BI329</f>
        <v>894588790.64999998</v>
      </c>
      <c r="BN329" s="54">
        <f t="shared" si="724"/>
        <v>894588790.64999998</v>
      </c>
      <c r="BO329" s="54">
        <f t="shared" si="724"/>
        <v>75183333</v>
      </c>
      <c r="BP329" s="54">
        <f t="shared" si="724"/>
        <v>75183333</v>
      </c>
      <c r="BQ329" s="113"/>
      <c r="BR329" s="113"/>
      <c r="BS329" s="113"/>
      <c r="BT329" s="113"/>
      <c r="BU329" s="106">
        <v>230500000</v>
      </c>
      <c r="BV329" s="113">
        <v>55000000</v>
      </c>
      <c r="BW329" s="113">
        <v>22783330</v>
      </c>
      <c r="BX329" s="113">
        <v>22783330</v>
      </c>
      <c r="BY329" s="113"/>
      <c r="BZ329" s="113"/>
      <c r="CA329" s="113">
        <v>200500000</v>
      </c>
      <c r="CB329" s="113">
        <v>182833330</v>
      </c>
      <c r="CC329" s="113">
        <v>182833330</v>
      </c>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81">
        <f t="shared" si="720"/>
        <v>230500000</v>
      </c>
      <c r="DF329" s="95">
        <f t="shared" si="720"/>
        <v>255500000</v>
      </c>
      <c r="DG329" s="95">
        <f t="shared" si="720"/>
        <v>205616660</v>
      </c>
      <c r="DH329" s="95">
        <f t="shared" si="720"/>
        <v>205616660</v>
      </c>
      <c r="DI329" s="112"/>
      <c r="DJ329" s="106"/>
      <c r="DK329" s="169"/>
      <c r="DL329" s="106"/>
      <c r="DM329" s="106"/>
      <c r="DN329" s="84">
        <f>237800000+200000</f>
        <v>238000000</v>
      </c>
      <c r="DO329" s="106"/>
      <c r="DP329" s="106"/>
      <c r="DQ329" s="106"/>
      <c r="DR329" s="106"/>
      <c r="DS329" s="106"/>
      <c r="DT329" s="84">
        <v>260000000</v>
      </c>
      <c r="DU329" s="106">
        <v>197027326.63999999</v>
      </c>
      <c r="DV329" s="106">
        <v>197027326.63999999</v>
      </c>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13"/>
      <c r="EU329" s="113"/>
      <c r="EV329" s="113"/>
      <c r="EW329" s="81">
        <f t="shared" si="721"/>
        <v>238000000</v>
      </c>
      <c r="EX329" s="86">
        <f t="shared" si="721"/>
        <v>260000000</v>
      </c>
      <c r="EY329" s="86">
        <f t="shared" si="722"/>
        <v>197027326.63999999</v>
      </c>
      <c r="EZ329" s="86">
        <f t="shared" si="722"/>
        <v>197027326.63999999</v>
      </c>
      <c r="FA329" s="176"/>
      <c r="FB329" s="83"/>
      <c r="FC329" s="84"/>
      <c r="FD329" s="84"/>
      <c r="FE329" s="84"/>
      <c r="FF329" s="140"/>
      <c r="FG329" s="83">
        <v>244765900.00020379</v>
      </c>
      <c r="FH329" s="83">
        <v>75000000</v>
      </c>
      <c r="FI329" s="83">
        <v>70284600</v>
      </c>
      <c r="FJ329" s="83"/>
      <c r="FK329" s="83"/>
      <c r="FL329" s="83"/>
      <c r="FM329" s="83">
        <v>49600000</v>
      </c>
      <c r="FN329" s="83">
        <v>41562000</v>
      </c>
      <c r="FO329" s="83">
        <v>41562000</v>
      </c>
      <c r="FP329" s="83"/>
      <c r="FQ329" s="83"/>
      <c r="FR329" s="83"/>
      <c r="FS329" s="83"/>
      <c r="FT329" s="83"/>
      <c r="FU329" s="83"/>
      <c r="FV329" s="83"/>
      <c r="FW329" s="83"/>
      <c r="FX329" s="83"/>
      <c r="FY329" s="83"/>
      <c r="FZ329" s="83"/>
      <c r="GA329" s="83"/>
      <c r="GB329" s="83"/>
      <c r="GC329" s="83"/>
      <c r="GD329" s="83"/>
      <c r="GE329" s="83"/>
      <c r="GF329" s="83"/>
      <c r="GG329" s="83"/>
      <c r="GH329" s="83"/>
      <c r="GI329" s="83"/>
      <c r="GJ329" s="83"/>
      <c r="GK329" s="83"/>
      <c r="GL329" s="83"/>
      <c r="GM329" s="83"/>
      <c r="GN329" s="83"/>
      <c r="GO329" s="83"/>
      <c r="GP329" s="83"/>
      <c r="GQ329" s="83"/>
      <c r="GR329" s="83"/>
      <c r="GS329" s="83"/>
      <c r="GT329" s="83"/>
      <c r="GU329" s="81">
        <f>FB329+FG329+FL329+FQ329+FV329+GA329+GF329+GK329+GP329</f>
        <v>244765900.00020379</v>
      </c>
      <c r="GV329" s="81">
        <f t="shared" si="723"/>
        <v>124600000</v>
      </c>
      <c r="GW329" s="81">
        <f t="shared" si="723"/>
        <v>111846600</v>
      </c>
      <c r="GX329" s="81">
        <f t="shared" si="723"/>
        <v>41562000</v>
      </c>
      <c r="GY329" s="673">
        <f t="shared" si="723"/>
        <v>0</v>
      </c>
      <c r="GZ329" s="67">
        <f>BM329+DE329+EW329+GU329</f>
        <v>1607854690.6502039</v>
      </c>
    </row>
    <row r="330" spans="1:208" ht="29.25" customHeight="1" x14ac:dyDescent="0.2">
      <c r="A330" s="326"/>
      <c r="B330" s="326"/>
      <c r="C330" s="246">
        <v>76</v>
      </c>
      <c r="D330" s="247" t="s">
        <v>756</v>
      </c>
      <c r="E330" s="250"/>
      <c r="F330" s="250"/>
      <c r="G330" s="251"/>
      <c r="H330" s="251"/>
      <c r="I330" s="251"/>
      <c r="J330" s="251"/>
      <c r="K330" s="251"/>
      <c r="L330" s="251"/>
      <c r="M330" s="251"/>
      <c r="N330" s="251"/>
      <c r="O330" s="251"/>
      <c r="P330" s="251"/>
      <c r="Q330" s="251"/>
      <c r="R330" s="251"/>
      <c r="S330" s="251"/>
      <c r="T330" s="251"/>
      <c r="U330" s="251"/>
      <c r="V330" s="251"/>
      <c r="W330" s="251"/>
      <c r="X330" s="251"/>
      <c r="Y330" s="252"/>
      <c r="Z330" s="251"/>
      <c r="AA330" s="251"/>
      <c r="AB330" s="251"/>
      <c r="AC330" s="51">
        <f t="shared" ref="AC330:BL330" si="725">SUM(AC331:AC334)</f>
        <v>0</v>
      </c>
      <c r="AD330" s="51">
        <f t="shared" si="725"/>
        <v>0</v>
      </c>
      <c r="AE330" s="51">
        <f t="shared" si="725"/>
        <v>0</v>
      </c>
      <c r="AF330" s="51">
        <f t="shared" si="725"/>
        <v>0</v>
      </c>
      <c r="AG330" s="51">
        <f t="shared" si="725"/>
        <v>0</v>
      </c>
      <c r="AH330" s="51">
        <f t="shared" si="725"/>
        <v>0</v>
      </c>
      <c r="AI330" s="51">
        <f t="shared" si="725"/>
        <v>0</v>
      </c>
      <c r="AJ330" s="51">
        <f t="shared" si="725"/>
        <v>0</v>
      </c>
      <c r="AK330" s="51">
        <f t="shared" si="725"/>
        <v>30000000</v>
      </c>
      <c r="AL330" s="51">
        <f t="shared" si="725"/>
        <v>250000000</v>
      </c>
      <c r="AM330" s="51">
        <f t="shared" si="725"/>
        <v>191527329</v>
      </c>
      <c r="AN330" s="51">
        <f t="shared" si="725"/>
        <v>166027329</v>
      </c>
      <c r="AO330" s="51">
        <f t="shared" si="725"/>
        <v>0</v>
      </c>
      <c r="AP330" s="51">
        <f t="shared" si="725"/>
        <v>0</v>
      </c>
      <c r="AQ330" s="51">
        <f t="shared" si="725"/>
        <v>0</v>
      </c>
      <c r="AR330" s="51">
        <f t="shared" si="725"/>
        <v>0</v>
      </c>
      <c r="AS330" s="51">
        <f t="shared" si="725"/>
        <v>0</v>
      </c>
      <c r="AT330" s="51">
        <f t="shared" si="725"/>
        <v>0</v>
      </c>
      <c r="AU330" s="51">
        <f t="shared" si="725"/>
        <v>0</v>
      </c>
      <c r="AV330" s="51">
        <f t="shared" si="725"/>
        <v>0</v>
      </c>
      <c r="AW330" s="51">
        <f t="shared" si="725"/>
        <v>0</v>
      </c>
      <c r="AX330" s="51">
        <f t="shared" si="725"/>
        <v>0</v>
      </c>
      <c r="AY330" s="51">
        <f t="shared" si="725"/>
        <v>0</v>
      </c>
      <c r="AZ330" s="51">
        <f t="shared" si="725"/>
        <v>0</v>
      </c>
      <c r="BA330" s="51">
        <f t="shared" si="725"/>
        <v>0</v>
      </c>
      <c r="BB330" s="51">
        <f t="shared" si="725"/>
        <v>0</v>
      </c>
      <c r="BC330" s="51">
        <f t="shared" si="725"/>
        <v>0</v>
      </c>
      <c r="BD330" s="51">
        <f t="shared" si="725"/>
        <v>0</v>
      </c>
      <c r="BE330" s="51">
        <f t="shared" si="725"/>
        <v>0</v>
      </c>
      <c r="BF330" s="51">
        <f t="shared" si="725"/>
        <v>0</v>
      </c>
      <c r="BG330" s="51">
        <f t="shared" si="725"/>
        <v>0</v>
      </c>
      <c r="BH330" s="51">
        <f t="shared" si="725"/>
        <v>0</v>
      </c>
      <c r="BI330" s="51">
        <f t="shared" si="725"/>
        <v>1000000000</v>
      </c>
      <c r="BJ330" s="51">
        <f t="shared" si="725"/>
        <v>0</v>
      </c>
      <c r="BK330" s="51">
        <f t="shared" si="725"/>
        <v>0</v>
      </c>
      <c r="BL330" s="51">
        <f t="shared" si="725"/>
        <v>0</v>
      </c>
      <c r="BM330" s="51">
        <f t="shared" ref="BM330:DX330" si="726">SUM(BM331:BM334)</f>
        <v>1030000000</v>
      </c>
      <c r="BN330" s="51">
        <f t="shared" si="726"/>
        <v>250000000</v>
      </c>
      <c r="BO330" s="51">
        <f t="shared" si="726"/>
        <v>191527329</v>
      </c>
      <c r="BP330" s="51">
        <f t="shared" si="726"/>
        <v>166027329</v>
      </c>
      <c r="BQ330" s="51">
        <f t="shared" si="726"/>
        <v>0</v>
      </c>
      <c r="BR330" s="51">
        <f t="shared" si="726"/>
        <v>0</v>
      </c>
      <c r="BS330" s="51">
        <f t="shared" si="726"/>
        <v>0</v>
      </c>
      <c r="BT330" s="51">
        <f t="shared" si="726"/>
        <v>0</v>
      </c>
      <c r="BU330" s="51">
        <f t="shared" si="726"/>
        <v>238000000</v>
      </c>
      <c r="BV330" s="51">
        <f t="shared" si="726"/>
        <v>0</v>
      </c>
      <c r="BW330" s="51">
        <f t="shared" si="726"/>
        <v>0</v>
      </c>
      <c r="BX330" s="51">
        <f t="shared" si="726"/>
        <v>0</v>
      </c>
      <c r="BY330" s="51">
        <f t="shared" si="726"/>
        <v>0</v>
      </c>
      <c r="BZ330" s="51">
        <f t="shared" si="726"/>
        <v>30000000</v>
      </c>
      <c r="CA330" s="51">
        <f t="shared" si="726"/>
        <v>638000000</v>
      </c>
      <c r="CB330" s="51">
        <f t="shared" si="726"/>
        <v>494170565</v>
      </c>
      <c r="CC330" s="51">
        <f t="shared" si="726"/>
        <v>492170565</v>
      </c>
      <c r="CD330" s="51">
        <f t="shared" si="726"/>
        <v>0</v>
      </c>
      <c r="CE330" s="51">
        <f t="shared" si="726"/>
        <v>0</v>
      </c>
      <c r="CF330" s="51">
        <f t="shared" si="726"/>
        <v>0</v>
      </c>
      <c r="CG330" s="51">
        <f t="shared" si="726"/>
        <v>0</v>
      </c>
      <c r="CH330" s="51">
        <f t="shared" si="726"/>
        <v>0</v>
      </c>
      <c r="CI330" s="51">
        <f t="shared" si="726"/>
        <v>0</v>
      </c>
      <c r="CJ330" s="51">
        <f t="shared" si="726"/>
        <v>0</v>
      </c>
      <c r="CK330" s="51">
        <f t="shared" si="726"/>
        <v>0</v>
      </c>
      <c r="CL330" s="51">
        <f t="shared" si="726"/>
        <v>0</v>
      </c>
      <c r="CM330" s="51">
        <f t="shared" si="726"/>
        <v>0</v>
      </c>
      <c r="CN330" s="51">
        <f t="shared" si="726"/>
        <v>0</v>
      </c>
      <c r="CO330" s="51">
        <f t="shared" si="726"/>
        <v>0</v>
      </c>
      <c r="CP330" s="51">
        <f t="shared" si="726"/>
        <v>0</v>
      </c>
      <c r="CQ330" s="51">
        <f t="shared" si="726"/>
        <v>0</v>
      </c>
      <c r="CR330" s="51">
        <f t="shared" si="726"/>
        <v>0</v>
      </c>
      <c r="CS330" s="51">
        <f t="shared" si="726"/>
        <v>0</v>
      </c>
      <c r="CT330" s="51">
        <f t="shared" si="726"/>
        <v>0</v>
      </c>
      <c r="CU330" s="51">
        <f t="shared" si="726"/>
        <v>0</v>
      </c>
      <c r="CV330" s="51">
        <f t="shared" si="726"/>
        <v>0</v>
      </c>
      <c r="CW330" s="51">
        <f t="shared" si="726"/>
        <v>0</v>
      </c>
      <c r="CX330" s="51">
        <f t="shared" si="726"/>
        <v>0</v>
      </c>
      <c r="CY330" s="51">
        <f t="shared" si="726"/>
        <v>0</v>
      </c>
      <c r="CZ330" s="51">
        <f t="shared" si="726"/>
        <v>0</v>
      </c>
      <c r="DA330" s="51">
        <f t="shared" si="726"/>
        <v>1000000000</v>
      </c>
      <c r="DB330" s="51">
        <f t="shared" si="726"/>
        <v>0</v>
      </c>
      <c r="DC330" s="51">
        <f t="shared" si="726"/>
        <v>0</v>
      </c>
      <c r="DD330" s="51">
        <f t="shared" si="726"/>
        <v>0</v>
      </c>
      <c r="DE330" s="51">
        <f t="shared" si="726"/>
        <v>1268000000</v>
      </c>
      <c r="DF330" s="51">
        <f t="shared" si="726"/>
        <v>638000000</v>
      </c>
      <c r="DG330" s="51">
        <f t="shared" si="726"/>
        <v>494170565</v>
      </c>
      <c r="DH330" s="51">
        <f t="shared" si="726"/>
        <v>492170565</v>
      </c>
      <c r="DI330" s="51">
        <f t="shared" si="726"/>
        <v>0</v>
      </c>
      <c r="DJ330" s="51">
        <f t="shared" si="726"/>
        <v>0</v>
      </c>
      <c r="DK330" s="51">
        <f t="shared" si="726"/>
        <v>0</v>
      </c>
      <c r="DL330" s="51">
        <f t="shared" si="726"/>
        <v>0</v>
      </c>
      <c r="DM330" s="51">
        <f t="shared" si="726"/>
        <v>0</v>
      </c>
      <c r="DN330" s="51">
        <f t="shared" si="726"/>
        <v>250000000</v>
      </c>
      <c r="DO330" s="51">
        <f t="shared" si="726"/>
        <v>580000000</v>
      </c>
      <c r="DP330" s="51">
        <f t="shared" si="726"/>
        <v>324346623</v>
      </c>
      <c r="DQ330" s="51">
        <f t="shared" si="726"/>
        <v>324346623</v>
      </c>
      <c r="DR330" s="51">
        <f t="shared" si="726"/>
        <v>0</v>
      </c>
      <c r="DS330" s="51">
        <f t="shared" si="726"/>
        <v>18000000</v>
      </c>
      <c r="DT330" s="51">
        <f t="shared" si="726"/>
        <v>818561488</v>
      </c>
      <c r="DU330" s="51">
        <f t="shared" si="726"/>
        <v>680620662</v>
      </c>
      <c r="DV330" s="51">
        <f t="shared" si="726"/>
        <v>676034262</v>
      </c>
      <c r="DW330" s="51">
        <f t="shared" si="726"/>
        <v>0</v>
      </c>
      <c r="DX330" s="51">
        <f t="shared" si="726"/>
        <v>0</v>
      </c>
      <c r="DY330" s="51">
        <f t="shared" ref="DY330:EW330" si="727">SUM(DY331:DY334)</f>
        <v>0</v>
      </c>
      <c r="DZ330" s="51">
        <f t="shared" si="727"/>
        <v>0</v>
      </c>
      <c r="EA330" s="51">
        <f t="shared" si="727"/>
        <v>0</v>
      </c>
      <c r="EB330" s="51">
        <f t="shared" si="727"/>
        <v>0</v>
      </c>
      <c r="EC330" s="51">
        <f t="shared" si="727"/>
        <v>0</v>
      </c>
      <c r="ED330" s="51">
        <f t="shared" si="727"/>
        <v>0</v>
      </c>
      <c r="EE330" s="51">
        <f t="shared" si="727"/>
        <v>0</v>
      </c>
      <c r="EF330" s="51">
        <f t="shared" si="727"/>
        <v>0</v>
      </c>
      <c r="EG330" s="51">
        <f t="shared" si="727"/>
        <v>0</v>
      </c>
      <c r="EH330" s="51">
        <f t="shared" si="727"/>
        <v>0</v>
      </c>
      <c r="EI330" s="51">
        <f t="shared" si="727"/>
        <v>0</v>
      </c>
      <c r="EJ330" s="51">
        <f t="shared" si="727"/>
        <v>0</v>
      </c>
      <c r="EK330" s="51">
        <f t="shared" si="727"/>
        <v>0</v>
      </c>
      <c r="EL330" s="51">
        <f t="shared" si="727"/>
        <v>0</v>
      </c>
      <c r="EM330" s="51">
        <f t="shared" si="727"/>
        <v>0</v>
      </c>
      <c r="EN330" s="51">
        <f t="shared" si="727"/>
        <v>0</v>
      </c>
      <c r="EO330" s="51">
        <f t="shared" si="727"/>
        <v>0</v>
      </c>
      <c r="EP330" s="51">
        <f t="shared" si="727"/>
        <v>0</v>
      </c>
      <c r="EQ330" s="51">
        <f t="shared" si="727"/>
        <v>0</v>
      </c>
      <c r="ER330" s="51">
        <f t="shared" si="727"/>
        <v>0</v>
      </c>
      <c r="ES330" s="51">
        <f t="shared" si="727"/>
        <v>1000000000</v>
      </c>
      <c r="ET330" s="51">
        <f t="shared" si="727"/>
        <v>0</v>
      </c>
      <c r="EU330" s="51">
        <f t="shared" si="727"/>
        <v>0</v>
      </c>
      <c r="EV330" s="51">
        <f t="shared" si="727"/>
        <v>0</v>
      </c>
      <c r="EW330" s="51">
        <f t="shared" si="727"/>
        <v>1268000000</v>
      </c>
      <c r="EX330" s="51">
        <f t="shared" ref="EX330:GZ330" si="728">SUM(EX331:EX334)</f>
        <v>1398561488</v>
      </c>
      <c r="EY330" s="51">
        <f t="shared" si="728"/>
        <v>1004967285</v>
      </c>
      <c r="EZ330" s="51">
        <f t="shared" si="728"/>
        <v>1000380885</v>
      </c>
      <c r="FA330" s="51">
        <f t="shared" si="728"/>
        <v>0</v>
      </c>
      <c r="FB330" s="51">
        <f t="shared" si="728"/>
        <v>0</v>
      </c>
      <c r="FC330" s="51">
        <f t="shared" si="728"/>
        <v>0</v>
      </c>
      <c r="FD330" s="51">
        <f t="shared" si="728"/>
        <v>0</v>
      </c>
      <c r="FE330" s="51">
        <f t="shared" si="728"/>
        <v>0</v>
      </c>
      <c r="FF330" s="51">
        <f t="shared" si="728"/>
        <v>0</v>
      </c>
      <c r="FG330" s="51">
        <f t="shared" si="728"/>
        <v>250000000</v>
      </c>
      <c r="FH330" s="51">
        <f t="shared" si="728"/>
        <v>529968837</v>
      </c>
      <c r="FI330" s="51">
        <f t="shared" si="728"/>
        <v>281720126</v>
      </c>
      <c r="FJ330" s="51">
        <f t="shared" si="728"/>
        <v>104757332</v>
      </c>
      <c r="FK330" s="51">
        <f t="shared" si="728"/>
        <v>0</v>
      </c>
      <c r="FL330" s="51">
        <f t="shared" si="728"/>
        <v>18000000</v>
      </c>
      <c r="FM330" s="51">
        <f t="shared" si="728"/>
        <v>188870000</v>
      </c>
      <c r="FN330" s="51">
        <f t="shared" si="728"/>
        <v>154218849</v>
      </c>
      <c r="FO330" s="51">
        <f t="shared" si="728"/>
        <v>147743683</v>
      </c>
      <c r="FP330" s="51">
        <f t="shared" si="728"/>
        <v>0</v>
      </c>
      <c r="FQ330" s="51">
        <f t="shared" si="728"/>
        <v>0</v>
      </c>
      <c r="FR330" s="51">
        <f t="shared" si="728"/>
        <v>0</v>
      </c>
      <c r="FS330" s="51">
        <f t="shared" si="728"/>
        <v>0</v>
      </c>
      <c r="FT330" s="51">
        <f t="shared" si="728"/>
        <v>0</v>
      </c>
      <c r="FU330" s="51">
        <f t="shared" si="728"/>
        <v>0</v>
      </c>
      <c r="FV330" s="51">
        <f t="shared" si="728"/>
        <v>0</v>
      </c>
      <c r="FW330" s="51">
        <f t="shared" si="728"/>
        <v>0</v>
      </c>
      <c r="FX330" s="51">
        <f t="shared" si="728"/>
        <v>0</v>
      </c>
      <c r="FY330" s="51">
        <f t="shared" si="728"/>
        <v>0</v>
      </c>
      <c r="FZ330" s="51">
        <f t="shared" si="728"/>
        <v>0</v>
      </c>
      <c r="GA330" s="51">
        <f t="shared" si="728"/>
        <v>0</v>
      </c>
      <c r="GB330" s="51">
        <f t="shared" si="728"/>
        <v>0</v>
      </c>
      <c r="GC330" s="51">
        <f t="shared" si="728"/>
        <v>0</v>
      </c>
      <c r="GD330" s="51">
        <f t="shared" si="728"/>
        <v>0</v>
      </c>
      <c r="GE330" s="51">
        <f t="shared" si="728"/>
        <v>0</v>
      </c>
      <c r="GF330" s="51">
        <f t="shared" si="728"/>
        <v>0</v>
      </c>
      <c r="GG330" s="51">
        <f t="shared" si="728"/>
        <v>0</v>
      </c>
      <c r="GH330" s="51">
        <f t="shared" si="728"/>
        <v>0</v>
      </c>
      <c r="GI330" s="51">
        <f t="shared" si="728"/>
        <v>0</v>
      </c>
      <c r="GJ330" s="51">
        <f t="shared" si="728"/>
        <v>0</v>
      </c>
      <c r="GK330" s="51">
        <f t="shared" si="728"/>
        <v>0</v>
      </c>
      <c r="GL330" s="51">
        <f t="shared" si="728"/>
        <v>0</v>
      </c>
      <c r="GM330" s="51">
        <f t="shared" si="728"/>
        <v>0</v>
      </c>
      <c r="GN330" s="51">
        <f t="shared" si="728"/>
        <v>0</v>
      </c>
      <c r="GO330" s="51">
        <f t="shared" si="728"/>
        <v>0</v>
      </c>
      <c r="GP330" s="51">
        <f t="shared" si="728"/>
        <v>1000000000</v>
      </c>
      <c r="GQ330" s="51">
        <f t="shared" si="728"/>
        <v>0</v>
      </c>
      <c r="GR330" s="51">
        <f t="shared" si="728"/>
        <v>0</v>
      </c>
      <c r="GS330" s="51">
        <f t="shared" si="728"/>
        <v>0</v>
      </c>
      <c r="GT330" s="51">
        <f t="shared" si="728"/>
        <v>0</v>
      </c>
      <c r="GU330" s="51">
        <f t="shared" si="728"/>
        <v>1268000000</v>
      </c>
      <c r="GV330" s="51">
        <f t="shared" si="728"/>
        <v>718838837</v>
      </c>
      <c r="GW330" s="51">
        <f t="shared" si="728"/>
        <v>435938975</v>
      </c>
      <c r="GX330" s="51">
        <f t="shared" si="728"/>
        <v>252501015</v>
      </c>
      <c r="GY330" s="51">
        <f t="shared" si="728"/>
        <v>0</v>
      </c>
      <c r="GZ330" s="51">
        <f t="shared" si="728"/>
        <v>4834000000</v>
      </c>
    </row>
    <row r="331" spans="1:208" ht="203.25" customHeight="1" x14ac:dyDescent="0.2">
      <c r="A331" s="326"/>
      <c r="B331" s="326"/>
      <c r="C331" s="288">
        <v>13</v>
      </c>
      <c r="D331" s="459" t="s">
        <v>757</v>
      </c>
      <c r="E331" s="259" t="s">
        <v>541</v>
      </c>
      <c r="F331" s="619" t="s">
        <v>542</v>
      </c>
      <c r="G331" s="265">
        <v>219</v>
      </c>
      <c r="H331" s="261" t="s">
        <v>758</v>
      </c>
      <c r="I331" s="275" t="s">
        <v>759</v>
      </c>
      <c r="J331" s="345" t="s">
        <v>744</v>
      </c>
      <c r="K331" s="505">
        <v>18</v>
      </c>
      <c r="L331" s="462" t="s">
        <v>73</v>
      </c>
      <c r="M331" s="288" t="s">
        <v>53</v>
      </c>
      <c r="N331" s="288">
        <v>36</v>
      </c>
      <c r="O331" s="537">
        <v>3</v>
      </c>
      <c r="P331" s="538">
        <v>3</v>
      </c>
      <c r="Q331" s="539">
        <v>11</v>
      </c>
      <c r="R331" s="268"/>
      <c r="S331" s="430">
        <v>11</v>
      </c>
      <c r="T331" s="539">
        <v>11</v>
      </c>
      <c r="U331" s="539"/>
      <c r="V331" s="430">
        <v>14</v>
      </c>
      <c r="W331" s="539">
        <v>11</v>
      </c>
      <c r="X331" s="539"/>
      <c r="Y331" s="430">
        <v>7</v>
      </c>
      <c r="Z331" s="540">
        <f>BM331/$BM$330</f>
        <v>1.2135922330097087E-2</v>
      </c>
      <c r="AA331" s="264">
        <v>16</v>
      </c>
      <c r="AB331" s="264" t="s">
        <v>376</v>
      </c>
      <c r="AC331" s="55"/>
      <c r="AD331" s="55"/>
      <c r="AE331" s="54"/>
      <c r="AF331" s="54"/>
      <c r="AG331" s="55"/>
      <c r="AH331" s="55"/>
      <c r="AI331" s="55"/>
      <c r="AJ331" s="55"/>
      <c r="AK331" s="58">
        <v>12500000</v>
      </c>
      <c r="AL331" s="55">
        <v>12500000</v>
      </c>
      <c r="AM331" s="58">
        <v>9664000</v>
      </c>
      <c r="AN331" s="58">
        <v>9664000</v>
      </c>
      <c r="AO331" s="58"/>
      <c r="AP331" s="58"/>
      <c r="AQ331" s="58"/>
      <c r="AR331" s="55"/>
      <c r="AS331" s="55"/>
      <c r="AT331" s="55"/>
      <c r="AU331" s="54"/>
      <c r="AV331" s="54"/>
      <c r="AW331" s="55"/>
      <c r="AX331" s="55"/>
      <c r="AY331" s="55"/>
      <c r="AZ331" s="55"/>
      <c r="BA331" s="55"/>
      <c r="BB331" s="55"/>
      <c r="BC331" s="55"/>
      <c r="BD331" s="55"/>
      <c r="BE331" s="55"/>
      <c r="BF331" s="55"/>
      <c r="BG331" s="54"/>
      <c r="BH331" s="54"/>
      <c r="BI331" s="55"/>
      <c r="BJ331" s="55"/>
      <c r="BK331" s="55"/>
      <c r="BL331" s="55"/>
      <c r="BM331" s="53">
        <f>+AC331+AG331+AK331+AO331+AS331+AW331+BA331+BE331+BI331</f>
        <v>12500000</v>
      </c>
      <c r="BN331" s="54">
        <f t="shared" ref="BN331:BP334" si="729">AD331+AH331+AL331+AP331+AT331+AX331+BB331+BF331+BJ331</f>
        <v>12500000</v>
      </c>
      <c r="BO331" s="54">
        <f t="shared" si="729"/>
        <v>9664000</v>
      </c>
      <c r="BP331" s="54">
        <f t="shared" si="729"/>
        <v>9664000</v>
      </c>
      <c r="BQ331" s="83"/>
      <c r="BR331" s="83"/>
      <c r="BS331" s="83"/>
      <c r="BT331" s="83"/>
      <c r="BU331" s="84">
        <v>111600000</v>
      </c>
      <c r="BV331" s="83"/>
      <c r="BW331" s="83"/>
      <c r="BX331" s="83"/>
      <c r="BY331" s="83"/>
      <c r="BZ331" s="83"/>
      <c r="CA331" s="83">
        <v>201600000</v>
      </c>
      <c r="CB331" s="83">
        <v>160719971</v>
      </c>
      <c r="CC331" s="83">
        <v>160719971</v>
      </c>
      <c r="CD331" s="83"/>
      <c r="CE331" s="83"/>
      <c r="CF331" s="83"/>
      <c r="CG331" s="83"/>
      <c r="CH331" s="83"/>
      <c r="CI331" s="83"/>
      <c r="CJ331" s="83"/>
      <c r="CK331" s="83"/>
      <c r="CL331" s="83"/>
      <c r="CM331" s="83"/>
      <c r="CN331" s="83"/>
      <c r="CO331" s="83"/>
      <c r="CP331" s="83"/>
      <c r="CQ331" s="83"/>
      <c r="CR331" s="83"/>
      <c r="CS331" s="83"/>
      <c r="CT331" s="83"/>
      <c r="CU331" s="83"/>
      <c r="CV331" s="83"/>
      <c r="CW331" s="83"/>
      <c r="CX331" s="83"/>
      <c r="CY331" s="83"/>
      <c r="CZ331" s="83"/>
      <c r="DA331" s="83"/>
      <c r="DB331" s="83"/>
      <c r="DC331" s="83"/>
      <c r="DD331" s="83"/>
      <c r="DE331" s="81">
        <f t="shared" ref="DE331:DH334" si="730">BQ331+BU331+BZ331+CE331+CI331+CM331+CQ331+CV331+DA331</f>
        <v>111600000</v>
      </c>
      <c r="DF331" s="95">
        <f t="shared" si="730"/>
        <v>201600000</v>
      </c>
      <c r="DG331" s="95">
        <f t="shared" si="730"/>
        <v>160719971</v>
      </c>
      <c r="DH331" s="95">
        <f t="shared" si="730"/>
        <v>160719971</v>
      </c>
      <c r="DI331" s="95"/>
      <c r="DJ331" s="84"/>
      <c r="DK331" s="65"/>
      <c r="DL331" s="84"/>
      <c r="DM331" s="84"/>
      <c r="DN331" s="84">
        <v>111600000</v>
      </c>
      <c r="DO331" s="82">
        <v>250000000</v>
      </c>
      <c r="DP331" s="83">
        <v>121616659</v>
      </c>
      <c r="DQ331" s="83">
        <v>121616659</v>
      </c>
      <c r="DR331" s="83"/>
      <c r="DS331" s="83"/>
      <c r="DT331" s="184">
        <v>261961488</v>
      </c>
      <c r="DU331" s="83">
        <v>246400000</v>
      </c>
      <c r="DV331" s="83">
        <v>246400000</v>
      </c>
      <c r="DW331" s="83"/>
      <c r="DX331" s="83"/>
      <c r="DY331" s="83"/>
      <c r="DZ331" s="83"/>
      <c r="EA331" s="83"/>
      <c r="EB331" s="84"/>
      <c r="EC331" s="84"/>
      <c r="ED331" s="84"/>
      <c r="EE331" s="84"/>
      <c r="EF331" s="84"/>
      <c r="EG331" s="84"/>
      <c r="EH331" s="84"/>
      <c r="EI331" s="84"/>
      <c r="EJ331" s="84"/>
      <c r="EK331" s="84"/>
      <c r="EL331" s="84"/>
      <c r="EM331" s="84"/>
      <c r="EN331" s="84"/>
      <c r="EO331" s="84"/>
      <c r="EP331" s="84"/>
      <c r="EQ331" s="84"/>
      <c r="ER331" s="84"/>
      <c r="ES331" s="84"/>
      <c r="ET331" s="83"/>
      <c r="EU331" s="83"/>
      <c r="EV331" s="83"/>
      <c r="EW331" s="81">
        <f t="shared" ref="EW331:EX334" si="731">DJ331+DN331+DS331+DX331+EB331+EF331+EJ331+EN331+ES331</f>
        <v>111600000</v>
      </c>
      <c r="EX331" s="85">
        <f t="shared" si="731"/>
        <v>511961488</v>
      </c>
      <c r="EY331" s="86">
        <f t="shared" ref="EY331:EZ334" si="732">DL331+DP331+DU331+DZ331+ED331+EH331+EL331+EP331+EU331</f>
        <v>368016659</v>
      </c>
      <c r="EZ331" s="86">
        <f t="shared" si="732"/>
        <v>368016659</v>
      </c>
      <c r="FA331" s="176"/>
      <c r="FB331" s="83"/>
      <c r="FC331" s="84"/>
      <c r="FD331" s="84"/>
      <c r="FE331" s="84"/>
      <c r="FF331" s="140"/>
      <c r="FG331" s="84">
        <v>111600000</v>
      </c>
      <c r="FH331" s="83">
        <v>248530115</v>
      </c>
      <c r="FI331" s="83">
        <v>147641999</v>
      </c>
      <c r="FJ331" s="83">
        <v>44715333</v>
      </c>
      <c r="FK331" s="83"/>
      <c r="FL331" s="83"/>
      <c r="FM331" s="83">
        <v>100000000</v>
      </c>
      <c r="FN331" s="83">
        <v>81653617</v>
      </c>
      <c r="FO331" s="83">
        <v>80386951</v>
      </c>
      <c r="FP331" s="83"/>
      <c r="FQ331" s="83"/>
      <c r="FR331" s="83"/>
      <c r="FS331" s="83"/>
      <c r="FT331" s="83"/>
      <c r="FU331" s="83"/>
      <c r="FV331" s="83"/>
      <c r="FW331" s="83"/>
      <c r="FX331" s="83"/>
      <c r="FY331" s="83"/>
      <c r="FZ331" s="83"/>
      <c r="GA331" s="83"/>
      <c r="GB331" s="83"/>
      <c r="GC331" s="83"/>
      <c r="GD331" s="83"/>
      <c r="GE331" s="83"/>
      <c r="GF331" s="83"/>
      <c r="GG331" s="83"/>
      <c r="GH331" s="83"/>
      <c r="GI331" s="83"/>
      <c r="GJ331" s="83"/>
      <c r="GK331" s="83"/>
      <c r="GL331" s="83"/>
      <c r="GM331" s="83"/>
      <c r="GN331" s="83"/>
      <c r="GO331" s="83"/>
      <c r="GP331" s="83"/>
      <c r="GQ331" s="83"/>
      <c r="GR331" s="83"/>
      <c r="GS331" s="83"/>
      <c r="GT331" s="83"/>
      <c r="GU331" s="81">
        <f>FB331+FG331+FL331+FQ331+FV331+GA331+GF331+GK331+GP331</f>
        <v>111600000</v>
      </c>
      <c r="GV331" s="81">
        <f t="shared" ref="GV331:GY334" si="733">GQ331+GL331+GG331+GB331+FW331+FR331+FM331+FH331+FC331</f>
        <v>348530115</v>
      </c>
      <c r="GW331" s="81">
        <f t="shared" si="733"/>
        <v>229295616</v>
      </c>
      <c r="GX331" s="81">
        <f t="shared" si="733"/>
        <v>125102284</v>
      </c>
      <c r="GY331" s="673">
        <f t="shared" si="733"/>
        <v>0</v>
      </c>
      <c r="GZ331" s="67">
        <f>BM331+DE331+EW331+GU331</f>
        <v>347300000</v>
      </c>
    </row>
    <row r="332" spans="1:208" s="711" customFormat="1" ht="144.75" customHeight="1" x14ac:dyDescent="0.2">
      <c r="A332" s="703"/>
      <c r="B332" s="703"/>
      <c r="C332" s="621">
        <v>10</v>
      </c>
      <c r="D332" s="908" t="s">
        <v>237</v>
      </c>
      <c r="E332" s="621" t="s">
        <v>238</v>
      </c>
      <c r="F332" s="621" t="s">
        <v>239</v>
      </c>
      <c r="G332" s="682">
        <v>220</v>
      </c>
      <c r="H332" s="676" t="s">
        <v>760</v>
      </c>
      <c r="I332" s="821" t="s">
        <v>761</v>
      </c>
      <c r="J332" s="916" t="s">
        <v>744</v>
      </c>
      <c r="K332" s="704">
        <v>18</v>
      </c>
      <c r="L332" s="694" t="s">
        <v>73</v>
      </c>
      <c r="M332" s="621">
        <v>0</v>
      </c>
      <c r="N332" s="621">
        <v>12</v>
      </c>
      <c r="O332" s="694">
        <v>5</v>
      </c>
      <c r="P332" s="851">
        <v>5</v>
      </c>
      <c r="Q332" s="694">
        <v>9</v>
      </c>
      <c r="R332" s="931"/>
      <c r="S332" s="851">
        <v>9</v>
      </c>
      <c r="T332" s="694">
        <v>12</v>
      </c>
      <c r="U332" s="694"/>
      <c r="V332" s="851">
        <v>12</v>
      </c>
      <c r="W332" s="694">
        <v>12</v>
      </c>
      <c r="X332" s="694"/>
      <c r="Y332" s="851">
        <v>10</v>
      </c>
      <c r="Z332" s="899">
        <f>BM332/$BM$330</f>
        <v>0.98300970873786409</v>
      </c>
      <c r="AA332" s="682">
        <v>16</v>
      </c>
      <c r="AB332" s="682" t="s">
        <v>376</v>
      </c>
      <c r="AC332" s="831"/>
      <c r="AD332" s="831"/>
      <c r="AE332" s="818"/>
      <c r="AF332" s="818"/>
      <c r="AG332" s="831"/>
      <c r="AH332" s="831"/>
      <c r="AI332" s="831"/>
      <c r="AJ332" s="831"/>
      <c r="AK332" s="831">
        <v>12500000</v>
      </c>
      <c r="AL332" s="831">
        <v>232500000</v>
      </c>
      <c r="AM332" s="831">
        <v>176863329</v>
      </c>
      <c r="AN332" s="831">
        <v>151363329</v>
      </c>
      <c r="AO332" s="831"/>
      <c r="AP332" s="831"/>
      <c r="AQ332" s="831"/>
      <c r="AR332" s="831"/>
      <c r="AS332" s="831"/>
      <c r="AT332" s="831"/>
      <c r="AU332" s="818"/>
      <c r="AV332" s="818"/>
      <c r="AW332" s="831"/>
      <c r="AX332" s="831"/>
      <c r="AY332" s="831"/>
      <c r="AZ332" s="831"/>
      <c r="BA332" s="831"/>
      <c r="BB332" s="831"/>
      <c r="BC332" s="831"/>
      <c r="BD332" s="831"/>
      <c r="BE332" s="831"/>
      <c r="BF332" s="831"/>
      <c r="BG332" s="818"/>
      <c r="BH332" s="818"/>
      <c r="BI332" s="831">
        <v>1000000000</v>
      </c>
      <c r="BJ332" s="831"/>
      <c r="BK332" s="831"/>
      <c r="BL332" s="831"/>
      <c r="BM332" s="817">
        <f>+AC332+AG332+AK332+AO332+AS332+AW332+BA332+BE332+BI332</f>
        <v>1012500000</v>
      </c>
      <c r="BN332" s="818">
        <f t="shared" si="729"/>
        <v>232500000</v>
      </c>
      <c r="BO332" s="818">
        <f t="shared" si="729"/>
        <v>176863329</v>
      </c>
      <c r="BP332" s="818">
        <f t="shared" si="729"/>
        <v>151363329</v>
      </c>
      <c r="BQ332" s="667"/>
      <c r="BR332" s="667"/>
      <c r="BS332" s="667"/>
      <c r="BT332" s="667"/>
      <c r="BU332" s="706">
        <v>111600000</v>
      </c>
      <c r="BV332" s="667"/>
      <c r="BW332" s="667"/>
      <c r="BX332" s="667"/>
      <c r="BY332" s="667"/>
      <c r="BZ332" s="667"/>
      <c r="CA332" s="667">
        <v>391600000</v>
      </c>
      <c r="CB332" s="667">
        <v>297953274</v>
      </c>
      <c r="CC332" s="667">
        <v>297953274</v>
      </c>
      <c r="CD332" s="667"/>
      <c r="CE332" s="667"/>
      <c r="CF332" s="667"/>
      <c r="CG332" s="667"/>
      <c r="CH332" s="667"/>
      <c r="CI332" s="667"/>
      <c r="CJ332" s="667"/>
      <c r="CK332" s="667"/>
      <c r="CL332" s="667"/>
      <c r="CM332" s="667"/>
      <c r="CN332" s="667"/>
      <c r="CO332" s="667"/>
      <c r="CP332" s="667"/>
      <c r="CQ332" s="667"/>
      <c r="CR332" s="667"/>
      <c r="CS332" s="667"/>
      <c r="CT332" s="667"/>
      <c r="CU332" s="667"/>
      <c r="CV332" s="667"/>
      <c r="CW332" s="667"/>
      <c r="CX332" s="667"/>
      <c r="CY332" s="667"/>
      <c r="CZ332" s="667"/>
      <c r="DA332" s="667">
        <v>1000000000</v>
      </c>
      <c r="DB332" s="667"/>
      <c r="DC332" s="667"/>
      <c r="DD332" s="667"/>
      <c r="DE332" s="708">
        <f t="shared" si="730"/>
        <v>1111600000</v>
      </c>
      <c r="DF332" s="708">
        <f t="shared" si="730"/>
        <v>391600000</v>
      </c>
      <c r="DG332" s="708">
        <f t="shared" si="730"/>
        <v>297953274</v>
      </c>
      <c r="DH332" s="708">
        <f t="shared" si="730"/>
        <v>297953274</v>
      </c>
      <c r="DI332" s="708"/>
      <c r="DJ332" s="706"/>
      <c r="DK332" s="706"/>
      <c r="DL332" s="706"/>
      <c r="DM332" s="706"/>
      <c r="DN332" s="706">
        <v>111600000</v>
      </c>
      <c r="DO332" s="667">
        <v>319400000</v>
      </c>
      <c r="DP332" s="667">
        <v>202729964</v>
      </c>
      <c r="DQ332" s="667">
        <v>202729964</v>
      </c>
      <c r="DR332" s="667"/>
      <c r="DS332" s="667"/>
      <c r="DT332" s="932">
        <v>500600000</v>
      </c>
      <c r="DU332" s="667">
        <v>431720662</v>
      </c>
      <c r="DV332" s="667">
        <v>427134262</v>
      </c>
      <c r="DW332" s="667"/>
      <c r="DX332" s="667"/>
      <c r="DY332" s="667"/>
      <c r="DZ332" s="667"/>
      <c r="EA332" s="667"/>
      <c r="EB332" s="706"/>
      <c r="EC332" s="706"/>
      <c r="ED332" s="706"/>
      <c r="EE332" s="706"/>
      <c r="EF332" s="706"/>
      <c r="EG332" s="706"/>
      <c r="EH332" s="706"/>
      <c r="EI332" s="706"/>
      <c r="EJ332" s="706"/>
      <c r="EK332" s="706"/>
      <c r="EL332" s="706"/>
      <c r="EM332" s="706"/>
      <c r="EN332" s="706"/>
      <c r="EO332" s="706"/>
      <c r="EP332" s="706"/>
      <c r="EQ332" s="706"/>
      <c r="ER332" s="706"/>
      <c r="ES332" s="706">
        <v>1000000000</v>
      </c>
      <c r="ET332" s="667"/>
      <c r="EU332" s="667"/>
      <c r="EV332" s="667"/>
      <c r="EW332" s="708">
        <f t="shared" si="731"/>
        <v>1111600000</v>
      </c>
      <c r="EX332" s="819">
        <f t="shared" si="731"/>
        <v>820000000</v>
      </c>
      <c r="EY332" s="819">
        <f t="shared" si="732"/>
        <v>634450626</v>
      </c>
      <c r="EZ332" s="819">
        <f t="shared" si="732"/>
        <v>629864226</v>
      </c>
      <c r="FA332" s="820"/>
      <c r="FB332" s="667"/>
      <c r="FC332" s="706"/>
      <c r="FD332" s="706"/>
      <c r="FE332" s="706"/>
      <c r="FF332" s="707"/>
      <c r="FG332" s="706">
        <v>111600000</v>
      </c>
      <c r="FH332" s="667">
        <v>281438722</v>
      </c>
      <c r="FI332" s="667">
        <v>134078127</v>
      </c>
      <c r="FJ332" s="667">
        <v>60041999</v>
      </c>
      <c r="FK332" s="667"/>
      <c r="FL332" s="667"/>
      <c r="FM332" s="667">
        <v>78870000</v>
      </c>
      <c r="FN332" s="667">
        <v>63759566</v>
      </c>
      <c r="FO332" s="667">
        <v>63759566</v>
      </c>
      <c r="FP332" s="667"/>
      <c r="FQ332" s="667"/>
      <c r="FR332" s="667"/>
      <c r="FS332" s="667"/>
      <c r="FT332" s="667"/>
      <c r="FU332" s="667"/>
      <c r="FV332" s="667"/>
      <c r="FW332" s="667"/>
      <c r="FX332" s="667"/>
      <c r="FY332" s="667"/>
      <c r="FZ332" s="667"/>
      <c r="GA332" s="667"/>
      <c r="GB332" s="667"/>
      <c r="GC332" s="667"/>
      <c r="GD332" s="667"/>
      <c r="GE332" s="667"/>
      <c r="GF332" s="667"/>
      <c r="GG332" s="667"/>
      <c r="GH332" s="667"/>
      <c r="GI332" s="667"/>
      <c r="GJ332" s="667"/>
      <c r="GK332" s="667"/>
      <c r="GL332" s="667"/>
      <c r="GM332" s="667"/>
      <c r="GN332" s="667"/>
      <c r="GO332" s="667"/>
      <c r="GP332" s="667">
        <v>1000000000</v>
      </c>
      <c r="GQ332" s="667"/>
      <c r="GR332" s="667"/>
      <c r="GS332" s="667"/>
      <c r="GT332" s="667"/>
      <c r="GU332" s="708">
        <f>FB332+FG332+FL332+FQ332+FV332+GA332+GF332+GK332+GP332</f>
        <v>1111600000</v>
      </c>
      <c r="GV332" s="708">
        <f t="shared" si="733"/>
        <v>360308722</v>
      </c>
      <c r="GW332" s="708">
        <f t="shared" si="733"/>
        <v>197837693</v>
      </c>
      <c r="GX332" s="708">
        <f t="shared" si="733"/>
        <v>123801565</v>
      </c>
      <c r="GY332" s="709">
        <f t="shared" si="733"/>
        <v>0</v>
      </c>
      <c r="GZ332" s="710">
        <f>BM332+DE332+EW332+GU332</f>
        <v>4347300000</v>
      </c>
    </row>
    <row r="333" spans="1:208" s="711" customFormat="1" ht="71.25" customHeight="1" x14ac:dyDescent="0.2">
      <c r="A333" s="703"/>
      <c r="B333" s="703"/>
      <c r="C333" s="621">
        <v>12</v>
      </c>
      <c r="D333" s="685" t="s">
        <v>745</v>
      </c>
      <c r="E333" s="822">
        <v>3166</v>
      </c>
      <c r="F333" s="715">
        <v>2500</v>
      </c>
      <c r="G333" s="682">
        <v>221</v>
      </c>
      <c r="H333" s="676" t="s">
        <v>762</v>
      </c>
      <c r="I333" s="821" t="s">
        <v>763</v>
      </c>
      <c r="J333" s="916" t="s">
        <v>744</v>
      </c>
      <c r="K333" s="704">
        <v>18</v>
      </c>
      <c r="L333" s="621" t="s">
        <v>58</v>
      </c>
      <c r="M333" s="621">
        <v>1</v>
      </c>
      <c r="N333" s="621">
        <v>1</v>
      </c>
      <c r="O333" s="621">
        <v>1</v>
      </c>
      <c r="P333" s="893">
        <v>0.5</v>
      </c>
      <c r="Q333" s="621">
        <v>1</v>
      </c>
      <c r="R333" s="814"/>
      <c r="S333" s="893">
        <v>0.5</v>
      </c>
      <c r="T333" s="621">
        <v>1</v>
      </c>
      <c r="U333" s="621"/>
      <c r="V333" s="893">
        <v>0.5</v>
      </c>
      <c r="W333" s="621">
        <v>0</v>
      </c>
      <c r="X333" s="621"/>
      <c r="Y333" s="929"/>
      <c r="Z333" s="899">
        <f>BM333/$BM$330</f>
        <v>2.9126213592233011E-3</v>
      </c>
      <c r="AA333" s="682">
        <v>16</v>
      </c>
      <c r="AB333" s="682" t="s">
        <v>376</v>
      </c>
      <c r="AC333" s="831"/>
      <c r="AD333" s="831"/>
      <c r="AE333" s="818"/>
      <c r="AF333" s="818"/>
      <c r="AG333" s="831"/>
      <c r="AH333" s="831"/>
      <c r="AI333" s="831"/>
      <c r="AJ333" s="831"/>
      <c r="AK333" s="831">
        <v>3000000</v>
      </c>
      <c r="AL333" s="831">
        <v>3000000</v>
      </c>
      <c r="AM333" s="831">
        <v>3000000</v>
      </c>
      <c r="AN333" s="831">
        <v>3000000</v>
      </c>
      <c r="AO333" s="831"/>
      <c r="AP333" s="831"/>
      <c r="AQ333" s="831"/>
      <c r="AR333" s="831"/>
      <c r="AS333" s="831"/>
      <c r="AT333" s="831"/>
      <c r="AU333" s="818"/>
      <c r="AV333" s="818"/>
      <c r="AW333" s="831"/>
      <c r="AX333" s="831"/>
      <c r="AY333" s="831"/>
      <c r="AZ333" s="831"/>
      <c r="BA333" s="831"/>
      <c r="BB333" s="831"/>
      <c r="BC333" s="831"/>
      <c r="BD333" s="831"/>
      <c r="BE333" s="831"/>
      <c r="BF333" s="831"/>
      <c r="BG333" s="818"/>
      <c r="BH333" s="818"/>
      <c r="BI333" s="831"/>
      <c r="BJ333" s="831"/>
      <c r="BK333" s="831"/>
      <c r="BL333" s="831"/>
      <c r="BM333" s="817">
        <f>+AC333+AG333+AK333+AO333+AS333+AW333+BA333+BE333+BI333</f>
        <v>3000000</v>
      </c>
      <c r="BN333" s="818">
        <f t="shared" si="729"/>
        <v>3000000</v>
      </c>
      <c r="BO333" s="818">
        <f t="shared" si="729"/>
        <v>3000000</v>
      </c>
      <c r="BP333" s="818">
        <f t="shared" si="729"/>
        <v>3000000</v>
      </c>
      <c r="BQ333" s="667"/>
      <c r="BR333" s="667"/>
      <c r="BS333" s="667"/>
      <c r="BT333" s="667"/>
      <c r="BU333" s="706">
        <f>26800000-12000000</f>
        <v>14800000</v>
      </c>
      <c r="BV333" s="667"/>
      <c r="BW333" s="667"/>
      <c r="BX333" s="667"/>
      <c r="BY333" s="667"/>
      <c r="BZ333" s="667">
        <v>12000000</v>
      </c>
      <c r="CA333" s="667">
        <v>26800000</v>
      </c>
      <c r="CB333" s="667">
        <v>17764000</v>
      </c>
      <c r="CC333" s="667">
        <v>15764000</v>
      </c>
      <c r="CD333" s="667"/>
      <c r="CE333" s="667"/>
      <c r="CF333" s="667"/>
      <c r="CG333" s="667"/>
      <c r="CH333" s="667"/>
      <c r="CI333" s="667"/>
      <c r="CJ333" s="667"/>
      <c r="CK333" s="667"/>
      <c r="CL333" s="667"/>
      <c r="CM333" s="667"/>
      <c r="CN333" s="667"/>
      <c r="CO333" s="667"/>
      <c r="CP333" s="667"/>
      <c r="CQ333" s="667"/>
      <c r="CR333" s="667"/>
      <c r="CS333" s="667"/>
      <c r="CT333" s="667"/>
      <c r="CU333" s="667"/>
      <c r="CV333" s="667"/>
      <c r="CW333" s="667"/>
      <c r="CX333" s="667"/>
      <c r="CY333" s="667"/>
      <c r="CZ333" s="667"/>
      <c r="DA333" s="667"/>
      <c r="DB333" s="667"/>
      <c r="DC333" s="667"/>
      <c r="DD333" s="667"/>
      <c r="DE333" s="708">
        <f t="shared" si="730"/>
        <v>26800000</v>
      </c>
      <c r="DF333" s="708">
        <f t="shared" si="730"/>
        <v>26800000</v>
      </c>
      <c r="DG333" s="708">
        <f t="shared" si="730"/>
        <v>17764000</v>
      </c>
      <c r="DH333" s="708">
        <f t="shared" si="730"/>
        <v>15764000</v>
      </c>
      <c r="DI333" s="708"/>
      <c r="DJ333" s="706"/>
      <c r="DK333" s="706"/>
      <c r="DL333" s="706"/>
      <c r="DM333" s="706"/>
      <c r="DN333" s="706">
        <f>26800000-12000000</f>
        <v>14800000</v>
      </c>
      <c r="DO333" s="667">
        <v>10600000</v>
      </c>
      <c r="DP333" s="667"/>
      <c r="DQ333" s="667"/>
      <c r="DR333" s="667"/>
      <c r="DS333" s="667"/>
      <c r="DT333" s="667">
        <v>20700000</v>
      </c>
      <c r="DU333" s="667"/>
      <c r="DV333" s="667"/>
      <c r="DW333" s="667"/>
      <c r="DX333" s="667"/>
      <c r="DY333" s="667"/>
      <c r="DZ333" s="667"/>
      <c r="EA333" s="667"/>
      <c r="EB333" s="706"/>
      <c r="EC333" s="706"/>
      <c r="ED333" s="706"/>
      <c r="EE333" s="706"/>
      <c r="EF333" s="706"/>
      <c r="EG333" s="706"/>
      <c r="EH333" s="706"/>
      <c r="EI333" s="706"/>
      <c r="EJ333" s="706"/>
      <c r="EK333" s="706"/>
      <c r="EL333" s="706"/>
      <c r="EM333" s="706"/>
      <c r="EN333" s="706"/>
      <c r="EO333" s="706"/>
      <c r="EP333" s="706"/>
      <c r="EQ333" s="706"/>
      <c r="ER333" s="706"/>
      <c r="ES333" s="706"/>
      <c r="ET333" s="667"/>
      <c r="EU333" s="667"/>
      <c r="EV333" s="667"/>
      <c r="EW333" s="708">
        <f t="shared" si="731"/>
        <v>14800000</v>
      </c>
      <c r="EX333" s="819">
        <f t="shared" si="731"/>
        <v>31300000</v>
      </c>
      <c r="EY333" s="819">
        <f t="shared" si="732"/>
        <v>0</v>
      </c>
      <c r="EZ333" s="819">
        <f t="shared" si="732"/>
        <v>0</v>
      </c>
      <c r="FA333" s="820"/>
      <c r="FB333" s="667"/>
      <c r="FC333" s="706"/>
      <c r="FD333" s="706"/>
      <c r="FE333" s="706"/>
      <c r="FF333" s="707"/>
      <c r="FG333" s="706">
        <f>26800000-12000000</f>
        <v>14800000</v>
      </c>
      <c r="FH333" s="667"/>
      <c r="FI333" s="667"/>
      <c r="FJ333" s="667"/>
      <c r="FK333" s="667"/>
      <c r="FL333" s="667"/>
      <c r="FM333" s="667"/>
      <c r="FN333" s="667"/>
      <c r="FO333" s="667"/>
      <c r="FP333" s="667"/>
      <c r="FQ333" s="667"/>
      <c r="FR333" s="667"/>
      <c r="FS333" s="667"/>
      <c r="FT333" s="667"/>
      <c r="FU333" s="667"/>
      <c r="FV333" s="667"/>
      <c r="FW333" s="667"/>
      <c r="FX333" s="667"/>
      <c r="FY333" s="667"/>
      <c r="FZ333" s="667"/>
      <c r="GA333" s="667"/>
      <c r="GB333" s="667"/>
      <c r="GC333" s="667"/>
      <c r="GD333" s="667"/>
      <c r="GE333" s="667"/>
      <c r="GF333" s="667"/>
      <c r="GG333" s="667"/>
      <c r="GH333" s="667"/>
      <c r="GI333" s="667"/>
      <c r="GJ333" s="667"/>
      <c r="GK333" s="667"/>
      <c r="GL333" s="667"/>
      <c r="GM333" s="667"/>
      <c r="GN333" s="667"/>
      <c r="GO333" s="667"/>
      <c r="GP333" s="667"/>
      <c r="GQ333" s="667"/>
      <c r="GR333" s="667"/>
      <c r="GS333" s="667"/>
      <c r="GT333" s="667"/>
      <c r="GU333" s="708">
        <f>FB333+FG333+FL333+FQ333+FV333+GA333+GF333+GK333+GP333</f>
        <v>14800000</v>
      </c>
      <c r="GV333" s="708">
        <f t="shared" si="733"/>
        <v>0</v>
      </c>
      <c r="GW333" s="708">
        <f t="shared" si="733"/>
        <v>0</v>
      </c>
      <c r="GX333" s="708">
        <f t="shared" si="733"/>
        <v>0</v>
      </c>
      <c r="GY333" s="709">
        <f t="shared" si="733"/>
        <v>0</v>
      </c>
      <c r="GZ333" s="710">
        <f>BM333+DE333+EW333+GU333</f>
        <v>59400000</v>
      </c>
    </row>
    <row r="334" spans="1:208" ht="71.25" customHeight="1" x14ac:dyDescent="0.2">
      <c r="A334" s="326"/>
      <c r="B334" s="326"/>
      <c r="C334" s="277">
        <v>13</v>
      </c>
      <c r="D334" s="459" t="s">
        <v>757</v>
      </c>
      <c r="E334" s="259" t="s">
        <v>541</v>
      </c>
      <c r="F334" s="619" t="s">
        <v>542</v>
      </c>
      <c r="G334" s="265">
        <v>222</v>
      </c>
      <c r="H334" s="261" t="s">
        <v>764</v>
      </c>
      <c r="I334" s="275" t="s">
        <v>765</v>
      </c>
      <c r="J334" s="345" t="s">
        <v>744</v>
      </c>
      <c r="K334" s="505">
        <v>18</v>
      </c>
      <c r="L334" s="288" t="s">
        <v>58</v>
      </c>
      <c r="M334" s="288">
        <v>1</v>
      </c>
      <c r="N334" s="304">
        <v>1</v>
      </c>
      <c r="O334" s="259">
        <v>1</v>
      </c>
      <c r="P334" s="387">
        <v>1</v>
      </c>
      <c r="Q334" s="288">
        <v>1</v>
      </c>
      <c r="R334" s="268"/>
      <c r="S334" s="389">
        <v>1</v>
      </c>
      <c r="T334" s="288">
        <v>1</v>
      </c>
      <c r="U334" s="288"/>
      <c r="V334" s="389">
        <v>1</v>
      </c>
      <c r="W334" s="288">
        <v>1</v>
      </c>
      <c r="X334" s="288"/>
      <c r="Y334" s="698">
        <v>0.65</v>
      </c>
      <c r="Z334" s="540">
        <f>BM334/$BM$330</f>
        <v>1.9417475728155339E-3</v>
      </c>
      <c r="AA334" s="264">
        <v>16</v>
      </c>
      <c r="AB334" s="273" t="s">
        <v>376</v>
      </c>
      <c r="AC334" s="75"/>
      <c r="AD334" s="58"/>
      <c r="AE334" s="59"/>
      <c r="AF334" s="59"/>
      <c r="AG334" s="58"/>
      <c r="AH334" s="58"/>
      <c r="AI334" s="58"/>
      <c r="AJ334" s="58"/>
      <c r="AK334" s="58">
        <v>2000000</v>
      </c>
      <c r="AL334" s="55">
        <v>2000000</v>
      </c>
      <c r="AM334" s="55">
        <v>2000000</v>
      </c>
      <c r="AN334" s="58">
        <v>2000000</v>
      </c>
      <c r="AO334" s="58"/>
      <c r="AP334" s="58"/>
      <c r="AQ334" s="58"/>
      <c r="AR334" s="58"/>
      <c r="AS334" s="58"/>
      <c r="AT334" s="58"/>
      <c r="AU334" s="59"/>
      <c r="AV334" s="59"/>
      <c r="AW334" s="58"/>
      <c r="AX334" s="58"/>
      <c r="AY334" s="58"/>
      <c r="AZ334" s="58"/>
      <c r="BA334" s="58"/>
      <c r="BB334" s="58"/>
      <c r="BC334" s="58"/>
      <c r="BD334" s="58"/>
      <c r="BE334" s="58"/>
      <c r="BF334" s="58"/>
      <c r="BG334" s="59"/>
      <c r="BH334" s="59"/>
      <c r="BI334" s="58"/>
      <c r="BJ334" s="58"/>
      <c r="BK334" s="58"/>
      <c r="BL334" s="58"/>
      <c r="BM334" s="53">
        <f>+AC334+AG334+AK334+AO334+AS334+AW334+BA334+BE334+BI334</f>
        <v>2000000</v>
      </c>
      <c r="BN334" s="54">
        <f t="shared" si="729"/>
        <v>2000000</v>
      </c>
      <c r="BO334" s="54">
        <f t="shared" si="729"/>
        <v>2000000</v>
      </c>
      <c r="BP334" s="54">
        <f t="shared" si="729"/>
        <v>2000000</v>
      </c>
      <c r="BQ334" s="83"/>
      <c r="BR334" s="83"/>
      <c r="BS334" s="83"/>
      <c r="BT334" s="83"/>
      <c r="BU334" s="83"/>
      <c r="BV334" s="83">
        <v>0</v>
      </c>
      <c r="BW334" s="83"/>
      <c r="BX334" s="83"/>
      <c r="BY334" s="83"/>
      <c r="BZ334" s="84">
        <v>18000000</v>
      </c>
      <c r="CA334" s="83">
        <v>18000000</v>
      </c>
      <c r="CB334" s="83">
        <v>17733320</v>
      </c>
      <c r="CC334" s="83">
        <v>17733320</v>
      </c>
      <c r="CD334" s="83"/>
      <c r="CE334" s="83"/>
      <c r="CF334" s="83"/>
      <c r="CG334" s="83"/>
      <c r="CH334" s="83"/>
      <c r="CI334" s="83"/>
      <c r="CJ334" s="83"/>
      <c r="CK334" s="83"/>
      <c r="CL334" s="83"/>
      <c r="CM334" s="83"/>
      <c r="CN334" s="83"/>
      <c r="CO334" s="83"/>
      <c r="CP334" s="83"/>
      <c r="CQ334" s="83"/>
      <c r="CR334" s="83"/>
      <c r="CS334" s="83"/>
      <c r="CT334" s="83"/>
      <c r="CU334" s="83"/>
      <c r="CV334" s="83"/>
      <c r="CW334" s="83"/>
      <c r="CX334" s="83"/>
      <c r="CY334" s="83"/>
      <c r="CZ334" s="83"/>
      <c r="DA334" s="83"/>
      <c r="DB334" s="83"/>
      <c r="DC334" s="83"/>
      <c r="DD334" s="83"/>
      <c r="DE334" s="81">
        <f t="shared" si="730"/>
        <v>18000000</v>
      </c>
      <c r="DF334" s="95">
        <f t="shared" si="730"/>
        <v>18000000</v>
      </c>
      <c r="DG334" s="95">
        <f t="shared" si="730"/>
        <v>17733320</v>
      </c>
      <c r="DH334" s="95">
        <f t="shared" si="730"/>
        <v>17733320</v>
      </c>
      <c r="DI334" s="95"/>
      <c r="DJ334" s="84"/>
      <c r="DK334" s="82"/>
      <c r="DL334" s="83"/>
      <c r="DM334" s="83"/>
      <c r="DN334" s="83">
        <v>12000000</v>
      </c>
      <c r="DO334" s="82"/>
      <c r="DP334" s="83"/>
      <c r="DQ334" s="83"/>
      <c r="DR334" s="83"/>
      <c r="DS334" s="84">
        <v>18000000</v>
      </c>
      <c r="DT334" s="65">
        <v>35300000</v>
      </c>
      <c r="DU334" s="84">
        <v>2500000</v>
      </c>
      <c r="DV334" s="84">
        <v>2500000</v>
      </c>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3"/>
      <c r="EU334" s="83"/>
      <c r="EV334" s="83"/>
      <c r="EW334" s="81">
        <f t="shared" si="731"/>
        <v>30000000</v>
      </c>
      <c r="EX334" s="85">
        <f t="shared" si="731"/>
        <v>35300000</v>
      </c>
      <c r="EY334" s="86">
        <f t="shared" si="732"/>
        <v>2500000</v>
      </c>
      <c r="EZ334" s="86">
        <f t="shared" si="732"/>
        <v>2500000</v>
      </c>
      <c r="FA334" s="176"/>
      <c r="FB334" s="83"/>
      <c r="FC334" s="84"/>
      <c r="FD334" s="84"/>
      <c r="FE334" s="84"/>
      <c r="FF334" s="140"/>
      <c r="FG334" s="83">
        <v>12000000</v>
      </c>
      <c r="FH334" s="83"/>
      <c r="FI334" s="83"/>
      <c r="FJ334" s="83"/>
      <c r="FK334" s="83"/>
      <c r="FL334" s="84">
        <v>18000000</v>
      </c>
      <c r="FM334" s="83">
        <v>10000000</v>
      </c>
      <c r="FN334" s="83">
        <v>8805666</v>
      </c>
      <c r="FO334" s="83">
        <v>3597166</v>
      </c>
      <c r="FP334" s="83"/>
      <c r="FQ334" s="83"/>
      <c r="FR334" s="83"/>
      <c r="FS334" s="83"/>
      <c r="FT334" s="83"/>
      <c r="FU334" s="83"/>
      <c r="FV334" s="83"/>
      <c r="FW334" s="83"/>
      <c r="FX334" s="83"/>
      <c r="FY334" s="83"/>
      <c r="FZ334" s="83"/>
      <c r="GA334" s="83"/>
      <c r="GB334" s="83"/>
      <c r="GC334" s="83"/>
      <c r="GD334" s="83"/>
      <c r="GE334" s="83"/>
      <c r="GF334" s="83"/>
      <c r="GG334" s="83"/>
      <c r="GH334" s="83"/>
      <c r="GI334" s="83"/>
      <c r="GJ334" s="83"/>
      <c r="GK334" s="83"/>
      <c r="GL334" s="83"/>
      <c r="GM334" s="83"/>
      <c r="GN334" s="83"/>
      <c r="GO334" s="83"/>
      <c r="GP334" s="83"/>
      <c r="GQ334" s="83"/>
      <c r="GR334" s="83"/>
      <c r="GS334" s="83"/>
      <c r="GT334" s="83"/>
      <c r="GU334" s="81">
        <f>FB334+FG334+FL334+FQ334+FV334+GA334+GF334+GK334+GP334</f>
        <v>30000000</v>
      </c>
      <c r="GV334" s="81">
        <f t="shared" si="733"/>
        <v>10000000</v>
      </c>
      <c r="GW334" s="81">
        <f t="shared" si="733"/>
        <v>8805666</v>
      </c>
      <c r="GX334" s="81">
        <f t="shared" si="733"/>
        <v>3597166</v>
      </c>
      <c r="GY334" s="673">
        <f t="shared" si="733"/>
        <v>0</v>
      </c>
      <c r="GZ334" s="67">
        <f>BM334+DE334+EW334+GU334</f>
        <v>80000000</v>
      </c>
    </row>
    <row r="335" spans="1:208" ht="24.75" customHeight="1" x14ac:dyDescent="0.2">
      <c r="A335" s="326"/>
      <c r="B335" s="326"/>
      <c r="C335" s="246">
        <v>77</v>
      </c>
      <c r="D335" s="247" t="s">
        <v>766</v>
      </c>
      <c r="E335" s="250"/>
      <c r="F335" s="250"/>
      <c r="G335" s="249"/>
      <c r="H335" s="250"/>
      <c r="I335" s="250"/>
      <c r="J335" s="249"/>
      <c r="K335" s="251"/>
      <c r="L335" s="252"/>
      <c r="M335" s="250"/>
      <c r="N335" s="250"/>
      <c r="O335" s="253"/>
      <c r="P335" s="253"/>
      <c r="Q335" s="250"/>
      <c r="R335" s="254"/>
      <c r="S335" s="253"/>
      <c r="T335" s="250"/>
      <c r="U335" s="250"/>
      <c r="V335" s="253"/>
      <c r="W335" s="251"/>
      <c r="X335" s="251"/>
      <c r="Y335" s="252"/>
      <c r="Z335" s="541"/>
      <c r="AA335" s="251"/>
      <c r="AB335" s="251"/>
      <c r="AC335" s="51">
        <f t="shared" ref="AC335:BL335" si="734">SUM(AC336:AC338)</f>
        <v>0</v>
      </c>
      <c r="AD335" s="51">
        <f t="shared" si="734"/>
        <v>0</v>
      </c>
      <c r="AE335" s="51">
        <f t="shared" si="734"/>
        <v>0</v>
      </c>
      <c r="AF335" s="51">
        <f t="shared" si="734"/>
        <v>0</v>
      </c>
      <c r="AG335" s="51">
        <f t="shared" si="734"/>
        <v>52000000</v>
      </c>
      <c r="AH335" s="51">
        <f t="shared" si="734"/>
        <v>52000000</v>
      </c>
      <c r="AI335" s="51">
        <f t="shared" si="734"/>
        <v>39902249</v>
      </c>
      <c r="AJ335" s="51">
        <f t="shared" si="734"/>
        <v>39902249</v>
      </c>
      <c r="AK335" s="51">
        <f t="shared" si="734"/>
        <v>0</v>
      </c>
      <c r="AL335" s="51">
        <f t="shared" si="734"/>
        <v>0</v>
      </c>
      <c r="AM335" s="51">
        <f t="shared" si="734"/>
        <v>0</v>
      </c>
      <c r="AN335" s="51">
        <f t="shared" si="734"/>
        <v>0</v>
      </c>
      <c r="AO335" s="51">
        <f t="shared" si="734"/>
        <v>0</v>
      </c>
      <c r="AP335" s="51">
        <f t="shared" si="734"/>
        <v>0</v>
      </c>
      <c r="AQ335" s="51">
        <f t="shared" si="734"/>
        <v>0</v>
      </c>
      <c r="AR335" s="51">
        <f t="shared" si="734"/>
        <v>0</v>
      </c>
      <c r="AS335" s="51">
        <f t="shared" si="734"/>
        <v>0</v>
      </c>
      <c r="AT335" s="51">
        <f t="shared" si="734"/>
        <v>0</v>
      </c>
      <c r="AU335" s="51">
        <f t="shared" si="734"/>
        <v>0</v>
      </c>
      <c r="AV335" s="51">
        <f t="shared" si="734"/>
        <v>0</v>
      </c>
      <c r="AW335" s="51">
        <f t="shared" si="734"/>
        <v>0</v>
      </c>
      <c r="AX335" s="51">
        <f t="shared" si="734"/>
        <v>0</v>
      </c>
      <c r="AY335" s="51">
        <f t="shared" si="734"/>
        <v>0</v>
      </c>
      <c r="AZ335" s="51">
        <f t="shared" si="734"/>
        <v>0</v>
      </c>
      <c r="BA335" s="51">
        <f t="shared" si="734"/>
        <v>0</v>
      </c>
      <c r="BB335" s="51">
        <f t="shared" si="734"/>
        <v>0</v>
      </c>
      <c r="BC335" s="51">
        <f t="shared" si="734"/>
        <v>0</v>
      </c>
      <c r="BD335" s="51">
        <f t="shared" si="734"/>
        <v>0</v>
      </c>
      <c r="BE335" s="51">
        <f t="shared" si="734"/>
        <v>0</v>
      </c>
      <c r="BF335" s="51">
        <f t="shared" si="734"/>
        <v>0</v>
      </c>
      <c r="BG335" s="51">
        <f t="shared" si="734"/>
        <v>0</v>
      </c>
      <c r="BH335" s="51">
        <f t="shared" si="734"/>
        <v>0</v>
      </c>
      <c r="BI335" s="51">
        <f t="shared" si="734"/>
        <v>0</v>
      </c>
      <c r="BJ335" s="51">
        <f t="shared" si="734"/>
        <v>0</v>
      </c>
      <c r="BK335" s="51">
        <f t="shared" si="734"/>
        <v>0</v>
      </c>
      <c r="BL335" s="51">
        <f t="shared" si="734"/>
        <v>0</v>
      </c>
      <c r="BM335" s="51">
        <f t="shared" ref="BM335:DX335" si="735">SUM(BM336:BM338)</f>
        <v>52000000</v>
      </c>
      <c r="BN335" s="51">
        <f t="shared" si="735"/>
        <v>52000000</v>
      </c>
      <c r="BO335" s="51">
        <f t="shared" si="735"/>
        <v>39902249</v>
      </c>
      <c r="BP335" s="51">
        <f t="shared" si="735"/>
        <v>39902249</v>
      </c>
      <c r="BQ335" s="51">
        <f t="shared" si="735"/>
        <v>0</v>
      </c>
      <c r="BR335" s="51">
        <f t="shared" si="735"/>
        <v>0</v>
      </c>
      <c r="BS335" s="51">
        <f t="shared" si="735"/>
        <v>0</v>
      </c>
      <c r="BT335" s="51">
        <f t="shared" si="735"/>
        <v>0</v>
      </c>
      <c r="BU335" s="51">
        <f t="shared" si="735"/>
        <v>53560000</v>
      </c>
      <c r="BV335" s="51">
        <f t="shared" si="735"/>
        <v>129551754</v>
      </c>
      <c r="BW335" s="51">
        <f t="shared" si="735"/>
        <v>81246664</v>
      </c>
      <c r="BX335" s="51">
        <f t="shared" si="735"/>
        <v>81246664</v>
      </c>
      <c r="BY335" s="51">
        <f t="shared" si="735"/>
        <v>0</v>
      </c>
      <c r="BZ335" s="51">
        <f t="shared" si="735"/>
        <v>0</v>
      </c>
      <c r="CA335" s="51">
        <f t="shared" si="735"/>
        <v>0</v>
      </c>
      <c r="CB335" s="51">
        <f t="shared" si="735"/>
        <v>0</v>
      </c>
      <c r="CC335" s="51">
        <f t="shared" si="735"/>
        <v>0</v>
      </c>
      <c r="CD335" s="51">
        <f t="shared" si="735"/>
        <v>0</v>
      </c>
      <c r="CE335" s="51">
        <f t="shared" si="735"/>
        <v>0</v>
      </c>
      <c r="CF335" s="51">
        <f t="shared" si="735"/>
        <v>500000000</v>
      </c>
      <c r="CG335" s="51">
        <f t="shared" si="735"/>
        <v>0</v>
      </c>
      <c r="CH335" s="51">
        <f t="shared" si="735"/>
        <v>0</v>
      </c>
      <c r="CI335" s="51">
        <f t="shared" si="735"/>
        <v>0</v>
      </c>
      <c r="CJ335" s="51">
        <f t="shared" si="735"/>
        <v>0</v>
      </c>
      <c r="CK335" s="51">
        <f t="shared" si="735"/>
        <v>0</v>
      </c>
      <c r="CL335" s="51">
        <f t="shared" si="735"/>
        <v>0</v>
      </c>
      <c r="CM335" s="51">
        <f t="shared" si="735"/>
        <v>0</v>
      </c>
      <c r="CN335" s="51">
        <f t="shared" si="735"/>
        <v>0</v>
      </c>
      <c r="CO335" s="51">
        <f t="shared" si="735"/>
        <v>0</v>
      </c>
      <c r="CP335" s="51">
        <f t="shared" si="735"/>
        <v>0</v>
      </c>
      <c r="CQ335" s="51">
        <f t="shared" si="735"/>
        <v>0</v>
      </c>
      <c r="CR335" s="51">
        <f t="shared" si="735"/>
        <v>0</v>
      </c>
      <c r="CS335" s="51">
        <f t="shared" si="735"/>
        <v>0</v>
      </c>
      <c r="CT335" s="51">
        <f t="shared" si="735"/>
        <v>0</v>
      </c>
      <c r="CU335" s="51">
        <f t="shared" si="735"/>
        <v>0</v>
      </c>
      <c r="CV335" s="51">
        <f t="shared" si="735"/>
        <v>0</v>
      </c>
      <c r="CW335" s="51">
        <f t="shared" si="735"/>
        <v>0</v>
      </c>
      <c r="CX335" s="51">
        <f t="shared" si="735"/>
        <v>0</v>
      </c>
      <c r="CY335" s="51">
        <f t="shared" si="735"/>
        <v>0</v>
      </c>
      <c r="CZ335" s="51">
        <f t="shared" si="735"/>
        <v>0</v>
      </c>
      <c r="DA335" s="51">
        <f t="shared" si="735"/>
        <v>0</v>
      </c>
      <c r="DB335" s="51">
        <f t="shared" si="735"/>
        <v>0</v>
      </c>
      <c r="DC335" s="51">
        <f t="shared" si="735"/>
        <v>0</v>
      </c>
      <c r="DD335" s="51">
        <f t="shared" si="735"/>
        <v>0</v>
      </c>
      <c r="DE335" s="51">
        <f t="shared" si="735"/>
        <v>53560000</v>
      </c>
      <c r="DF335" s="51">
        <f t="shared" si="735"/>
        <v>629551754</v>
      </c>
      <c r="DG335" s="51">
        <f t="shared" si="735"/>
        <v>81246664</v>
      </c>
      <c r="DH335" s="51">
        <f t="shared" si="735"/>
        <v>81246664</v>
      </c>
      <c r="DI335" s="51">
        <f t="shared" si="735"/>
        <v>0</v>
      </c>
      <c r="DJ335" s="51">
        <f t="shared" si="735"/>
        <v>0</v>
      </c>
      <c r="DK335" s="51">
        <f t="shared" si="735"/>
        <v>0</v>
      </c>
      <c r="DL335" s="51">
        <f t="shared" si="735"/>
        <v>0</v>
      </c>
      <c r="DM335" s="51">
        <f t="shared" si="735"/>
        <v>0</v>
      </c>
      <c r="DN335" s="51">
        <f t="shared" si="735"/>
        <v>55166800</v>
      </c>
      <c r="DO335" s="51">
        <f t="shared" si="735"/>
        <v>115000000</v>
      </c>
      <c r="DP335" s="51">
        <f t="shared" si="735"/>
        <v>87176990</v>
      </c>
      <c r="DQ335" s="51">
        <f t="shared" si="735"/>
        <v>87176990</v>
      </c>
      <c r="DR335" s="51">
        <f t="shared" si="735"/>
        <v>0</v>
      </c>
      <c r="DS335" s="51">
        <f t="shared" si="735"/>
        <v>0</v>
      </c>
      <c r="DT335" s="51">
        <f t="shared" si="735"/>
        <v>0</v>
      </c>
      <c r="DU335" s="51">
        <f t="shared" si="735"/>
        <v>0</v>
      </c>
      <c r="DV335" s="51">
        <f t="shared" si="735"/>
        <v>0</v>
      </c>
      <c r="DW335" s="51">
        <f t="shared" si="735"/>
        <v>0</v>
      </c>
      <c r="DX335" s="51">
        <f t="shared" si="735"/>
        <v>0</v>
      </c>
      <c r="DY335" s="51">
        <f t="shared" ref="DY335:EW335" si="736">SUM(DY336:DY338)</f>
        <v>0</v>
      </c>
      <c r="DZ335" s="51">
        <f t="shared" si="736"/>
        <v>0</v>
      </c>
      <c r="EA335" s="51">
        <f t="shared" si="736"/>
        <v>0</v>
      </c>
      <c r="EB335" s="51">
        <f t="shared" si="736"/>
        <v>0</v>
      </c>
      <c r="EC335" s="51">
        <f t="shared" si="736"/>
        <v>0</v>
      </c>
      <c r="ED335" s="51">
        <f t="shared" si="736"/>
        <v>0</v>
      </c>
      <c r="EE335" s="51">
        <f t="shared" si="736"/>
        <v>0</v>
      </c>
      <c r="EF335" s="51">
        <f t="shared" si="736"/>
        <v>0</v>
      </c>
      <c r="EG335" s="51">
        <f t="shared" si="736"/>
        <v>0</v>
      </c>
      <c r="EH335" s="51">
        <f t="shared" si="736"/>
        <v>0</v>
      </c>
      <c r="EI335" s="51">
        <f t="shared" si="736"/>
        <v>0</v>
      </c>
      <c r="EJ335" s="51">
        <f t="shared" si="736"/>
        <v>0</v>
      </c>
      <c r="EK335" s="51">
        <f t="shared" si="736"/>
        <v>0</v>
      </c>
      <c r="EL335" s="51">
        <f t="shared" si="736"/>
        <v>0</v>
      </c>
      <c r="EM335" s="51">
        <f t="shared" si="736"/>
        <v>0</v>
      </c>
      <c r="EN335" s="51">
        <f t="shared" si="736"/>
        <v>0</v>
      </c>
      <c r="EO335" s="51">
        <f t="shared" si="736"/>
        <v>0</v>
      </c>
      <c r="EP335" s="51">
        <f t="shared" si="736"/>
        <v>0</v>
      </c>
      <c r="EQ335" s="51">
        <f t="shared" si="736"/>
        <v>0</v>
      </c>
      <c r="ER335" s="51">
        <f t="shared" si="736"/>
        <v>0</v>
      </c>
      <c r="ES335" s="51">
        <f t="shared" si="736"/>
        <v>0</v>
      </c>
      <c r="ET335" s="51">
        <f t="shared" si="736"/>
        <v>0</v>
      </c>
      <c r="EU335" s="51">
        <f t="shared" si="736"/>
        <v>0</v>
      </c>
      <c r="EV335" s="51">
        <f t="shared" si="736"/>
        <v>0</v>
      </c>
      <c r="EW335" s="51">
        <f t="shared" si="736"/>
        <v>55166800</v>
      </c>
      <c r="EX335" s="51">
        <f t="shared" ref="EX335:GZ335" si="737">SUM(EX336:EX338)</f>
        <v>115000000</v>
      </c>
      <c r="EY335" s="51">
        <f t="shared" si="737"/>
        <v>87176990</v>
      </c>
      <c r="EZ335" s="51">
        <f t="shared" si="737"/>
        <v>87176990</v>
      </c>
      <c r="FA335" s="51">
        <f t="shared" si="737"/>
        <v>0</v>
      </c>
      <c r="FB335" s="51">
        <f t="shared" si="737"/>
        <v>0</v>
      </c>
      <c r="FC335" s="51">
        <f t="shared" si="737"/>
        <v>0</v>
      </c>
      <c r="FD335" s="51">
        <f t="shared" si="737"/>
        <v>0</v>
      </c>
      <c r="FE335" s="51">
        <f t="shared" si="737"/>
        <v>0</v>
      </c>
      <c r="FF335" s="51">
        <f t="shared" si="737"/>
        <v>0</v>
      </c>
      <c r="FG335" s="51">
        <f t="shared" si="737"/>
        <v>56821804</v>
      </c>
      <c r="FH335" s="51">
        <f t="shared" si="737"/>
        <v>607000000</v>
      </c>
      <c r="FI335" s="51">
        <f t="shared" si="737"/>
        <v>124709000</v>
      </c>
      <c r="FJ335" s="51">
        <f t="shared" si="737"/>
        <v>115987000</v>
      </c>
      <c r="FK335" s="51">
        <f t="shared" si="737"/>
        <v>0</v>
      </c>
      <c r="FL335" s="51">
        <f t="shared" si="737"/>
        <v>0</v>
      </c>
      <c r="FM335" s="51">
        <f t="shared" si="737"/>
        <v>0</v>
      </c>
      <c r="FN335" s="51">
        <f t="shared" si="737"/>
        <v>0</v>
      </c>
      <c r="FO335" s="51">
        <f t="shared" si="737"/>
        <v>0</v>
      </c>
      <c r="FP335" s="51">
        <f t="shared" si="737"/>
        <v>0</v>
      </c>
      <c r="FQ335" s="51">
        <f t="shared" si="737"/>
        <v>0</v>
      </c>
      <c r="FR335" s="51">
        <f t="shared" si="737"/>
        <v>0</v>
      </c>
      <c r="FS335" s="51">
        <f t="shared" si="737"/>
        <v>0</v>
      </c>
      <c r="FT335" s="51">
        <f t="shared" si="737"/>
        <v>0</v>
      </c>
      <c r="FU335" s="51">
        <f t="shared" si="737"/>
        <v>0</v>
      </c>
      <c r="FV335" s="51">
        <f t="shared" si="737"/>
        <v>0</v>
      </c>
      <c r="FW335" s="51">
        <f t="shared" si="737"/>
        <v>0</v>
      </c>
      <c r="FX335" s="51">
        <f t="shared" si="737"/>
        <v>0</v>
      </c>
      <c r="FY335" s="51">
        <f t="shared" si="737"/>
        <v>0</v>
      </c>
      <c r="FZ335" s="51">
        <f t="shared" si="737"/>
        <v>0</v>
      </c>
      <c r="GA335" s="51">
        <f t="shared" si="737"/>
        <v>0</v>
      </c>
      <c r="GB335" s="51">
        <f t="shared" si="737"/>
        <v>0</v>
      </c>
      <c r="GC335" s="51">
        <f t="shared" si="737"/>
        <v>0</v>
      </c>
      <c r="GD335" s="51">
        <f t="shared" si="737"/>
        <v>0</v>
      </c>
      <c r="GE335" s="51">
        <f t="shared" si="737"/>
        <v>0</v>
      </c>
      <c r="GF335" s="51">
        <f t="shared" si="737"/>
        <v>0</v>
      </c>
      <c r="GG335" s="51">
        <f t="shared" si="737"/>
        <v>0</v>
      </c>
      <c r="GH335" s="51">
        <f t="shared" si="737"/>
        <v>0</v>
      </c>
      <c r="GI335" s="51">
        <f t="shared" si="737"/>
        <v>0</v>
      </c>
      <c r="GJ335" s="51">
        <f t="shared" si="737"/>
        <v>0</v>
      </c>
      <c r="GK335" s="51">
        <f t="shared" si="737"/>
        <v>0</v>
      </c>
      <c r="GL335" s="51">
        <f t="shared" si="737"/>
        <v>0</v>
      </c>
      <c r="GM335" s="51">
        <f t="shared" si="737"/>
        <v>0</v>
      </c>
      <c r="GN335" s="51">
        <f t="shared" si="737"/>
        <v>0</v>
      </c>
      <c r="GO335" s="51">
        <f t="shared" si="737"/>
        <v>0</v>
      </c>
      <c r="GP335" s="51">
        <f t="shared" si="737"/>
        <v>0</v>
      </c>
      <c r="GQ335" s="51">
        <f t="shared" si="737"/>
        <v>0</v>
      </c>
      <c r="GR335" s="51">
        <f t="shared" si="737"/>
        <v>0</v>
      </c>
      <c r="GS335" s="51">
        <f t="shared" si="737"/>
        <v>0</v>
      </c>
      <c r="GT335" s="51">
        <f t="shared" si="737"/>
        <v>0</v>
      </c>
      <c r="GU335" s="51">
        <f t="shared" si="737"/>
        <v>56821804</v>
      </c>
      <c r="GV335" s="51">
        <f t="shared" si="737"/>
        <v>607000000</v>
      </c>
      <c r="GW335" s="51">
        <f t="shared" si="737"/>
        <v>124709000</v>
      </c>
      <c r="GX335" s="51">
        <f t="shared" si="737"/>
        <v>115987000</v>
      </c>
      <c r="GY335" s="51">
        <f t="shared" si="737"/>
        <v>0</v>
      </c>
      <c r="GZ335" s="51">
        <f t="shared" si="737"/>
        <v>217548604</v>
      </c>
    </row>
    <row r="336" spans="1:208" s="711" customFormat="1" ht="60.75" customHeight="1" x14ac:dyDescent="0.2">
      <c r="A336" s="703"/>
      <c r="B336" s="703"/>
      <c r="C336" s="995">
        <v>11</v>
      </c>
      <c r="D336" s="1005" t="s">
        <v>767</v>
      </c>
      <c r="E336" s="995" t="s">
        <v>477</v>
      </c>
      <c r="F336" s="995" t="s">
        <v>478</v>
      </c>
      <c r="G336" s="682">
        <v>223</v>
      </c>
      <c r="H336" s="676" t="s">
        <v>768</v>
      </c>
      <c r="I336" s="821" t="s">
        <v>769</v>
      </c>
      <c r="J336" s="813" t="s">
        <v>218</v>
      </c>
      <c r="K336" s="892">
        <v>9</v>
      </c>
      <c r="L336" s="892" t="s">
        <v>58</v>
      </c>
      <c r="M336" s="621" t="s">
        <v>53</v>
      </c>
      <c r="N336" s="621">
        <v>1</v>
      </c>
      <c r="O336" s="621">
        <v>1</v>
      </c>
      <c r="P336" s="893">
        <v>1</v>
      </c>
      <c r="Q336" s="621">
        <v>1</v>
      </c>
      <c r="R336" s="814"/>
      <c r="S336" s="893">
        <v>1</v>
      </c>
      <c r="T336" s="621">
        <v>1</v>
      </c>
      <c r="U336" s="621"/>
      <c r="V336" s="893">
        <v>0.85</v>
      </c>
      <c r="W336" s="621">
        <v>1</v>
      </c>
      <c r="X336" s="892"/>
      <c r="Y336" s="639">
        <v>0.5</v>
      </c>
      <c r="Z336" s="852">
        <f>BM336/$BM$335</f>
        <v>0.57692307692307687</v>
      </c>
      <c r="AA336" s="682">
        <v>3</v>
      </c>
      <c r="AB336" s="813" t="s">
        <v>455</v>
      </c>
      <c r="AC336" s="830"/>
      <c r="AD336" s="831"/>
      <c r="AE336" s="818"/>
      <c r="AF336" s="818"/>
      <c r="AG336" s="830">
        <v>30000000</v>
      </c>
      <c r="AH336" s="831">
        <v>39945583</v>
      </c>
      <c r="AI336" s="831">
        <v>39902249</v>
      </c>
      <c r="AJ336" s="831">
        <v>39902249</v>
      </c>
      <c r="AK336" s="830"/>
      <c r="AL336" s="831"/>
      <c r="AM336" s="831"/>
      <c r="AN336" s="831"/>
      <c r="AO336" s="830"/>
      <c r="AP336" s="831"/>
      <c r="AQ336" s="831"/>
      <c r="AR336" s="831"/>
      <c r="AS336" s="830"/>
      <c r="AT336" s="831"/>
      <c r="AU336" s="818"/>
      <c r="AV336" s="818"/>
      <c r="AW336" s="830"/>
      <c r="AX336" s="831"/>
      <c r="AY336" s="831"/>
      <c r="AZ336" s="831"/>
      <c r="BA336" s="830"/>
      <c r="BB336" s="831"/>
      <c r="BC336" s="831"/>
      <c r="BD336" s="831"/>
      <c r="BE336" s="830"/>
      <c r="BF336" s="831"/>
      <c r="BG336" s="818"/>
      <c r="BH336" s="818"/>
      <c r="BI336" s="830"/>
      <c r="BJ336" s="831"/>
      <c r="BK336" s="831"/>
      <c r="BL336" s="831"/>
      <c r="BM336" s="817">
        <f>+AC336+AG336+AK336+AO336+AS336+AW336+BA336+BE336+BI336</f>
        <v>30000000</v>
      </c>
      <c r="BN336" s="818">
        <f t="shared" ref="BN336:BP338" si="738">AD336+AH336+AL336+AP336+AT336+AX336+BB336+BF336+BJ336</f>
        <v>39945583</v>
      </c>
      <c r="BO336" s="818">
        <f t="shared" si="738"/>
        <v>39902249</v>
      </c>
      <c r="BP336" s="818">
        <f t="shared" si="738"/>
        <v>39902249</v>
      </c>
      <c r="BQ336" s="667"/>
      <c r="BR336" s="667"/>
      <c r="BS336" s="667"/>
      <c r="BT336" s="667"/>
      <c r="BU336" s="706">
        <v>30899999.999999996</v>
      </c>
      <c r="BV336" s="933">
        <v>105284954</v>
      </c>
      <c r="BW336" s="934">
        <v>81246664</v>
      </c>
      <c r="BX336" s="934">
        <v>81246664</v>
      </c>
      <c r="BY336" s="934"/>
      <c r="BZ336" s="667"/>
      <c r="CA336" s="667"/>
      <c r="CB336" s="667"/>
      <c r="CC336" s="667"/>
      <c r="CD336" s="667"/>
      <c r="CE336" s="667"/>
      <c r="CF336" s="667">
        <v>500000000</v>
      </c>
      <c r="CG336" s="667"/>
      <c r="CH336" s="667"/>
      <c r="CI336" s="667"/>
      <c r="CJ336" s="667"/>
      <c r="CK336" s="667"/>
      <c r="CL336" s="667"/>
      <c r="CM336" s="667"/>
      <c r="CN336" s="667"/>
      <c r="CO336" s="667"/>
      <c r="CP336" s="667"/>
      <c r="CQ336" s="667"/>
      <c r="CR336" s="667"/>
      <c r="CS336" s="667"/>
      <c r="CT336" s="667"/>
      <c r="CU336" s="667"/>
      <c r="CV336" s="667"/>
      <c r="CW336" s="667"/>
      <c r="CX336" s="667"/>
      <c r="CY336" s="667"/>
      <c r="CZ336" s="667"/>
      <c r="DA336" s="667"/>
      <c r="DB336" s="667"/>
      <c r="DC336" s="667"/>
      <c r="DD336" s="667"/>
      <c r="DE336" s="708">
        <f t="shared" ref="DE336:DH338" si="739">BQ336+BU336+BZ336+CE336+CI336+CM336+CQ336+CV336+DA336</f>
        <v>30899999.999999996</v>
      </c>
      <c r="DF336" s="708">
        <f t="shared" si="739"/>
        <v>605284954</v>
      </c>
      <c r="DG336" s="708">
        <f t="shared" si="739"/>
        <v>81246664</v>
      </c>
      <c r="DH336" s="708">
        <f t="shared" si="739"/>
        <v>81246664</v>
      </c>
      <c r="DI336" s="708"/>
      <c r="DJ336" s="706"/>
      <c r="DK336" s="706"/>
      <c r="DL336" s="706"/>
      <c r="DM336" s="706"/>
      <c r="DN336" s="706">
        <v>31826999.999999996</v>
      </c>
      <c r="DO336" s="706">
        <v>102733200</v>
      </c>
      <c r="DP336" s="706">
        <v>87176990</v>
      </c>
      <c r="DQ336" s="706">
        <v>87176990</v>
      </c>
      <c r="DR336" s="706"/>
      <c r="DS336" s="706"/>
      <c r="DT336" s="706"/>
      <c r="DU336" s="706"/>
      <c r="DV336" s="706"/>
      <c r="DW336" s="706"/>
      <c r="DX336" s="706"/>
      <c r="DY336" s="706"/>
      <c r="DZ336" s="706"/>
      <c r="EA336" s="706"/>
      <c r="EB336" s="706"/>
      <c r="EC336" s="706"/>
      <c r="ED336" s="706"/>
      <c r="EE336" s="706"/>
      <c r="EF336" s="706"/>
      <c r="EG336" s="706"/>
      <c r="EH336" s="706"/>
      <c r="EI336" s="706"/>
      <c r="EJ336" s="706"/>
      <c r="EK336" s="706"/>
      <c r="EL336" s="706"/>
      <c r="EM336" s="706"/>
      <c r="EN336" s="706"/>
      <c r="EO336" s="706"/>
      <c r="EP336" s="706"/>
      <c r="EQ336" s="706"/>
      <c r="ER336" s="706"/>
      <c r="ES336" s="706"/>
      <c r="ET336" s="667"/>
      <c r="EU336" s="667"/>
      <c r="EV336" s="667"/>
      <c r="EW336" s="708">
        <f t="shared" ref="EW336:EX338" si="740">DJ336+DN336+DS336+DX336+EB336+EF336+EJ336+EN336+ES336</f>
        <v>31826999.999999996</v>
      </c>
      <c r="EX336" s="819">
        <f t="shared" si="740"/>
        <v>102733200</v>
      </c>
      <c r="EY336" s="819">
        <f t="shared" ref="EX336:EZ338" si="741">DL336+DP336+DU336+DZ336+ED336+EH336+EL336+EP336+EU336</f>
        <v>87176990</v>
      </c>
      <c r="EZ336" s="819">
        <f t="shared" si="741"/>
        <v>87176990</v>
      </c>
      <c r="FA336" s="820"/>
      <c r="FB336" s="667"/>
      <c r="FC336" s="706"/>
      <c r="FD336" s="706"/>
      <c r="FE336" s="706"/>
      <c r="FF336" s="707"/>
      <c r="FG336" s="667">
        <v>32700000</v>
      </c>
      <c r="FH336" s="667">
        <v>576000000</v>
      </c>
      <c r="FI336" s="667">
        <v>124709000</v>
      </c>
      <c r="FJ336" s="667">
        <v>115987000</v>
      </c>
      <c r="FK336" s="667"/>
      <c r="FL336" s="667"/>
      <c r="FM336" s="667"/>
      <c r="FN336" s="667"/>
      <c r="FO336" s="667"/>
      <c r="FP336" s="667"/>
      <c r="FQ336" s="667"/>
      <c r="FR336" s="667"/>
      <c r="FS336" s="667"/>
      <c r="FT336" s="667"/>
      <c r="FU336" s="667"/>
      <c r="FV336" s="667"/>
      <c r="FW336" s="667"/>
      <c r="FX336" s="667"/>
      <c r="FY336" s="667"/>
      <c r="FZ336" s="667"/>
      <c r="GA336" s="667"/>
      <c r="GB336" s="667"/>
      <c r="GC336" s="667"/>
      <c r="GD336" s="667"/>
      <c r="GE336" s="667"/>
      <c r="GF336" s="667"/>
      <c r="GG336" s="667"/>
      <c r="GH336" s="667"/>
      <c r="GI336" s="667"/>
      <c r="GJ336" s="667"/>
      <c r="GK336" s="667"/>
      <c r="GL336" s="667"/>
      <c r="GM336" s="667"/>
      <c r="GN336" s="667"/>
      <c r="GO336" s="667"/>
      <c r="GP336" s="667"/>
      <c r="GQ336" s="667"/>
      <c r="GR336" s="667"/>
      <c r="GS336" s="667"/>
      <c r="GT336" s="667"/>
      <c r="GU336" s="708">
        <f t="shared" ref="GU336:GY338" si="742">FB336+FG336+FL336+FQ336+FV336+GA336+GF336+GK336+GP336</f>
        <v>32700000</v>
      </c>
      <c r="GV336" s="708">
        <f t="shared" si="742"/>
        <v>576000000</v>
      </c>
      <c r="GW336" s="708">
        <f t="shared" si="742"/>
        <v>124709000</v>
      </c>
      <c r="GX336" s="708">
        <f t="shared" si="742"/>
        <v>115987000</v>
      </c>
      <c r="GY336" s="709">
        <f t="shared" si="742"/>
        <v>0</v>
      </c>
      <c r="GZ336" s="710">
        <f>BM336+DE336+EW336+GU336</f>
        <v>125427000</v>
      </c>
    </row>
    <row r="337" spans="1:208" ht="50.25" customHeight="1" x14ac:dyDescent="0.2">
      <c r="A337" s="326"/>
      <c r="B337" s="326"/>
      <c r="C337" s="279"/>
      <c r="D337" s="722"/>
      <c r="E337" s="306"/>
      <c r="F337" s="306"/>
      <c r="G337" s="265">
        <v>224</v>
      </c>
      <c r="H337" s="261" t="s">
        <v>770</v>
      </c>
      <c r="I337" s="275" t="s">
        <v>771</v>
      </c>
      <c r="J337" s="262" t="s">
        <v>218</v>
      </c>
      <c r="K337" s="415">
        <v>9</v>
      </c>
      <c r="L337" s="304" t="s">
        <v>58</v>
      </c>
      <c r="M337" s="288">
        <v>0</v>
      </c>
      <c r="N337" s="288">
        <v>1</v>
      </c>
      <c r="O337" s="259">
        <v>1</v>
      </c>
      <c r="P337" s="387">
        <v>0</v>
      </c>
      <c r="Q337" s="288">
        <v>1</v>
      </c>
      <c r="R337" s="268"/>
      <c r="S337" s="389">
        <v>0.8</v>
      </c>
      <c r="T337" s="288">
        <v>1</v>
      </c>
      <c r="U337" s="288"/>
      <c r="V337" s="389">
        <v>0.2</v>
      </c>
      <c r="W337" s="288">
        <v>1</v>
      </c>
      <c r="X337" s="304"/>
      <c r="Y337" s="631">
        <v>0.7</v>
      </c>
      <c r="Z337" s="390">
        <f>BM337/$BM$335</f>
        <v>0.38461538461538464</v>
      </c>
      <c r="AA337" s="264">
        <v>11</v>
      </c>
      <c r="AB337" s="263" t="s">
        <v>229</v>
      </c>
      <c r="AC337" s="56"/>
      <c r="AD337" s="55"/>
      <c r="AE337" s="54"/>
      <c r="AF337" s="54"/>
      <c r="AG337" s="57">
        <v>20000000</v>
      </c>
      <c r="AH337" s="55">
        <v>10054417</v>
      </c>
      <c r="AI337" s="58"/>
      <c r="AJ337" s="58"/>
      <c r="AK337" s="56"/>
      <c r="AL337" s="55"/>
      <c r="AM337" s="55"/>
      <c r="AN337" s="55"/>
      <c r="AO337" s="56"/>
      <c r="AP337" s="55"/>
      <c r="AQ337" s="55"/>
      <c r="AR337" s="55"/>
      <c r="AS337" s="56"/>
      <c r="AT337" s="55"/>
      <c r="AU337" s="54"/>
      <c r="AV337" s="54"/>
      <c r="AW337" s="56"/>
      <c r="AX337" s="55"/>
      <c r="AY337" s="55"/>
      <c r="AZ337" s="55"/>
      <c r="BA337" s="56"/>
      <c r="BB337" s="55"/>
      <c r="BC337" s="55"/>
      <c r="BD337" s="55"/>
      <c r="BE337" s="56"/>
      <c r="BF337" s="55"/>
      <c r="BG337" s="54"/>
      <c r="BH337" s="54"/>
      <c r="BI337" s="56"/>
      <c r="BJ337" s="55"/>
      <c r="BK337" s="55"/>
      <c r="BL337" s="55"/>
      <c r="BM337" s="53">
        <f>+AC337+AG337+AK337+AO337+AS337+AW337+BA337+BE337+BI337</f>
        <v>20000000</v>
      </c>
      <c r="BN337" s="54">
        <f t="shared" si="738"/>
        <v>10054417</v>
      </c>
      <c r="BO337" s="54">
        <f t="shared" si="738"/>
        <v>0</v>
      </c>
      <c r="BP337" s="54">
        <f t="shared" si="738"/>
        <v>0</v>
      </c>
      <c r="BQ337" s="83"/>
      <c r="BR337" s="83"/>
      <c r="BS337" s="83"/>
      <c r="BT337" s="83"/>
      <c r="BU337" s="84">
        <v>20600000</v>
      </c>
      <c r="BV337" s="83">
        <v>20600000</v>
      </c>
      <c r="BW337" s="83">
        <v>0</v>
      </c>
      <c r="BX337" s="83">
        <v>0</v>
      </c>
      <c r="BY337" s="83"/>
      <c r="BZ337" s="83"/>
      <c r="CA337" s="83"/>
      <c r="CB337" s="83"/>
      <c r="CC337" s="83"/>
      <c r="CD337" s="83"/>
      <c r="CE337" s="83"/>
      <c r="CF337" s="83"/>
      <c r="CG337" s="83"/>
      <c r="CH337" s="83"/>
      <c r="CI337" s="83"/>
      <c r="CJ337" s="83"/>
      <c r="CK337" s="83"/>
      <c r="CL337" s="83"/>
      <c r="CM337" s="83"/>
      <c r="CN337" s="83"/>
      <c r="CO337" s="83"/>
      <c r="CP337" s="83"/>
      <c r="CQ337" s="83"/>
      <c r="CR337" s="83"/>
      <c r="CS337" s="83"/>
      <c r="CT337" s="83"/>
      <c r="CU337" s="83"/>
      <c r="CV337" s="83"/>
      <c r="CW337" s="83"/>
      <c r="CX337" s="83"/>
      <c r="CY337" s="83"/>
      <c r="CZ337" s="83"/>
      <c r="DA337" s="83"/>
      <c r="DB337" s="83"/>
      <c r="DC337" s="83"/>
      <c r="DD337" s="83"/>
      <c r="DE337" s="81">
        <f t="shared" si="739"/>
        <v>20600000</v>
      </c>
      <c r="DF337" s="95">
        <f t="shared" si="739"/>
        <v>20600000</v>
      </c>
      <c r="DG337" s="95">
        <f t="shared" si="739"/>
        <v>0</v>
      </c>
      <c r="DH337" s="95">
        <f t="shared" si="739"/>
        <v>0</v>
      </c>
      <c r="DI337" s="95"/>
      <c r="DJ337" s="84"/>
      <c r="DK337" s="65"/>
      <c r="DL337" s="84"/>
      <c r="DM337" s="84"/>
      <c r="DN337" s="84">
        <v>21218000</v>
      </c>
      <c r="DO337" s="65">
        <v>10600000</v>
      </c>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3"/>
      <c r="EU337" s="83"/>
      <c r="EV337" s="83"/>
      <c r="EW337" s="81">
        <f t="shared" si="740"/>
        <v>21218000</v>
      </c>
      <c r="EX337" s="86">
        <f t="shared" si="741"/>
        <v>10600000</v>
      </c>
      <c r="EY337" s="86">
        <f t="shared" si="741"/>
        <v>0</v>
      </c>
      <c r="EZ337" s="86">
        <f t="shared" si="741"/>
        <v>0</v>
      </c>
      <c r="FA337" s="176"/>
      <c r="FB337" s="83"/>
      <c r="FC337" s="84"/>
      <c r="FD337" s="84"/>
      <c r="FE337" s="84"/>
      <c r="FF337" s="140"/>
      <c r="FG337" s="83">
        <v>21850000</v>
      </c>
      <c r="FH337" s="83">
        <v>21000000</v>
      </c>
      <c r="FI337" s="83"/>
      <c r="FJ337" s="83"/>
      <c r="FK337" s="83"/>
      <c r="FL337" s="83"/>
      <c r="FM337" s="83"/>
      <c r="FN337" s="83"/>
      <c r="FO337" s="83"/>
      <c r="FP337" s="83"/>
      <c r="FQ337" s="83"/>
      <c r="FR337" s="83"/>
      <c r="FS337" s="83"/>
      <c r="FT337" s="83"/>
      <c r="FU337" s="83"/>
      <c r="FV337" s="83"/>
      <c r="FW337" s="83"/>
      <c r="FX337" s="83"/>
      <c r="FY337" s="83"/>
      <c r="FZ337" s="83"/>
      <c r="GA337" s="83"/>
      <c r="GB337" s="83"/>
      <c r="GC337" s="83"/>
      <c r="GD337" s="83"/>
      <c r="GE337" s="83"/>
      <c r="GF337" s="83"/>
      <c r="GG337" s="83"/>
      <c r="GH337" s="83"/>
      <c r="GI337" s="83"/>
      <c r="GJ337" s="83"/>
      <c r="GK337" s="83"/>
      <c r="GL337" s="83"/>
      <c r="GM337" s="83"/>
      <c r="GN337" s="83"/>
      <c r="GO337" s="83"/>
      <c r="GP337" s="83"/>
      <c r="GQ337" s="83"/>
      <c r="GR337" s="83"/>
      <c r="GS337" s="83"/>
      <c r="GT337" s="83"/>
      <c r="GU337" s="81">
        <f t="shared" si="742"/>
        <v>21850000</v>
      </c>
      <c r="GV337" s="81">
        <f t="shared" si="742"/>
        <v>21000000</v>
      </c>
      <c r="GW337" s="81">
        <f t="shared" si="742"/>
        <v>0</v>
      </c>
      <c r="GX337" s="81">
        <f t="shared" si="742"/>
        <v>0</v>
      </c>
      <c r="GY337" s="673">
        <f t="shared" si="742"/>
        <v>0</v>
      </c>
      <c r="GZ337" s="67">
        <f>BM337+DE337+EW337+GU337</f>
        <v>83668000</v>
      </c>
    </row>
    <row r="338" spans="1:208" ht="50.25" customHeight="1" x14ac:dyDescent="0.2">
      <c r="A338" s="326"/>
      <c r="B338" s="372"/>
      <c r="C338" s="277"/>
      <c r="D338" s="723"/>
      <c r="E338" s="284"/>
      <c r="F338" s="284"/>
      <c r="G338" s="265">
        <v>225</v>
      </c>
      <c r="H338" s="261" t="s">
        <v>772</v>
      </c>
      <c r="I338" s="275" t="s">
        <v>773</v>
      </c>
      <c r="J338" s="262" t="s">
        <v>218</v>
      </c>
      <c r="K338" s="415">
        <v>9</v>
      </c>
      <c r="L338" s="304" t="s">
        <v>58</v>
      </c>
      <c r="M338" s="288">
        <v>0</v>
      </c>
      <c r="N338" s="288">
        <v>1</v>
      </c>
      <c r="O338" s="259">
        <v>1</v>
      </c>
      <c r="P338" s="387">
        <v>0</v>
      </c>
      <c r="Q338" s="288">
        <v>1</v>
      </c>
      <c r="R338" s="268"/>
      <c r="S338" s="389">
        <v>0</v>
      </c>
      <c r="T338" s="288">
        <v>1</v>
      </c>
      <c r="U338" s="288"/>
      <c r="V338" s="389">
        <v>0</v>
      </c>
      <c r="W338" s="288">
        <v>1</v>
      </c>
      <c r="X338" s="304"/>
      <c r="Y338" s="631">
        <v>0</v>
      </c>
      <c r="Z338" s="390">
        <f>BM338/$BM$335</f>
        <v>3.8461538461538464E-2</v>
      </c>
      <c r="AA338" s="264">
        <v>11</v>
      </c>
      <c r="AB338" s="263" t="s">
        <v>229</v>
      </c>
      <c r="AC338" s="56"/>
      <c r="AD338" s="55"/>
      <c r="AE338" s="54"/>
      <c r="AF338" s="54"/>
      <c r="AG338" s="57">
        <v>2000000</v>
      </c>
      <c r="AH338" s="55">
        <v>2000000</v>
      </c>
      <c r="AI338" s="58"/>
      <c r="AJ338" s="58"/>
      <c r="AK338" s="56"/>
      <c r="AL338" s="55"/>
      <c r="AM338" s="55"/>
      <c r="AN338" s="55"/>
      <c r="AO338" s="56"/>
      <c r="AP338" s="55"/>
      <c r="AQ338" s="55"/>
      <c r="AR338" s="55"/>
      <c r="AS338" s="56"/>
      <c r="AT338" s="55"/>
      <c r="AU338" s="54"/>
      <c r="AV338" s="54"/>
      <c r="AW338" s="56"/>
      <c r="AX338" s="55"/>
      <c r="AY338" s="55"/>
      <c r="AZ338" s="55"/>
      <c r="BA338" s="56"/>
      <c r="BB338" s="55"/>
      <c r="BC338" s="55"/>
      <c r="BD338" s="55"/>
      <c r="BE338" s="56"/>
      <c r="BF338" s="55"/>
      <c r="BG338" s="54"/>
      <c r="BH338" s="54"/>
      <c r="BI338" s="56"/>
      <c r="BJ338" s="55"/>
      <c r="BK338" s="55"/>
      <c r="BL338" s="55"/>
      <c r="BM338" s="53">
        <f>+AC338+AG338+AK338+AO338+AS338+AW338+BA338+BE338+BI338</f>
        <v>2000000</v>
      </c>
      <c r="BN338" s="54">
        <f t="shared" si="738"/>
        <v>2000000</v>
      </c>
      <c r="BO338" s="54">
        <f t="shared" si="738"/>
        <v>0</v>
      </c>
      <c r="BP338" s="54">
        <f t="shared" si="738"/>
        <v>0</v>
      </c>
      <c r="BQ338" s="83"/>
      <c r="BR338" s="83"/>
      <c r="BS338" s="83"/>
      <c r="BT338" s="83"/>
      <c r="BU338" s="84">
        <v>2060000</v>
      </c>
      <c r="BV338" s="83">
        <v>3666800</v>
      </c>
      <c r="BW338" s="83">
        <v>0</v>
      </c>
      <c r="BX338" s="83">
        <v>0</v>
      </c>
      <c r="BY338" s="83"/>
      <c r="BZ338" s="83"/>
      <c r="CA338" s="83"/>
      <c r="CB338" s="83"/>
      <c r="CC338" s="83"/>
      <c r="CD338" s="83"/>
      <c r="CE338" s="83"/>
      <c r="CF338" s="83"/>
      <c r="CG338" s="83"/>
      <c r="CH338" s="83"/>
      <c r="CI338" s="83"/>
      <c r="CJ338" s="83"/>
      <c r="CK338" s="83"/>
      <c r="CL338" s="83"/>
      <c r="CM338" s="83"/>
      <c r="CN338" s="83"/>
      <c r="CO338" s="83"/>
      <c r="CP338" s="83"/>
      <c r="CQ338" s="83"/>
      <c r="CR338" s="83"/>
      <c r="CS338" s="83"/>
      <c r="CT338" s="83"/>
      <c r="CU338" s="83"/>
      <c r="CV338" s="83"/>
      <c r="CW338" s="83"/>
      <c r="CX338" s="83"/>
      <c r="CY338" s="83"/>
      <c r="CZ338" s="83"/>
      <c r="DA338" s="83"/>
      <c r="DB338" s="83"/>
      <c r="DC338" s="83"/>
      <c r="DD338" s="83"/>
      <c r="DE338" s="81">
        <f t="shared" si="739"/>
        <v>2060000</v>
      </c>
      <c r="DF338" s="95">
        <f t="shared" si="739"/>
        <v>3666800</v>
      </c>
      <c r="DG338" s="95">
        <f t="shared" si="739"/>
        <v>0</v>
      </c>
      <c r="DH338" s="95">
        <f t="shared" si="739"/>
        <v>0</v>
      </c>
      <c r="DI338" s="95"/>
      <c r="DJ338" s="84"/>
      <c r="DK338" s="65"/>
      <c r="DL338" s="84"/>
      <c r="DM338" s="84"/>
      <c r="DN338" s="84">
        <v>2121800</v>
      </c>
      <c r="DO338" s="84">
        <v>1666800</v>
      </c>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3"/>
      <c r="EU338" s="83"/>
      <c r="EV338" s="83"/>
      <c r="EW338" s="81">
        <f t="shared" si="740"/>
        <v>2121800</v>
      </c>
      <c r="EX338" s="86">
        <f t="shared" si="741"/>
        <v>1666800</v>
      </c>
      <c r="EY338" s="86">
        <f t="shared" si="741"/>
        <v>0</v>
      </c>
      <c r="EZ338" s="86">
        <f t="shared" si="741"/>
        <v>0</v>
      </c>
      <c r="FA338" s="176"/>
      <c r="FB338" s="83"/>
      <c r="FC338" s="84"/>
      <c r="FD338" s="84"/>
      <c r="FE338" s="84"/>
      <c r="FF338" s="140"/>
      <c r="FG338" s="83">
        <v>2271804</v>
      </c>
      <c r="FH338" s="83">
        <v>10000000</v>
      </c>
      <c r="FI338" s="83"/>
      <c r="FJ338" s="83"/>
      <c r="FK338" s="83"/>
      <c r="FL338" s="83"/>
      <c r="FM338" s="83"/>
      <c r="FN338" s="83"/>
      <c r="FO338" s="83"/>
      <c r="FP338" s="83"/>
      <c r="FQ338" s="83"/>
      <c r="FR338" s="83"/>
      <c r="FS338" s="83"/>
      <c r="FT338" s="83"/>
      <c r="FU338" s="83"/>
      <c r="FV338" s="83"/>
      <c r="FW338" s="83"/>
      <c r="FX338" s="83"/>
      <c r="FY338" s="83"/>
      <c r="FZ338" s="83"/>
      <c r="GA338" s="83"/>
      <c r="GB338" s="83"/>
      <c r="GC338" s="83"/>
      <c r="GD338" s="83"/>
      <c r="GE338" s="83"/>
      <c r="GF338" s="83"/>
      <c r="GG338" s="83"/>
      <c r="GH338" s="83"/>
      <c r="GI338" s="83"/>
      <c r="GJ338" s="83"/>
      <c r="GK338" s="83"/>
      <c r="GL338" s="83"/>
      <c r="GM338" s="83"/>
      <c r="GN338" s="83"/>
      <c r="GO338" s="83"/>
      <c r="GP338" s="83"/>
      <c r="GQ338" s="83"/>
      <c r="GR338" s="83"/>
      <c r="GS338" s="83"/>
      <c r="GT338" s="83"/>
      <c r="GU338" s="81">
        <f t="shared" si="742"/>
        <v>2271804</v>
      </c>
      <c r="GV338" s="81">
        <f t="shared" si="742"/>
        <v>10000000</v>
      </c>
      <c r="GW338" s="81">
        <f t="shared" si="742"/>
        <v>0</v>
      </c>
      <c r="GX338" s="81">
        <f t="shared" si="742"/>
        <v>0</v>
      </c>
      <c r="GY338" s="673">
        <f t="shared" si="742"/>
        <v>0</v>
      </c>
      <c r="GZ338" s="67">
        <f>BM338+DE338+EW338+GU338</f>
        <v>8453604</v>
      </c>
    </row>
    <row r="339" spans="1:208" ht="24.75" customHeight="1" x14ac:dyDescent="0.2">
      <c r="A339" s="326"/>
      <c r="B339" s="234">
        <v>24</v>
      </c>
      <c r="C339" s="324" t="s">
        <v>774</v>
      </c>
      <c r="D339" s="239"/>
      <c r="E339" s="236"/>
      <c r="F339" s="237"/>
      <c r="G339" s="238"/>
      <c r="H339" s="238"/>
      <c r="I339" s="238"/>
      <c r="J339" s="238"/>
      <c r="K339" s="238"/>
      <c r="L339" s="238"/>
      <c r="M339" s="238"/>
      <c r="N339" s="238"/>
      <c r="O339" s="238"/>
      <c r="P339" s="238"/>
      <c r="Q339" s="238"/>
      <c r="R339" s="238"/>
      <c r="S339" s="238"/>
      <c r="T339" s="238"/>
      <c r="U339" s="238"/>
      <c r="V339" s="238"/>
      <c r="W339" s="238"/>
      <c r="X339" s="238"/>
      <c r="Y339" s="241"/>
      <c r="Z339" s="238"/>
      <c r="AA339" s="238"/>
      <c r="AB339" s="238"/>
      <c r="AC339" s="193">
        <f t="shared" ref="AC339:CN339" si="743">AC340+AC346+AC350</f>
        <v>0</v>
      </c>
      <c r="AD339" s="193">
        <f t="shared" si="743"/>
        <v>0</v>
      </c>
      <c r="AE339" s="193">
        <f t="shared" si="743"/>
        <v>0</v>
      </c>
      <c r="AF339" s="193">
        <f t="shared" si="743"/>
        <v>0</v>
      </c>
      <c r="AG339" s="193">
        <f t="shared" si="743"/>
        <v>0</v>
      </c>
      <c r="AH339" s="193">
        <f t="shared" si="743"/>
        <v>0</v>
      </c>
      <c r="AI339" s="193">
        <f t="shared" si="743"/>
        <v>0</v>
      </c>
      <c r="AJ339" s="193">
        <f t="shared" si="743"/>
        <v>0</v>
      </c>
      <c r="AK339" s="193">
        <f t="shared" si="743"/>
        <v>537000000</v>
      </c>
      <c r="AL339" s="193">
        <f t="shared" si="743"/>
        <v>537000000</v>
      </c>
      <c r="AM339" s="193">
        <f t="shared" si="743"/>
        <v>294234708</v>
      </c>
      <c r="AN339" s="193">
        <f t="shared" si="743"/>
        <v>278693908</v>
      </c>
      <c r="AO339" s="193">
        <f t="shared" si="743"/>
        <v>0</v>
      </c>
      <c r="AP339" s="193">
        <f t="shared" si="743"/>
        <v>0</v>
      </c>
      <c r="AQ339" s="193">
        <f t="shared" si="743"/>
        <v>0</v>
      </c>
      <c r="AR339" s="193">
        <f t="shared" si="743"/>
        <v>0</v>
      </c>
      <c r="AS339" s="193">
        <f t="shared" si="743"/>
        <v>0</v>
      </c>
      <c r="AT339" s="193">
        <f t="shared" si="743"/>
        <v>0</v>
      </c>
      <c r="AU339" s="193">
        <f t="shared" si="743"/>
        <v>0</v>
      </c>
      <c r="AV339" s="193">
        <f t="shared" si="743"/>
        <v>0</v>
      </c>
      <c r="AW339" s="193">
        <f t="shared" si="743"/>
        <v>0</v>
      </c>
      <c r="AX339" s="193">
        <f t="shared" si="743"/>
        <v>0</v>
      </c>
      <c r="AY339" s="193">
        <f t="shared" si="743"/>
        <v>0</v>
      </c>
      <c r="AZ339" s="193">
        <f t="shared" si="743"/>
        <v>0</v>
      </c>
      <c r="BA339" s="193">
        <f t="shared" si="743"/>
        <v>0</v>
      </c>
      <c r="BB339" s="193">
        <f t="shared" si="743"/>
        <v>0</v>
      </c>
      <c r="BC339" s="193">
        <f t="shared" si="743"/>
        <v>0</v>
      </c>
      <c r="BD339" s="193">
        <f t="shared" si="743"/>
        <v>0</v>
      </c>
      <c r="BE339" s="193">
        <f t="shared" si="743"/>
        <v>0</v>
      </c>
      <c r="BF339" s="193">
        <f t="shared" si="743"/>
        <v>0</v>
      </c>
      <c r="BG339" s="193">
        <f t="shared" si="743"/>
        <v>0</v>
      </c>
      <c r="BH339" s="193">
        <f t="shared" si="743"/>
        <v>0</v>
      </c>
      <c r="BI339" s="193">
        <f t="shared" si="743"/>
        <v>0</v>
      </c>
      <c r="BJ339" s="193">
        <f t="shared" si="743"/>
        <v>0</v>
      </c>
      <c r="BK339" s="193">
        <f t="shared" si="743"/>
        <v>0</v>
      </c>
      <c r="BL339" s="193">
        <f t="shared" si="743"/>
        <v>0</v>
      </c>
      <c r="BM339" s="193">
        <f t="shared" si="743"/>
        <v>537000000</v>
      </c>
      <c r="BN339" s="193">
        <f t="shared" si="743"/>
        <v>537000000</v>
      </c>
      <c r="BO339" s="193">
        <f t="shared" si="743"/>
        <v>294234708</v>
      </c>
      <c r="BP339" s="193">
        <f t="shared" si="743"/>
        <v>278693908</v>
      </c>
      <c r="BQ339" s="193">
        <f t="shared" si="743"/>
        <v>0</v>
      </c>
      <c r="BR339" s="193">
        <f t="shared" si="743"/>
        <v>0</v>
      </c>
      <c r="BS339" s="193">
        <f t="shared" si="743"/>
        <v>0</v>
      </c>
      <c r="BT339" s="193">
        <f t="shared" si="743"/>
        <v>0</v>
      </c>
      <c r="BU339" s="193">
        <f t="shared" si="743"/>
        <v>0</v>
      </c>
      <c r="BV339" s="193">
        <f t="shared" si="743"/>
        <v>187000000</v>
      </c>
      <c r="BW339" s="193">
        <f t="shared" si="743"/>
        <v>132793333</v>
      </c>
      <c r="BX339" s="193">
        <f t="shared" si="743"/>
        <v>132793333</v>
      </c>
      <c r="BY339" s="193">
        <f t="shared" si="743"/>
        <v>0</v>
      </c>
      <c r="BZ339" s="193">
        <f t="shared" si="743"/>
        <v>464349775.75</v>
      </c>
      <c r="CA339" s="193">
        <f t="shared" si="743"/>
        <v>514349776</v>
      </c>
      <c r="CB339" s="193">
        <f t="shared" si="743"/>
        <v>318908871</v>
      </c>
      <c r="CC339" s="193">
        <f t="shared" si="743"/>
        <v>316070595</v>
      </c>
      <c r="CD339" s="193">
        <f t="shared" si="743"/>
        <v>0</v>
      </c>
      <c r="CE339" s="193">
        <f t="shared" si="743"/>
        <v>0</v>
      </c>
      <c r="CF339" s="193">
        <f t="shared" si="743"/>
        <v>0</v>
      </c>
      <c r="CG339" s="193">
        <f t="shared" si="743"/>
        <v>0</v>
      </c>
      <c r="CH339" s="193">
        <f t="shared" si="743"/>
        <v>0</v>
      </c>
      <c r="CI339" s="193">
        <f t="shared" si="743"/>
        <v>0</v>
      </c>
      <c r="CJ339" s="193">
        <f t="shared" si="743"/>
        <v>0</v>
      </c>
      <c r="CK339" s="193">
        <f t="shared" si="743"/>
        <v>0</v>
      </c>
      <c r="CL339" s="193">
        <f t="shared" si="743"/>
        <v>0</v>
      </c>
      <c r="CM339" s="193">
        <f t="shared" si="743"/>
        <v>0</v>
      </c>
      <c r="CN339" s="193">
        <f t="shared" si="743"/>
        <v>0</v>
      </c>
      <c r="CO339" s="193">
        <f t="shared" ref="CO339:EV339" si="744">CO340+CO346+CO350</f>
        <v>0</v>
      </c>
      <c r="CP339" s="193">
        <f t="shared" si="744"/>
        <v>0</v>
      </c>
      <c r="CQ339" s="193">
        <f t="shared" si="744"/>
        <v>0</v>
      </c>
      <c r="CR339" s="193">
        <f t="shared" si="744"/>
        <v>0</v>
      </c>
      <c r="CS339" s="193">
        <f t="shared" si="744"/>
        <v>0</v>
      </c>
      <c r="CT339" s="193">
        <f t="shared" si="744"/>
        <v>0</v>
      </c>
      <c r="CU339" s="193">
        <f t="shared" si="744"/>
        <v>0</v>
      </c>
      <c r="CV339" s="193">
        <f t="shared" si="744"/>
        <v>0</v>
      </c>
      <c r="CW339" s="193">
        <f t="shared" si="744"/>
        <v>0</v>
      </c>
      <c r="CX339" s="193">
        <f t="shared" si="744"/>
        <v>0</v>
      </c>
      <c r="CY339" s="193">
        <f t="shared" si="744"/>
        <v>0</v>
      </c>
      <c r="CZ339" s="193">
        <f t="shared" si="744"/>
        <v>0</v>
      </c>
      <c r="DA339" s="193">
        <f t="shared" si="744"/>
        <v>0</v>
      </c>
      <c r="DB339" s="193">
        <f t="shared" si="744"/>
        <v>0</v>
      </c>
      <c r="DC339" s="193">
        <f t="shared" si="744"/>
        <v>0</v>
      </c>
      <c r="DD339" s="193">
        <f t="shared" si="744"/>
        <v>0</v>
      </c>
      <c r="DE339" s="193">
        <f t="shared" si="744"/>
        <v>464349775.75</v>
      </c>
      <c r="DF339" s="193">
        <f t="shared" si="744"/>
        <v>701349776</v>
      </c>
      <c r="DG339" s="193">
        <f t="shared" si="744"/>
        <v>451702204</v>
      </c>
      <c r="DH339" s="193">
        <f t="shared" si="744"/>
        <v>448863928</v>
      </c>
      <c r="DI339" s="193">
        <f t="shared" si="744"/>
        <v>0</v>
      </c>
      <c r="DJ339" s="193">
        <f t="shared" si="744"/>
        <v>0</v>
      </c>
      <c r="DK339" s="193">
        <f t="shared" si="744"/>
        <v>0</v>
      </c>
      <c r="DL339" s="193">
        <f t="shared" si="744"/>
        <v>0</v>
      </c>
      <c r="DM339" s="193">
        <f t="shared" si="744"/>
        <v>0</v>
      </c>
      <c r="DN339" s="193">
        <f t="shared" si="744"/>
        <v>0</v>
      </c>
      <c r="DO339" s="193">
        <f t="shared" si="744"/>
        <v>160000000</v>
      </c>
      <c r="DP339" s="193">
        <f t="shared" si="744"/>
        <v>91958996</v>
      </c>
      <c r="DQ339" s="193">
        <f t="shared" si="744"/>
        <v>91403396</v>
      </c>
      <c r="DR339" s="193">
        <f t="shared" si="744"/>
        <v>0</v>
      </c>
      <c r="DS339" s="193">
        <f t="shared" si="744"/>
        <v>478280269.023</v>
      </c>
      <c r="DT339" s="193">
        <f t="shared" si="744"/>
        <v>454000000</v>
      </c>
      <c r="DU339" s="193">
        <f t="shared" si="744"/>
        <v>268562673</v>
      </c>
      <c r="DV339" s="193">
        <f t="shared" si="744"/>
        <v>264287673</v>
      </c>
      <c r="DW339" s="193">
        <f t="shared" si="744"/>
        <v>0</v>
      </c>
      <c r="DX339" s="193">
        <f t="shared" si="744"/>
        <v>0</v>
      </c>
      <c r="DY339" s="193">
        <f t="shared" si="744"/>
        <v>0</v>
      </c>
      <c r="DZ339" s="193">
        <f t="shared" si="744"/>
        <v>0</v>
      </c>
      <c r="EA339" s="193">
        <f t="shared" si="744"/>
        <v>0</v>
      </c>
      <c r="EB339" s="193">
        <f t="shared" si="744"/>
        <v>0</v>
      </c>
      <c r="EC339" s="193">
        <f t="shared" si="744"/>
        <v>0</v>
      </c>
      <c r="ED339" s="193">
        <f t="shared" si="744"/>
        <v>0</v>
      </c>
      <c r="EE339" s="193">
        <f t="shared" si="744"/>
        <v>0</v>
      </c>
      <c r="EF339" s="193">
        <f t="shared" si="744"/>
        <v>0</v>
      </c>
      <c r="EG339" s="193">
        <f t="shared" si="744"/>
        <v>0</v>
      </c>
      <c r="EH339" s="193">
        <f t="shared" si="744"/>
        <v>0</v>
      </c>
      <c r="EI339" s="193">
        <f t="shared" si="744"/>
        <v>0</v>
      </c>
      <c r="EJ339" s="193">
        <f t="shared" si="744"/>
        <v>0</v>
      </c>
      <c r="EK339" s="193">
        <f t="shared" si="744"/>
        <v>0</v>
      </c>
      <c r="EL339" s="193">
        <f t="shared" si="744"/>
        <v>0</v>
      </c>
      <c r="EM339" s="193">
        <f t="shared" si="744"/>
        <v>0</v>
      </c>
      <c r="EN339" s="193">
        <f t="shared" si="744"/>
        <v>0</v>
      </c>
      <c r="EO339" s="193">
        <f t="shared" si="744"/>
        <v>0</v>
      </c>
      <c r="EP339" s="193">
        <f t="shared" si="744"/>
        <v>0</v>
      </c>
      <c r="EQ339" s="193">
        <f t="shared" si="744"/>
        <v>0</v>
      </c>
      <c r="ER339" s="193">
        <f t="shared" si="744"/>
        <v>0</v>
      </c>
      <c r="ES339" s="193">
        <f t="shared" si="744"/>
        <v>0</v>
      </c>
      <c r="ET339" s="193">
        <f t="shared" si="744"/>
        <v>0</v>
      </c>
      <c r="EU339" s="193">
        <f t="shared" si="744"/>
        <v>0</v>
      </c>
      <c r="EV339" s="193">
        <f t="shared" si="744"/>
        <v>0</v>
      </c>
      <c r="EW339" s="193">
        <f t="shared" ref="EW339" si="745">EW340+EW346+EW350</f>
        <v>478280269.023</v>
      </c>
      <c r="EX339" s="193">
        <f t="shared" ref="EX339:GZ339" si="746">EX340+EX346+EX350</f>
        <v>614000000</v>
      </c>
      <c r="EY339" s="193">
        <f t="shared" si="746"/>
        <v>360521669</v>
      </c>
      <c r="EZ339" s="193">
        <f t="shared" si="746"/>
        <v>355691069</v>
      </c>
      <c r="FA339" s="193">
        <f t="shared" si="746"/>
        <v>0</v>
      </c>
      <c r="FB339" s="193">
        <f t="shared" si="746"/>
        <v>0</v>
      </c>
      <c r="FC339" s="193">
        <f t="shared" si="746"/>
        <v>0</v>
      </c>
      <c r="FD339" s="193">
        <f t="shared" si="746"/>
        <v>0</v>
      </c>
      <c r="FE339" s="193">
        <f t="shared" si="746"/>
        <v>0</v>
      </c>
      <c r="FF339" s="193">
        <f t="shared" si="746"/>
        <v>0</v>
      </c>
      <c r="FG339" s="193">
        <f t="shared" si="746"/>
        <v>0</v>
      </c>
      <c r="FH339" s="193">
        <f t="shared" si="746"/>
        <v>90000000</v>
      </c>
      <c r="FI339" s="193">
        <f t="shared" si="746"/>
        <v>59700000</v>
      </c>
      <c r="FJ339" s="193">
        <f t="shared" si="746"/>
        <v>0</v>
      </c>
      <c r="FK339" s="193">
        <f t="shared" si="746"/>
        <v>0</v>
      </c>
      <c r="FL339" s="193">
        <f t="shared" si="746"/>
        <v>492628677.08999997</v>
      </c>
      <c r="FM339" s="193">
        <f t="shared" si="746"/>
        <v>455000000</v>
      </c>
      <c r="FN339" s="193">
        <f t="shared" si="746"/>
        <v>318080981</v>
      </c>
      <c r="FO339" s="193">
        <f t="shared" si="746"/>
        <v>174746114</v>
      </c>
      <c r="FP339" s="193">
        <f t="shared" si="746"/>
        <v>0</v>
      </c>
      <c r="FQ339" s="193">
        <f t="shared" si="746"/>
        <v>0</v>
      </c>
      <c r="FR339" s="193">
        <f t="shared" si="746"/>
        <v>0</v>
      </c>
      <c r="FS339" s="193">
        <f t="shared" si="746"/>
        <v>0</v>
      </c>
      <c r="FT339" s="193">
        <f t="shared" si="746"/>
        <v>0</v>
      </c>
      <c r="FU339" s="193">
        <f t="shared" si="746"/>
        <v>0</v>
      </c>
      <c r="FV339" s="193">
        <f t="shared" si="746"/>
        <v>0</v>
      </c>
      <c r="FW339" s="193">
        <f t="shared" si="746"/>
        <v>0</v>
      </c>
      <c r="FX339" s="193">
        <f t="shared" si="746"/>
        <v>0</v>
      </c>
      <c r="FY339" s="193">
        <f t="shared" si="746"/>
        <v>0</v>
      </c>
      <c r="FZ339" s="193">
        <f t="shared" si="746"/>
        <v>0</v>
      </c>
      <c r="GA339" s="193">
        <f t="shared" si="746"/>
        <v>0</v>
      </c>
      <c r="GB339" s="193">
        <f t="shared" si="746"/>
        <v>0</v>
      </c>
      <c r="GC339" s="193">
        <f t="shared" si="746"/>
        <v>0</v>
      </c>
      <c r="GD339" s="193">
        <f t="shared" si="746"/>
        <v>0</v>
      </c>
      <c r="GE339" s="193">
        <f t="shared" si="746"/>
        <v>0</v>
      </c>
      <c r="GF339" s="193">
        <f t="shared" si="746"/>
        <v>0</v>
      </c>
      <c r="GG339" s="193">
        <f t="shared" si="746"/>
        <v>0</v>
      </c>
      <c r="GH339" s="193">
        <f t="shared" si="746"/>
        <v>0</v>
      </c>
      <c r="GI339" s="193">
        <f t="shared" si="746"/>
        <v>0</v>
      </c>
      <c r="GJ339" s="193">
        <f t="shared" si="746"/>
        <v>0</v>
      </c>
      <c r="GK339" s="193">
        <f t="shared" si="746"/>
        <v>0</v>
      </c>
      <c r="GL339" s="193">
        <f t="shared" si="746"/>
        <v>0</v>
      </c>
      <c r="GM339" s="193">
        <f t="shared" si="746"/>
        <v>0</v>
      </c>
      <c r="GN339" s="193">
        <f t="shared" si="746"/>
        <v>0</v>
      </c>
      <c r="GO339" s="193">
        <f t="shared" si="746"/>
        <v>0</v>
      </c>
      <c r="GP339" s="193">
        <f t="shared" si="746"/>
        <v>0</v>
      </c>
      <c r="GQ339" s="193">
        <f t="shared" si="746"/>
        <v>0</v>
      </c>
      <c r="GR339" s="193">
        <f t="shared" si="746"/>
        <v>0</v>
      </c>
      <c r="GS339" s="193">
        <f t="shared" si="746"/>
        <v>0</v>
      </c>
      <c r="GT339" s="193">
        <f t="shared" si="746"/>
        <v>0</v>
      </c>
      <c r="GU339" s="193">
        <f t="shared" si="746"/>
        <v>492628677.08999997</v>
      </c>
      <c r="GV339" s="193">
        <f t="shared" si="746"/>
        <v>545000000</v>
      </c>
      <c r="GW339" s="193">
        <f t="shared" si="746"/>
        <v>377780981</v>
      </c>
      <c r="GX339" s="193">
        <f t="shared" si="746"/>
        <v>174746114</v>
      </c>
      <c r="GY339" s="193">
        <f t="shared" si="746"/>
        <v>0</v>
      </c>
      <c r="GZ339" s="606">
        <f t="shared" si="746"/>
        <v>1972258721.8629999</v>
      </c>
    </row>
    <row r="340" spans="1:208" ht="24.75" customHeight="1" x14ac:dyDescent="0.2">
      <c r="A340" s="326"/>
      <c r="B340" s="993"/>
      <c r="C340" s="246">
        <v>78</v>
      </c>
      <c r="D340" s="247" t="s">
        <v>775</v>
      </c>
      <c r="E340" s="250"/>
      <c r="F340" s="250"/>
      <c r="G340" s="249"/>
      <c r="H340" s="249"/>
      <c r="I340" s="249"/>
      <c r="J340" s="249"/>
      <c r="K340" s="249"/>
      <c r="L340" s="249"/>
      <c r="M340" s="249"/>
      <c r="N340" s="249"/>
      <c r="O340" s="249"/>
      <c r="P340" s="249"/>
      <c r="Q340" s="249"/>
      <c r="R340" s="249"/>
      <c r="S340" s="249"/>
      <c r="T340" s="249"/>
      <c r="U340" s="249"/>
      <c r="V340" s="249"/>
      <c r="W340" s="249"/>
      <c r="X340" s="249"/>
      <c r="Y340" s="296"/>
      <c r="Z340" s="249"/>
      <c r="AA340" s="249"/>
      <c r="AB340" s="249"/>
      <c r="AC340" s="197">
        <f t="shared" ref="AC340:BL340" si="747">SUM(AC341:AC345)</f>
        <v>0</v>
      </c>
      <c r="AD340" s="197">
        <f t="shared" si="747"/>
        <v>0</v>
      </c>
      <c r="AE340" s="197">
        <f t="shared" si="747"/>
        <v>0</v>
      </c>
      <c r="AF340" s="197">
        <f t="shared" si="747"/>
        <v>0</v>
      </c>
      <c r="AG340" s="197">
        <f t="shared" si="747"/>
        <v>0</v>
      </c>
      <c r="AH340" s="197">
        <f t="shared" si="747"/>
        <v>0</v>
      </c>
      <c r="AI340" s="197">
        <f t="shared" si="747"/>
        <v>0</v>
      </c>
      <c r="AJ340" s="197">
        <f t="shared" si="747"/>
        <v>0</v>
      </c>
      <c r="AK340" s="197">
        <f t="shared" si="747"/>
        <v>465000000</v>
      </c>
      <c r="AL340" s="197">
        <f t="shared" si="747"/>
        <v>465000000</v>
      </c>
      <c r="AM340" s="197">
        <f t="shared" si="747"/>
        <v>226426745</v>
      </c>
      <c r="AN340" s="197">
        <f t="shared" si="747"/>
        <v>210885945</v>
      </c>
      <c r="AO340" s="197">
        <f t="shared" si="747"/>
        <v>0</v>
      </c>
      <c r="AP340" s="197">
        <f t="shared" si="747"/>
        <v>0</v>
      </c>
      <c r="AQ340" s="197">
        <f t="shared" si="747"/>
        <v>0</v>
      </c>
      <c r="AR340" s="197">
        <f t="shared" si="747"/>
        <v>0</v>
      </c>
      <c r="AS340" s="197">
        <f t="shared" si="747"/>
        <v>0</v>
      </c>
      <c r="AT340" s="197">
        <f t="shared" si="747"/>
        <v>0</v>
      </c>
      <c r="AU340" s="197">
        <f t="shared" si="747"/>
        <v>0</v>
      </c>
      <c r="AV340" s="197">
        <f t="shared" si="747"/>
        <v>0</v>
      </c>
      <c r="AW340" s="197">
        <f t="shared" si="747"/>
        <v>0</v>
      </c>
      <c r="AX340" s="197">
        <f t="shared" si="747"/>
        <v>0</v>
      </c>
      <c r="AY340" s="197">
        <f t="shared" si="747"/>
        <v>0</v>
      </c>
      <c r="AZ340" s="197">
        <f t="shared" si="747"/>
        <v>0</v>
      </c>
      <c r="BA340" s="197">
        <f t="shared" si="747"/>
        <v>0</v>
      </c>
      <c r="BB340" s="197">
        <f t="shared" si="747"/>
        <v>0</v>
      </c>
      <c r="BC340" s="197">
        <f t="shared" si="747"/>
        <v>0</v>
      </c>
      <c r="BD340" s="197">
        <f t="shared" si="747"/>
        <v>0</v>
      </c>
      <c r="BE340" s="197">
        <f t="shared" si="747"/>
        <v>0</v>
      </c>
      <c r="BF340" s="197">
        <f t="shared" si="747"/>
        <v>0</v>
      </c>
      <c r="BG340" s="197">
        <f t="shared" si="747"/>
        <v>0</v>
      </c>
      <c r="BH340" s="197">
        <f t="shared" si="747"/>
        <v>0</v>
      </c>
      <c r="BI340" s="197">
        <f t="shared" si="747"/>
        <v>0</v>
      </c>
      <c r="BJ340" s="197">
        <f t="shared" si="747"/>
        <v>0</v>
      </c>
      <c r="BK340" s="197">
        <f t="shared" si="747"/>
        <v>0</v>
      </c>
      <c r="BL340" s="197">
        <f t="shared" si="747"/>
        <v>0</v>
      </c>
      <c r="BM340" s="197">
        <f t="shared" ref="BM340:DX340" si="748">SUM(BM341:BM345)</f>
        <v>465000000</v>
      </c>
      <c r="BN340" s="197">
        <f t="shared" si="748"/>
        <v>465000000</v>
      </c>
      <c r="BO340" s="197">
        <f t="shared" si="748"/>
        <v>226426745</v>
      </c>
      <c r="BP340" s="197">
        <f t="shared" si="748"/>
        <v>210885945</v>
      </c>
      <c r="BQ340" s="197">
        <f t="shared" si="748"/>
        <v>0</v>
      </c>
      <c r="BR340" s="197">
        <f t="shared" si="748"/>
        <v>0</v>
      </c>
      <c r="BS340" s="197">
        <f t="shared" si="748"/>
        <v>0</v>
      </c>
      <c r="BT340" s="197">
        <f t="shared" si="748"/>
        <v>0</v>
      </c>
      <c r="BU340" s="197">
        <f t="shared" si="748"/>
        <v>0</v>
      </c>
      <c r="BV340" s="197">
        <f t="shared" si="748"/>
        <v>187000000</v>
      </c>
      <c r="BW340" s="197">
        <f t="shared" si="748"/>
        <v>132793333</v>
      </c>
      <c r="BX340" s="197">
        <f t="shared" si="748"/>
        <v>132793333</v>
      </c>
      <c r="BY340" s="197">
        <f t="shared" si="748"/>
        <v>0</v>
      </c>
      <c r="BZ340" s="197">
        <f t="shared" si="748"/>
        <v>390189775.75</v>
      </c>
      <c r="CA340" s="197">
        <f t="shared" si="748"/>
        <v>440189776</v>
      </c>
      <c r="CB340" s="197">
        <f t="shared" si="748"/>
        <v>245193971</v>
      </c>
      <c r="CC340" s="197">
        <f t="shared" si="748"/>
        <v>242355695</v>
      </c>
      <c r="CD340" s="197">
        <f t="shared" si="748"/>
        <v>0</v>
      </c>
      <c r="CE340" s="197">
        <f t="shared" si="748"/>
        <v>0</v>
      </c>
      <c r="CF340" s="197">
        <f t="shared" si="748"/>
        <v>0</v>
      </c>
      <c r="CG340" s="197">
        <f t="shared" si="748"/>
        <v>0</v>
      </c>
      <c r="CH340" s="197">
        <f t="shared" si="748"/>
        <v>0</v>
      </c>
      <c r="CI340" s="197">
        <f t="shared" si="748"/>
        <v>0</v>
      </c>
      <c r="CJ340" s="197">
        <f t="shared" si="748"/>
        <v>0</v>
      </c>
      <c r="CK340" s="197">
        <f t="shared" si="748"/>
        <v>0</v>
      </c>
      <c r="CL340" s="197">
        <f t="shared" si="748"/>
        <v>0</v>
      </c>
      <c r="CM340" s="197">
        <f t="shared" si="748"/>
        <v>0</v>
      </c>
      <c r="CN340" s="197">
        <f t="shared" si="748"/>
        <v>0</v>
      </c>
      <c r="CO340" s="197">
        <f t="shared" si="748"/>
        <v>0</v>
      </c>
      <c r="CP340" s="197">
        <f t="shared" si="748"/>
        <v>0</v>
      </c>
      <c r="CQ340" s="197">
        <f t="shared" si="748"/>
        <v>0</v>
      </c>
      <c r="CR340" s="197">
        <f t="shared" si="748"/>
        <v>0</v>
      </c>
      <c r="CS340" s="197">
        <f t="shared" si="748"/>
        <v>0</v>
      </c>
      <c r="CT340" s="197">
        <f t="shared" si="748"/>
        <v>0</v>
      </c>
      <c r="CU340" s="197">
        <f t="shared" si="748"/>
        <v>0</v>
      </c>
      <c r="CV340" s="197">
        <f t="shared" si="748"/>
        <v>0</v>
      </c>
      <c r="CW340" s="197">
        <f t="shared" si="748"/>
        <v>0</v>
      </c>
      <c r="CX340" s="197">
        <f t="shared" si="748"/>
        <v>0</v>
      </c>
      <c r="CY340" s="197">
        <f t="shared" si="748"/>
        <v>0</v>
      </c>
      <c r="CZ340" s="197">
        <f t="shared" si="748"/>
        <v>0</v>
      </c>
      <c r="DA340" s="197">
        <f t="shared" si="748"/>
        <v>0</v>
      </c>
      <c r="DB340" s="197">
        <f t="shared" si="748"/>
        <v>0</v>
      </c>
      <c r="DC340" s="197">
        <f t="shared" si="748"/>
        <v>0</v>
      </c>
      <c r="DD340" s="197">
        <f t="shared" si="748"/>
        <v>0</v>
      </c>
      <c r="DE340" s="197">
        <f t="shared" si="748"/>
        <v>390189775.75</v>
      </c>
      <c r="DF340" s="197">
        <f t="shared" si="748"/>
        <v>627189776</v>
      </c>
      <c r="DG340" s="197">
        <f t="shared" si="748"/>
        <v>377987304</v>
      </c>
      <c r="DH340" s="197">
        <f t="shared" si="748"/>
        <v>375149028</v>
      </c>
      <c r="DI340" s="197">
        <f t="shared" si="748"/>
        <v>0</v>
      </c>
      <c r="DJ340" s="197">
        <f t="shared" si="748"/>
        <v>0</v>
      </c>
      <c r="DK340" s="197">
        <f t="shared" si="748"/>
        <v>0</v>
      </c>
      <c r="DL340" s="197">
        <f t="shared" si="748"/>
        <v>0</v>
      </c>
      <c r="DM340" s="197">
        <f t="shared" si="748"/>
        <v>0</v>
      </c>
      <c r="DN340" s="197">
        <f t="shared" si="748"/>
        <v>0</v>
      </c>
      <c r="DO340" s="197">
        <f t="shared" si="748"/>
        <v>100000000</v>
      </c>
      <c r="DP340" s="197">
        <f t="shared" si="748"/>
        <v>45369130</v>
      </c>
      <c r="DQ340" s="197">
        <f t="shared" si="748"/>
        <v>45369130</v>
      </c>
      <c r="DR340" s="197">
        <f t="shared" si="748"/>
        <v>0</v>
      </c>
      <c r="DS340" s="197">
        <f t="shared" si="748"/>
        <v>401895469.023</v>
      </c>
      <c r="DT340" s="197">
        <f t="shared" si="748"/>
        <v>399000000</v>
      </c>
      <c r="DU340" s="197">
        <f t="shared" si="748"/>
        <v>221593214</v>
      </c>
      <c r="DV340" s="197">
        <f t="shared" si="748"/>
        <v>221593214</v>
      </c>
      <c r="DW340" s="197">
        <f t="shared" si="748"/>
        <v>0</v>
      </c>
      <c r="DX340" s="197">
        <f t="shared" si="748"/>
        <v>0</v>
      </c>
      <c r="DY340" s="197">
        <f t="shared" ref="DY340:EW340" si="749">SUM(DY341:DY345)</f>
        <v>0</v>
      </c>
      <c r="DZ340" s="197">
        <f t="shared" si="749"/>
        <v>0</v>
      </c>
      <c r="EA340" s="197">
        <f t="shared" si="749"/>
        <v>0</v>
      </c>
      <c r="EB340" s="197">
        <f t="shared" si="749"/>
        <v>0</v>
      </c>
      <c r="EC340" s="197">
        <f t="shared" si="749"/>
        <v>0</v>
      </c>
      <c r="ED340" s="197">
        <f t="shared" si="749"/>
        <v>0</v>
      </c>
      <c r="EE340" s="197">
        <f t="shared" si="749"/>
        <v>0</v>
      </c>
      <c r="EF340" s="197">
        <f t="shared" si="749"/>
        <v>0</v>
      </c>
      <c r="EG340" s="197">
        <f t="shared" si="749"/>
        <v>0</v>
      </c>
      <c r="EH340" s="197">
        <f t="shared" si="749"/>
        <v>0</v>
      </c>
      <c r="EI340" s="197">
        <f t="shared" si="749"/>
        <v>0</v>
      </c>
      <c r="EJ340" s="197">
        <f t="shared" si="749"/>
        <v>0</v>
      </c>
      <c r="EK340" s="197">
        <f t="shared" si="749"/>
        <v>0</v>
      </c>
      <c r="EL340" s="197">
        <f t="shared" si="749"/>
        <v>0</v>
      </c>
      <c r="EM340" s="197">
        <f t="shared" si="749"/>
        <v>0</v>
      </c>
      <c r="EN340" s="197">
        <f t="shared" si="749"/>
        <v>0</v>
      </c>
      <c r="EO340" s="197">
        <f t="shared" si="749"/>
        <v>0</v>
      </c>
      <c r="EP340" s="197">
        <f t="shared" si="749"/>
        <v>0</v>
      </c>
      <c r="EQ340" s="197">
        <f t="shared" si="749"/>
        <v>0</v>
      </c>
      <c r="ER340" s="197">
        <f t="shared" si="749"/>
        <v>0</v>
      </c>
      <c r="ES340" s="197">
        <f t="shared" si="749"/>
        <v>0</v>
      </c>
      <c r="ET340" s="197">
        <f t="shared" si="749"/>
        <v>0</v>
      </c>
      <c r="EU340" s="197">
        <f t="shared" si="749"/>
        <v>0</v>
      </c>
      <c r="EV340" s="197">
        <f t="shared" si="749"/>
        <v>0</v>
      </c>
      <c r="EW340" s="197">
        <f t="shared" si="749"/>
        <v>401895469.023</v>
      </c>
      <c r="EX340" s="197">
        <f t="shared" ref="EX340:GZ340" si="750">SUM(EX341:EX345)</f>
        <v>499000000</v>
      </c>
      <c r="EY340" s="197">
        <f t="shared" si="750"/>
        <v>266962344</v>
      </c>
      <c r="EZ340" s="197">
        <f t="shared" si="750"/>
        <v>266962344</v>
      </c>
      <c r="FA340" s="197">
        <f t="shared" si="750"/>
        <v>0</v>
      </c>
      <c r="FB340" s="197">
        <f t="shared" si="750"/>
        <v>0</v>
      </c>
      <c r="FC340" s="197">
        <f t="shared" si="750"/>
        <v>0</v>
      </c>
      <c r="FD340" s="197">
        <f t="shared" si="750"/>
        <v>0</v>
      </c>
      <c r="FE340" s="197">
        <f t="shared" si="750"/>
        <v>0</v>
      </c>
      <c r="FF340" s="197">
        <f t="shared" si="750"/>
        <v>0</v>
      </c>
      <c r="FG340" s="197">
        <f t="shared" si="750"/>
        <v>0</v>
      </c>
      <c r="FH340" s="197">
        <f t="shared" si="750"/>
        <v>50000000</v>
      </c>
      <c r="FI340" s="197">
        <f t="shared" si="750"/>
        <v>19700000</v>
      </c>
      <c r="FJ340" s="197">
        <f t="shared" si="750"/>
        <v>0</v>
      </c>
      <c r="FK340" s="197">
        <f t="shared" si="750"/>
        <v>0</v>
      </c>
      <c r="FL340" s="197">
        <f t="shared" si="750"/>
        <v>413952333.08999997</v>
      </c>
      <c r="FM340" s="197">
        <f t="shared" si="750"/>
        <v>399000000</v>
      </c>
      <c r="FN340" s="197">
        <f t="shared" si="750"/>
        <v>265600048</v>
      </c>
      <c r="FO340" s="197">
        <f t="shared" si="750"/>
        <v>141379048</v>
      </c>
      <c r="FP340" s="197">
        <f t="shared" si="750"/>
        <v>0</v>
      </c>
      <c r="FQ340" s="197">
        <f t="shared" si="750"/>
        <v>0</v>
      </c>
      <c r="FR340" s="197">
        <f t="shared" si="750"/>
        <v>0</v>
      </c>
      <c r="FS340" s="197">
        <f t="shared" si="750"/>
        <v>0</v>
      </c>
      <c r="FT340" s="197">
        <f t="shared" si="750"/>
        <v>0</v>
      </c>
      <c r="FU340" s="197">
        <f t="shared" si="750"/>
        <v>0</v>
      </c>
      <c r="FV340" s="197">
        <f t="shared" si="750"/>
        <v>0</v>
      </c>
      <c r="FW340" s="197">
        <f t="shared" si="750"/>
        <v>0</v>
      </c>
      <c r="FX340" s="197">
        <f t="shared" si="750"/>
        <v>0</v>
      </c>
      <c r="FY340" s="197">
        <f t="shared" si="750"/>
        <v>0</v>
      </c>
      <c r="FZ340" s="197">
        <f t="shared" si="750"/>
        <v>0</v>
      </c>
      <c r="GA340" s="197">
        <f t="shared" si="750"/>
        <v>0</v>
      </c>
      <c r="GB340" s="197">
        <f t="shared" si="750"/>
        <v>0</v>
      </c>
      <c r="GC340" s="197">
        <f t="shared" si="750"/>
        <v>0</v>
      </c>
      <c r="GD340" s="197">
        <f t="shared" si="750"/>
        <v>0</v>
      </c>
      <c r="GE340" s="197">
        <f t="shared" si="750"/>
        <v>0</v>
      </c>
      <c r="GF340" s="197">
        <f t="shared" si="750"/>
        <v>0</v>
      </c>
      <c r="GG340" s="197">
        <f t="shared" si="750"/>
        <v>0</v>
      </c>
      <c r="GH340" s="197">
        <f t="shared" si="750"/>
        <v>0</v>
      </c>
      <c r="GI340" s="197">
        <f t="shared" si="750"/>
        <v>0</v>
      </c>
      <c r="GJ340" s="197">
        <f t="shared" si="750"/>
        <v>0</v>
      </c>
      <c r="GK340" s="197">
        <f t="shared" si="750"/>
        <v>0</v>
      </c>
      <c r="GL340" s="197">
        <f t="shared" si="750"/>
        <v>0</v>
      </c>
      <c r="GM340" s="197">
        <f t="shared" si="750"/>
        <v>0</v>
      </c>
      <c r="GN340" s="197">
        <f t="shared" si="750"/>
        <v>0</v>
      </c>
      <c r="GO340" s="197">
        <f t="shared" si="750"/>
        <v>0</v>
      </c>
      <c r="GP340" s="197">
        <f t="shared" si="750"/>
        <v>0</v>
      </c>
      <c r="GQ340" s="197">
        <f t="shared" si="750"/>
        <v>0</v>
      </c>
      <c r="GR340" s="197">
        <f t="shared" si="750"/>
        <v>0</v>
      </c>
      <c r="GS340" s="197">
        <f t="shared" si="750"/>
        <v>0</v>
      </c>
      <c r="GT340" s="197">
        <f t="shared" si="750"/>
        <v>0</v>
      </c>
      <c r="GU340" s="197">
        <f t="shared" si="750"/>
        <v>413952333.08999997</v>
      </c>
      <c r="GV340" s="197">
        <f t="shared" si="750"/>
        <v>449000000</v>
      </c>
      <c r="GW340" s="197">
        <f t="shared" si="750"/>
        <v>285300048</v>
      </c>
      <c r="GX340" s="197">
        <f t="shared" si="750"/>
        <v>141379048</v>
      </c>
      <c r="GY340" s="197">
        <f t="shared" si="750"/>
        <v>0</v>
      </c>
      <c r="GZ340" s="51">
        <f t="shared" si="750"/>
        <v>1671037577.8629999</v>
      </c>
    </row>
    <row r="341" spans="1:208" ht="158.25" customHeight="1" x14ac:dyDescent="0.2">
      <c r="A341" s="326"/>
      <c r="B341" s="326"/>
      <c r="C341" s="456">
        <v>13</v>
      </c>
      <c r="D341" s="1051" t="s">
        <v>540</v>
      </c>
      <c r="E341" s="1050">
        <v>0.71040000000000003</v>
      </c>
      <c r="F341" s="1050">
        <v>0.88170000000000004</v>
      </c>
      <c r="G341" s="265">
        <v>226</v>
      </c>
      <c r="H341" s="358" t="s">
        <v>776</v>
      </c>
      <c r="I341" s="275" t="s">
        <v>777</v>
      </c>
      <c r="J341" s="262" t="s">
        <v>636</v>
      </c>
      <c r="K341" s="259">
        <v>14</v>
      </c>
      <c r="L341" s="288" t="s">
        <v>58</v>
      </c>
      <c r="M341" s="288">
        <v>12</v>
      </c>
      <c r="N341" s="288">
        <v>12</v>
      </c>
      <c r="O341" s="259">
        <v>12</v>
      </c>
      <c r="P341" s="387">
        <v>12</v>
      </c>
      <c r="Q341" s="288">
        <v>12</v>
      </c>
      <c r="R341" s="268"/>
      <c r="S341" s="389">
        <v>12</v>
      </c>
      <c r="T341" s="288">
        <v>12</v>
      </c>
      <c r="U341" s="288"/>
      <c r="V341" s="389">
        <v>12</v>
      </c>
      <c r="W341" s="288">
        <v>12</v>
      </c>
      <c r="X341" s="534"/>
      <c r="Y341" s="649">
        <v>12</v>
      </c>
      <c r="Z341" s="506">
        <f>BM341/$BM$340</f>
        <v>0.36256344086021508</v>
      </c>
      <c r="AA341" s="264">
        <v>16</v>
      </c>
      <c r="AB341" s="347" t="s">
        <v>376</v>
      </c>
      <c r="AC341" s="62"/>
      <c r="AD341" s="58"/>
      <c r="AE341" s="59"/>
      <c r="AF341" s="59"/>
      <c r="AG341" s="62"/>
      <c r="AH341" s="58"/>
      <c r="AI341" s="58"/>
      <c r="AJ341" s="58"/>
      <c r="AK341" s="54">
        <v>168592000</v>
      </c>
      <c r="AL341" s="55">
        <v>168592000</v>
      </c>
      <c r="AM341" s="59">
        <v>68343000</v>
      </c>
      <c r="AN341" s="54">
        <v>68343000</v>
      </c>
      <c r="AO341" s="61"/>
      <c r="AP341" s="54"/>
      <c r="AQ341" s="54"/>
      <c r="AR341" s="58"/>
      <c r="AS341" s="62"/>
      <c r="AT341" s="58"/>
      <c r="AU341" s="59"/>
      <c r="AV341" s="59"/>
      <c r="AW341" s="62"/>
      <c r="AX341" s="58"/>
      <c r="AY341" s="58"/>
      <c r="AZ341" s="58"/>
      <c r="BA341" s="62"/>
      <c r="BB341" s="58"/>
      <c r="BC341" s="58"/>
      <c r="BD341" s="58"/>
      <c r="BE341" s="62"/>
      <c r="BF341" s="58"/>
      <c r="BG341" s="59"/>
      <c r="BH341" s="59"/>
      <c r="BI341" s="62"/>
      <c r="BJ341" s="58"/>
      <c r="BK341" s="58"/>
      <c r="BL341" s="58"/>
      <c r="BM341" s="53">
        <f>+AC341+AG341+AK341+AO341+AS341+AW341+BA341+BE341+BI341</f>
        <v>168592000</v>
      </c>
      <c r="BN341" s="54">
        <f t="shared" ref="BN341:BP345" si="751">AD341+AH341+AL341+AP341+AT341+AX341+BB341+BF341+BJ341</f>
        <v>168592000</v>
      </c>
      <c r="BO341" s="54">
        <f t="shared" si="751"/>
        <v>68343000</v>
      </c>
      <c r="BP341" s="54">
        <f t="shared" si="751"/>
        <v>68343000</v>
      </c>
      <c r="BQ341" s="85"/>
      <c r="BR341" s="85"/>
      <c r="BS341" s="85"/>
      <c r="BT341" s="85"/>
      <c r="BU341" s="85"/>
      <c r="BV341" s="85">
        <v>110000000</v>
      </c>
      <c r="BW341" s="85">
        <v>107793333</v>
      </c>
      <c r="BX341" s="85">
        <v>107793333</v>
      </c>
      <c r="BY341" s="85"/>
      <c r="BZ341" s="65">
        <v>140400000</v>
      </c>
      <c r="CA341" s="65">
        <v>185300000</v>
      </c>
      <c r="CB341" s="65">
        <v>106256720</v>
      </c>
      <c r="CC341" s="65">
        <v>106256720</v>
      </c>
      <c r="CD341" s="65"/>
      <c r="CE341" s="84"/>
      <c r="CF341" s="84"/>
      <c r="CG341" s="84"/>
      <c r="CH341" s="84"/>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1">
        <f t="shared" ref="DE341:DH345" si="752">BQ341+BU341+BZ341+CE341+CI341+CM341+CQ341+CV341+DA341</f>
        <v>140400000</v>
      </c>
      <c r="DF341" s="95">
        <f t="shared" si="752"/>
        <v>295300000</v>
      </c>
      <c r="DG341" s="95">
        <f t="shared" si="752"/>
        <v>214050053</v>
      </c>
      <c r="DH341" s="95">
        <f t="shared" si="752"/>
        <v>214050053</v>
      </c>
      <c r="DI341" s="95"/>
      <c r="DJ341" s="84"/>
      <c r="DK341" s="65"/>
      <c r="DL341" s="84"/>
      <c r="DM341" s="84"/>
      <c r="DN341" s="84"/>
      <c r="DO341" s="84">
        <v>40000000</v>
      </c>
      <c r="DP341" s="84">
        <v>31551086</v>
      </c>
      <c r="DQ341" s="84">
        <v>31551086</v>
      </c>
      <c r="DR341" s="84"/>
      <c r="DS341" s="84">
        <v>145700000</v>
      </c>
      <c r="DT341" s="84">
        <v>170000000</v>
      </c>
      <c r="DU341" s="84">
        <v>108823293</v>
      </c>
      <c r="DV341" s="84">
        <v>108823293</v>
      </c>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3"/>
      <c r="EU341" s="83"/>
      <c r="EV341" s="83"/>
      <c r="EW341" s="81">
        <f t="shared" ref="EW341:EX345" si="753">DJ341+DN341+DS341+DX341+EB341+EF341+EJ341+EN341+ES341</f>
        <v>145700000</v>
      </c>
      <c r="EX341" s="85">
        <f t="shared" si="753"/>
        <v>210000000</v>
      </c>
      <c r="EY341" s="86">
        <f t="shared" ref="EY341:EZ345" si="754">DL341+DP341+DU341+DZ341+ED341+EH341+EL341+EP341+EU341</f>
        <v>140374379</v>
      </c>
      <c r="EZ341" s="86">
        <f t="shared" si="754"/>
        <v>140374379</v>
      </c>
      <c r="FA341" s="176"/>
      <c r="FB341" s="83"/>
      <c r="FC341" s="84"/>
      <c r="FD341" s="84"/>
      <c r="FE341" s="84"/>
      <c r="FF341" s="140"/>
      <c r="FG341" s="83"/>
      <c r="FH341" s="83">
        <v>50000000</v>
      </c>
      <c r="FI341" s="83">
        <v>19700000</v>
      </c>
      <c r="FJ341" s="83"/>
      <c r="FK341" s="83"/>
      <c r="FL341" s="83">
        <v>150083000</v>
      </c>
      <c r="FM341" s="83">
        <v>200000000</v>
      </c>
      <c r="FN341" s="83">
        <v>103000000</v>
      </c>
      <c r="FO341" s="83">
        <v>57397000</v>
      </c>
      <c r="FP341" s="83"/>
      <c r="FQ341" s="83"/>
      <c r="FR341" s="83"/>
      <c r="FS341" s="83"/>
      <c r="FT341" s="83"/>
      <c r="FU341" s="83"/>
      <c r="FV341" s="83"/>
      <c r="FW341" s="83"/>
      <c r="FX341" s="83"/>
      <c r="FY341" s="83"/>
      <c r="FZ341" s="83"/>
      <c r="GA341" s="83"/>
      <c r="GB341" s="83"/>
      <c r="GC341" s="83"/>
      <c r="GD341" s="83"/>
      <c r="GE341" s="83"/>
      <c r="GF341" s="83"/>
      <c r="GG341" s="83"/>
      <c r="GH341" s="83"/>
      <c r="GI341" s="83"/>
      <c r="GJ341" s="83"/>
      <c r="GK341" s="83"/>
      <c r="GL341" s="83"/>
      <c r="GM341" s="83"/>
      <c r="GN341" s="83"/>
      <c r="GO341" s="83"/>
      <c r="GP341" s="83"/>
      <c r="GQ341" s="83"/>
      <c r="GR341" s="83"/>
      <c r="GS341" s="83"/>
      <c r="GT341" s="83"/>
      <c r="GU341" s="81">
        <f>FB341+FG341+FL341+FQ341+FV341+GA341+GF341+GK341+GP341</f>
        <v>150083000</v>
      </c>
      <c r="GV341" s="81">
        <f t="shared" ref="GV341:GY345" si="755">GQ341+GL341+GG341+GB341+FW341+FR341+FM341+FH341+FC341</f>
        <v>250000000</v>
      </c>
      <c r="GW341" s="81">
        <f t="shared" si="755"/>
        <v>122700000</v>
      </c>
      <c r="GX341" s="81">
        <f t="shared" si="755"/>
        <v>57397000</v>
      </c>
      <c r="GY341" s="673">
        <f t="shared" si="755"/>
        <v>0</v>
      </c>
      <c r="GZ341" s="67">
        <f>BM341+DE341+EW341+GU341</f>
        <v>604775000</v>
      </c>
    </row>
    <row r="342" spans="1:208" ht="158.25" customHeight="1" x14ac:dyDescent="0.2">
      <c r="A342" s="542">
        <v>50</v>
      </c>
      <c r="B342" s="326"/>
      <c r="C342" s="279"/>
      <c r="D342" s="543"/>
      <c r="E342" s="544"/>
      <c r="F342" s="544"/>
      <c r="G342" s="265">
        <v>227</v>
      </c>
      <c r="H342" s="358" t="s">
        <v>778</v>
      </c>
      <c r="I342" s="275" t="s">
        <v>779</v>
      </c>
      <c r="J342" s="262" t="s">
        <v>636</v>
      </c>
      <c r="K342" s="259">
        <v>14</v>
      </c>
      <c r="L342" s="534" t="s">
        <v>58</v>
      </c>
      <c r="M342" s="288">
        <v>12</v>
      </c>
      <c r="N342" s="288">
        <v>12</v>
      </c>
      <c r="O342" s="259">
        <v>12</v>
      </c>
      <c r="P342" s="387">
        <v>12</v>
      </c>
      <c r="Q342" s="288">
        <v>12</v>
      </c>
      <c r="R342" s="268"/>
      <c r="S342" s="389">
        <v>12</v>
      </c>
      <c r="T342" s="288">
        <v>12</v>
      </c>
      <c r="U342" s="288"/>
      <c r="V342" s="389">
        <v>12</v>
      </c>
      <c r="W342" s="288">
        <v>12</v>
      </c>
      <c r="X342" s="534"/>
      <c r="Y342" s="650">
        <v>3</v>
      </c>
      <c r="Z342" s="506">
        <f>BM342/$BM$340</f>
        <v>0.40056344086021506</v>
      </c>
      <c r="AA342" s="264">
        <v>16</v>
      </c>
      <c r="AB342" s="347" t="s">
        <v>376</v>
      </c>
      <c r="AC342" s="62"/>
      <c r="AD342" s="58"/>
      <c r="AE342" s="59"/>
      <c r="AF342" s="59"/>
      <c r="AG342" s="62"/>
      <c r="AH342" s="58"/>
      <c r="AI342" s="58"/>
      <c r="AJ342" s="58"/>
      <c r="AK342" s="54">
        <v>186262000</v>
      </c>
      <c r="AL342" s="54">
        <v>186262000</v>
      </c>
      <c r="AM342" s="54">
        <v>97679975</v>
      </c>
      <c r="AN342" s="59">
        <v>97679975</v>
      </c>
      <c r="AO342" s="61"/>
      <c r="AP342" s="54"/>
      <c r="AQ342" s="54"/>
      <c r="AR342" s="58"/>
      <c r="AS342" s="62"/>
      <c r="AT342" s="58"/>
      <c r="AU342" s="59"/>
      <c r="AV342" s="59"/>
      <c r="AW342" s="62"/>
      <c r="AX342" s="58"/>
      <c r="AY342" s="58"/>
      <c r="AZ342" s="58"/>
      <c r="BA342" s="62"/>
      <c r="BB342" s="58"/>
      <c r="BC342" s="58"/>
      <c r="BD342" s="58"/>
      <c r="BE342" s="62"/>
      <c r="BF342" s="58"/>
      <c r="BG342" s="59"/>
      <c r="BH342" s="59"/>
      <c r="BI342" s="62"/>
      <c r="BJ342" s="58"/>
      <c r="BK342" s="58"/>
      <c r="BL342" s="58"/>
      <c r="BM342" s="53">
        <f>+AC342+AG342+AK342+AO342+AS342+AW342+BA342+BE342+BI342</f>
        <v>186262000</v>
      </c>
      <c r="BN342" s="54">
        <f t="shared" si="751"/>
        <v>186262000</v>
      </c>
      <c r="BO342" s="54">
        <f t="shared" si="751"/>
        <v>97679975</v>
      </c>
      <c r="BP342" s="54">
        <f t="shared" si="751"/>
        <v>97679975</v>
      </c>
      <c r="BQ342" s="85"/>
      <c r="BR342" s="85"/>
      <c r="BS342" s="85"/>
      <c r="BT342" s="85"/>
      <c r="BU342" s="85"/>
      <c r="BV342" s="85">
        <v>52000000</v>
      </c>
      <c r="BW342" s="85"/>
      <c r="BX342" s="85"/>
      <c r="BY342" s="85"/>
      <c r="BZ342" s="84">
        <v>154300000</v>
      </c>
      <c r="CA342" s="65">
        <v>157800000</v>
      </c>
      <c r="CB342" s="65">
        <v>47841999</v>
      </c>
      <c r="CC342" s="65">
        <v>47841999</v>
      </c>
      <c r="CD342" s="65"/>
      <c r="CE342" s="84"/>
      <c r="CF342" s="84"/>
      <c r="CG342" s="84"/>
      <c r="CH342" s="84"/>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1">
        <f t="shared" si="752"/>
        <v>154300000</v>
      </c>
      <c r="DF342" s="95">
        <f t="shared" si="752"/>
        <v>209800000</v>
      </c>
      <c r="DG342" s="95">
        <f t="shared" si="752"/>
        <v>47841999</v>
      </c>
      <c r="DH342" s="95">
        <f t="shared" si="752"/>
        <v>47841999</v>
      </c>
      <c r="DI342" s="95"/>
      <c r="DJ342" s="84"/>
      <c r="DK342" s="65"/>
      <c r="DL342" s="84"/>
      <c r="DM342" s="84"/>
      <c r="DN342" s="84"/>
      <c r="DO342" s="84">
        <v>50000000</v>
      </c>
      <c r="DP342" s="84">
        <v>5500000</v>
      </c>
      <c r="DQ342" s="84">
        <v>5500000</v>
      </c>
      <c r="DR342" s="84"/>
      <c r="DS342" s="84">
        <v>160950000</v>
      </c>
      <c r="DT342" s="84">
        <v>140000000</v>
      </c>
      <c r="DU342" s="84">
        <v>31223000</v>
      </c>
      <c r="DV342" s="84">
        <v>31223000</v>
      </c>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3"/>
      <c r="EU342" s="83"/>
      <c r="EV342" s="83"/>
      <c r="EW342" s="81">
        <f t="shared" si="753"/>
        <v>160950000</v>
      </c>
      <c r="EX342" s="85">
        <f t="shared" si="753"/>
        <v>190000000</v>
      </c>
      <c r="EY342" s="86">
        <f t="shared" si="754"/>
        <v>36723000</v>
      </c>
      <c r="EZ342" s="86">
        <f t="shared" si="754"/>
        <v>36723000</v>
      </c>
      <c r="FA342" s="176"/>
      <c r="FB342" s="83"/>
      <c r="FC342" s="84"/>
      <c r="FD342" s="84"/>
      <c r="FE342" s="84"/>
      <c r="FF342" s="140"/>
      <c r="FG342" s="83"/>
      <c r="FH342" s="83"/>
      <c r="FI342" s="83"/>
      <c r="FJ342" s="83"/>
      <c r="FK342" s="83"/>
      <c r="FL342" s="83">
        <v>165814000</v>
      </c>
      <c r="FM342" s="83">
        <v>40000000</v>
      </c>
      <c r="FN342" s="83">
        <v>5743933</v>
      </c>
      <c r="FO342" s="83">
        <v>5010933</v>
      </c>
      <c r="FP342" s="83"/>
      <c r="FQ342" s="83"/>
      <c r="FR342" s="83"/>
      <c r="FS342" s="83"/>
      <c r="FT342" s="83"/>
      <c r="FU342" s="83"/>
      <c r="FV342" s="83"/>
      <c r="FW342" s="83"/>
      <c r="FX342" s="83"/>
      <c r="FY342" s="83"/>
      <c r="FZ342" s="83"/>
      <c r="GA342" s="83"/>
      <c r="GB342" s="83"/>
      <c r="GC342" s="83"/>
      <c r="GD342" s="83"/>
      <c r="GE342" s="83"/>
      <c r="GF342" s="83"/>
      <c r="GG342" s="83"/>
      <c r="GH342" s="83"/>
      <c r="GI342" s="83"/>
      <c r="GJ342" s="83"/>
      <c r="GK342" s="83"/>
      <c r="GL342" s="83"/>
      <c r="GM342" s="83"/>
      <c r="GN342" s="83"/>
      <c r="GO342" s="83"/>
      <c r="GP342" s="83"/>
      <c r="GQ342" s="83"/>
      <c r="GR342" s="83"/>
      <c r="GS342" s="83"/>
      <c r="GT342" s="83"/>
      <c r="GU342" s="81">
        <f>FB342+FG342+FL342+FQ342+FV342+GA342+GF342+GK342+GP342</f>
        <v>165814000</v>
      </c>
      <c r="GV342" s="81">
        <f t="shared" si="755"/>
        <v>40000000</v>
      </c>
      <c r="GW342" s="81">
        <f t="shared" si="755"/>
        <v>5743933</v>
      </c>
      <c r="GX342" s="81">
        <f t="shared" si="755"/>
        <v>5010933</v>
      </c>
      <c r="GY342" s="673">
        <f t="shared" si="755"/>
        <v>0</v>
      </c>
      <c r="GZ342" s="67">
        <f>BM342+DE342+EW342+GU342</f>
        <v>667326000</v>
      </c>
    </row>
    <row r="343" spans="1:208" ht="158.25" customHeight="1" x14ac:dyDescent="0.2">
      <c r="A343" s="326"/>
      <c r="B343" s="326"/>
      <c r="C343" s="279"/>
      <c r="D343" s="543"/>
      <c r="E343" s="544"/>
      <c r="F343" s="544"/>
      <c r="G343" s="265">
        <v>228</v>
      </c>
      <c r="H343" s="358" t="s">
        <v>780</v>
      </c>
      <c r="I343" s="275" t="s">
        <v>781</v>
      </c>
      <c r="J343" s="262" t="s">
        <v>636</v>
      </c>
      <c r="K343" s="259">
        <v>14</v>
      </c>
      <c r="L343" s="534" t="s">
        <v>58</v>
      </c>
      <c r="M343" s="288">
        <v>2</v>
      </c>
      <c r="N343" s="288">
        <v>2</v>
      </c>
      <c r="O343" s="259">
        <v>2</v>
      </c>
      <c r="P343" s="387">
        <v>2</v>
      </c>
      <c r="Q343" s="288">
        <v>2</v>
      </c>
      <c r="R343" s="268"/>
      <c r="S343" s="389">
        <v>2</v>
      </c>
      <c r="T343" s="288">
        <v>2</v>
      </c>
      <c r="U343" s="288"/>
      <c r="V343" s="387">
        <v>2</v>
      </c>
      <c r="W343" s="288">
        <v>2</v>
      </c>
      <c r="X343" s="534"/>
      <c r="Y343" s="650">
        <v>2</v>
      </c>
      <c r="Z343" s="506">
        <f>BM343/$BM$340</f>
        <v>6.4399999999999999E-2</v>
      </c>
      <c r="AA343" s="264">
        <v>16</v>
      </c>
      <c r="AB343" s="347" t="s">
        <v>376</v>
      </c>
      <c r="AC343" s="62"/>
      <c r="AD343" s="58"/>
      <c r="AE343" s="59"/>
      <c r="AF343" s="59"/>
      <c r="AG343" s="62"/>
      <c r="AH343" s="58"/>
      <c r="AI343" s="58"/>
      <c r="AJ343" s="58"/>
      <c r="AK343" s="54">
        <v>29946000</v>
      </c>
      <c r="AL343" s="55">
        <v>29946000</v>
      </c>
      <c r="AM343" s="54">
        <v>11612970</v>
      </c>
      <c r="AN343" s="54">
        <v>11612970</v>
      </c>
      <c r="AO343" s="61"/>
      <c r="AP343" s="54"/>
      <c r="AQ343" s="54"/>
      <c r="AR343" s="58"/>
      <c r="AS343" s="62"/>
      <c r="AT343" s="58"/>
      <c r="AU343" s="59"/>
      <c r="AV343" s="59"/>
      <c r="AW343" s="62"/>
      <c r="AX343" s="58"/>
      <c r="AY343" s="58"/>
      <c r="AZ343" s="58"/>
      <c r="BA343" s="62"/>
      <c r="BB343" s="58"/>
      <c r="BC343" s="58"/>
      <c r="BD343" s="58"/>
      <c r="BE343" s="62"/>
      <c r="BF343" s="58"/>
      <c r="BG343" s="59"/>
      <c r="BH343" s="59"/>
      <c r="BI343" s="62"/>
      <c r="BJ343" s="58"/>
      <c r="BK343" s="58"/>
      <c r="BL343" s="58"/>
      <c r="BM343" s="53">
        <f>+AC343+AG343+AK343+AO343+AS343+AW343+BA343+BE343+BI343</f>
        <v>29946000</v>
      </c>
      <c r="BN343" s="54">
        <f t="shared" si="751"/>
        <v>29946000</v>
      </c>
      <c r="BO343" s="54">
        <f t="shared" si="751"/>
        <v>11612970</v>
      </c>
      <c r="BP343" s="54">
        <f t="shared" si="751"/>
        <v>11612970</v>
      </c>
      <c r="BQ343" s="85"/>
      <c r="BR343" s="85"/>
      <c r="BS343" s="85"/>
      <c r="BT343" s="85"/>
      <c r="BU343" s="85"/>
      <c r="BV343" s="85"/>
      <c r="BW343" s="85"/>
      <c r="BX343" s="85"/>
      <c r="BY343" s="85"/>
      <c r="BZ343" s="84">
        <v>25100000</v>
      </c>
      <c r="CA343" s="65">
        <v>25100000</v>
      </c>
      <c r="CB343" s="65">
        <v>22105476</v>
      </c>
      <c r="CC343" s="65">
        <v>19267200</v>
      </c>
      <c r="CD343" s="65"/>
      <c r="CE343" s="84"/>
      <c r="CF343" s="84"/>
      <c r="CG343" s="84"/>
      <c r="CH343" s="84"/>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1">
        <f t="shared" si="752"/>
        <v>25100000</v>
      </c>
      <c r="DF343" s="95">
        <f t="shared" si="752"/>
        <v>25100000</v>
      </c>
      <c r="DG343" s="95">
        <f t="shared" si="752"/>
        <v>22105476</v>
      </c>
      <c r="DH343" s="95">
        <f t="shared" si="752"/>
        <v>19267200</v>
      </c>
      <c r="DI343" s="95"/>
      <c r="DJ343" s="84"/>
      <c r="DK343" s="65"/>
      <c r="DL343" s="84"/>
      <c r="DM343" s="84"/>
      <c r="DN343" s="84"/>
      <c r="DO343" s="84">
        <v>5000000</v>
      </c>
      <c r="DP343" s="84">
        <v>3318044</v>
      </c>
      <c r="DQ343" s="84">
        <v>3318044</v>
      </c>
      <c r="DR343" s="84"/>
      <c r="DS343" s="84">
        <v>25800000</v>
      </c>
      <c r="DT343" s="84">
        <v>30000000</v>
      </c>
      <c r="DU343" s="84">
        <v>22546921</v>
      </c>
      <c r="DV343" s="84">
        <v>22546921</v>
      </c>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3"/>
      <c r="EU343" s="83"/>
      <c r="EV343" s="83"/>
      <c r="EW343" s="81">
        <f t="shared" si="753"/>
        <v>25800000</v>
      </c>
      <c r="EX343" s="85">
        <f t="shared" si="753"/>
        <v>35000000</v>
      </c>
      <c r="EY343" s="86">
        <f t="shared" si="754"/>
        <v>25864965</v>
      </c>
      <c r="EZ343" s="86">
        <f t="shared" si="754"/>
        <v>25864965</v>
      </c>
      <c r="FA343" s="176"/>
      <c r="FB343" s="83"/>
      <c r="FC343" s="84"/>
      <c r="FD343" s="84"/>
      <c r="FE343" s="84"/>
      <c r="FF343" s="140"/>
      <c r="FG343" s="83"/>
      <c r="FH343" s="83"/>
      <c r="FI343" s="83"/>
      <c r="FJ343" s="83"/>
      <c r="FK343" s="83"/>
      <c r="FL343" s="83">
        <v>26650000</v>
      </c>
      <c r="FM343" s="83">
        <v>40000000</v>
      </c>
      <c r="FN343" s="83">
        <v>39380782</v>
      </c>
      <c r="FO343" s="83">
        <v>29980782</v>
      </c>
      <c r="FP343" s="83"/>
      <c r="FQ343" s="83"/>
      <c r="FR343" s="83"/>
      <c r="FS343" s="83"/>
      <c r="FT343" s="83"/>
      <c r="FU343" s="83"/>
      <c r="FV343" s="83"/>
      <c r="FW343" s="83"/>
      <c r="FX343" s="83"/>
      <c r="FY343" s="83"/>
      <c r="FZ343" s="83"/>
      <c r="GA343" s="83"/>
      <c r="GB343" s="83"/>
      <c r="GC343" s="83"/>
      <c r="GD343" s="83"/>
      <c r="GE343" s="83"/>
      <c r="GF343" s="83"/>
      <c r="GG343" s="83"/>
      <c r="GH343" s="83"/>
      <c r="GI343" s="83"/>
      <c r="GJ343" s="83"/>
      <c r="GK343" s="83"/>
      <c r="GL343" s="83"/>
      <c r="GM343" s="83"/>
      <c r="GN343" s="83"/>
      <c r="GO343" s="83"/>
      <c r="GP343" s="83"/>
      <c r="GQ343" s="83"/>
      <c r="GR343" s="83"/>
      <c r="GS343" s="83"/>
      <c r="GT343" s="83"/>
      <c r="GU343" s="81">
        <f>FB343+FG343+FL343+FQ343+FV343+GA343+GF343+GK343+GP343</f>
        <v>26650000</v>
      </c>
      <c r="GV343" s="81">
        <f t="shared" si="755"/>
        <v>40000000</v>
      </c>
      <c r="GW343" s="81">
        <f t="shared" si="755"/>
        <v>39380782</v>
      </c>
      <c r="GX343" s="81">
        <f t="shared" si="755"/>
        <v>29980782</v>
      </c>
      <c r="GY343" s="673">
        <f t="shared" si="755"/>
        <v>0</v>
      </c>
      <c r="GZ343" s="67">
        <f>BM343+DE343+EW343+GU343</f>
        <v>107496000</v>
      </c>
    </row>
    <row r="344" spans="1:208" ht="158.25" customHeight="1" x14ac:dyDescent="0.2">
      <c r="A344" s="326"/>
      <c r="B344" s="326"/>
      <c r="C344" s="279"/>
      <c r="D344" s="543"/>
      <c r="E344" s="544"/>
      <c r="F344" s="544"/>
      <c r="G344" s="265">
        <v>229</v>
      </c>
      <c r="H344" s="358" t="s">
        <v>782</v>
      </c>
      <c r="I344" s="275" t="s">
        <v>783</v>
      </c>
      <c r="J344" s="262" t="s">
        <v>636</v>
      </c>
      <c r="K344" s="259">
        <v>14</v>
      </c>
      <c r="L344" s="534" t="s">
        <v>58</v>
      </c>
      <c r="M344" s="545">
        <v>13</v>
      </c>
      <c r="N344" s="545">
        <v>13</v>
      </c>
      <c r="O344" s="259">
        <v>13</v>
      </c>
      <c r="P344" s="394">
        <v>13</v>
      </c>
      <c r="Q344" s="288">
        <v>13</v>
      </c>
      <c r="R344" s="268"/>
      <c r="S344" s="389">
        <v>13</v>
      </c>
      <c r="T344" s="288">
        <v>13</v>
      </c>
      <c r="U344" s="288"/>
      <c r="V344" s="389">
        <v>13</v>
      </c>
      <c r="W344" s="288">
        <v>13</v>
      </c>
      <c r="X344" s="534"/>
      <c r="Y344" s="650">
        <v>13</v>
      </c>
      <c r="Z344" s="506">
        <f>BM344/$BM$340</f>
        <v>0.11118279569892472</v>
      </c>
      <c r="AA344" s="264">
        <v>16</v>
      </c>
      <c r="AB344" s="347" t="s">
        <v>376</v>
      </c>
      <c r="AC344" s="62"/>
      <c r="AD344" s="58"/>
      <c r="AE344" s="59"/>
      <c r="AF344" s="59"/>
      <c r="AG344" s="62"/>
      <c r="AH344" s="58"/>
      <c r="AI344" s="58"/>
      <c r="AJ344" s="58"/>
      <c r="AK344" s="54">
        <v>51700000</v>
      </c>
      <c r="AL344" s="54">
        <v>51700000</v>
      </c>
      <c r="AM344" s="54">
        <v>28500000</v>
      </c>
      <c r="AN344" s="54">
        <v>28500000</v>
      </c>
      <c r="AO344" s="61"/>
      <c r="AP344" s="54"/>
      <c r="AQ344" s="54"/>
      <c r="AR344" s="58"/>
      <c r="AS344" s="62"/>
      <c r="AT344" s="58"/>
      <c r="AU344" s="59"/>
      <c r="AV344" s="59"/>
      <c r="AW344" s="62"/>
      <c r="AX344" s="58"/>
      <c r="AY344" s="58"/>
      <c r="AZ344" s="58"/>
      <c r="BA344" s="62"/>
      <c r="BB344" s="58"/>
      <c r="BC344" s="58"/>
      <c r="BD344" s="58"/>
      <c r="BE344" s="62"/>
      <c r="BF344" s="58"/>
      <c r="BG344" s="59"/>
      <c r="BH344" s="59"/>
      <c r="BI344" s="62"/>
      <c r="BJ344" s="58"/>
      <c r="BK344" s="58"/>
      <c r="BL344" s="58"/>
      <c r="BM344" s="53">
        <f>+AC344+AG344+AK344+AO344+AS344+AW344+BA344+BE344+BI344</f>
        <v>51700000</v>
      </c>
      <c r="BN344" s="54">
        <f t="shared" si="751"/>
        <v>51700000</v>
      </c>
      <c r="BO344" s="54">
        <f t="shared" si="751"/>
        <v>28500000</v>
      </c>
      <c r="BP344" s="54">
        <f t="shared" si="751"/>
        <v>28500000</v>
      </c>
      <c r="BQ344" s="85"/>
      <c r="BR344" s="85"/>
      <c r="BS344" s="85"/>
      <c r="BT344" s="85"/>
      <c r="BU344" s="85"/>
      <c r="BV344" s="85"/>
      <c r="BW344" s="85"/>
      <c r="BX344" s="85"/>
      <c r="BY344" s="85"/>
      <c r="BZ344" s="84">
        <v>47350000</v>
      </c>
      <c r="CA344" s="65">
        <v>47350000</v>
      </c>
      <c r="CB344" s="65">
        <v>45950000</v>
      </c>
      <c r="CC344" s="65">
        <v>45950000</v>
      </c>
      <c r="CD344" s="65"/>
      <c r="CE344" s="84"/>
      <c r="CF344" s="84"/>
      <c r="CG344" s="84"/>
      <c r="CH344" s="84"/>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1">
        <f t="shared" si="752"/>
        <v>47350000</v>
      </c>
      <c r="DF344" s="95">
        <f t="shared" si="752"/>
        <v>47350000</v>
      </c>
      <c r="DG344" s="95">
        <f t="shared" si="752"/>
        <v>45950000</v>
      </c>
      <c r="DH344" s="95">
        <f t="shared" si="752"/>
        <v>45950000</v>
      </c>
      <c r="DI344" s="95"/>
      <c r="DJ344" s="84"/>
      <c r="DK344" s="65"/>
      <c r="DL344" s="84"/>
      <c r="DM344" s="84"/>
      <c r="DN344" s="84"/>
      <c r="DO344" s="84">
        <v>2500000</v>
      </c>
      <c r="DP344" s="84">
        <v>2500000</v>
      </c>
      <c r="DQ344" s="84">
        <v>2500000</v>
      </c>
      <c r="DR344" s="84"/>
      <c r="DS344" s="84">
        <v>44600000</v>
      </c>
      <c r="DT344" s="84">
        <v>35000000</v>
      </c>
      <c r="DU344" s="84">
        <v>35000000</v>
      </c>
      <c r="DV344" s="84">
        <v>35000000</v>
      </c>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3"/>
      <c r="EU344" s="83"/>
      <c r="EV344" s="83"/>
      <c r="EW344" s="81">
        <f t="shared" si="753"/>
        <v>44600000</v>
      </c>
      <c r="EX344" s="86">
        <f t="shared" si="753"/>
        <v>37500000</v>
      </c>
      <c r="EY344" s="86">
        <f t="shared" si="754"/>
        <v>37500000</v>
      </c>
      <c r="EZ344" s="86">
        <f t="shared" si="754"/>
        <v>37500000</v>
      </c>
      <c r="FA344" s="176"/>
      <c r="FB344" s="83"/>
      <c r="FC344" s="84"/>
      <c r="FD344" s="84"/>
      <c r="FE344" s="84"/>
      <c r="FF344" s="140"/>
      <c r="FG344" s="83"/>
      <c r="FH344" s="83"/>
      <c r="FI344" s="83"/>
      <c r="FJ344" s="83"/>
      <c r="FK344" s="83"/>
      <c r="FL344" s="83">
        <v>46024000</v>
      </c>
      <c r="FM344" s="83">
        <v>65000000</v>
      </c>
      <c r="FN344" s="83">
        <v>63476000</v>
      </c>
      <c r="FO344" s="83">
        <v>27732000</v>
      </c>
      <c r="FP344" s="83"/>
      <c r="FQ344" s="83"/>
      <c r="FR344" s="83"/>
      <c r="FS344" s="83"/>
      <c r="FT344" s="83"/>
      <c r="FU344" s="83"/>
      <c r="FV344" s="83"/>
      <c r="FW344" s="83"/>
      <c r="FX344" s="83"/>
      <c r="FY344" s="83"/>
      <c r="FZ344" s="83"/>
      <c r="GA344" s="83"/>
      <c r="GB344" s="83"/>
      <c r="GC344" s="83"/>
      <c r="GD344" s="83"/>
      <c r="GE344" s="83"/>
      <c r="GF344" s="83"/>
      <c r="GG344" s="83"/>
      <c r="GH344" s="83"/>
      <c r="GI344" s="83"/>
      <c r="GJ344" s="83"/>
      <c r="GK344" s="83"/>
      <c r="GL344" s="83"/>
      <c r="GM344" s="83"/>
      <c r="GN344" s="83"/>
      <c r="GO344" s="83"/>
      <c r="GP344" s="83"/>
      <c r="GQ344" s="83"/>
      <c r="GR344" s="83"/>
      <c r="GS344" s="83"/>
      <c r="GT344" s="83"/>
      <c r="GU344" s="81">
        <f>FB344+FG344+FL344+FQ344+FV344+GA344+GF344+GK344+GP344</f>
        <v>46024000</v>
      </c>
      <c r="GV344" s="81">
        <f t="shared" si="755"/>
        <v>65000000</v>
      </c>
      <c r="GW344" s="81">
        <f t="shared" si="755"/>
        <v>63476000</v>
      </c>
      <c r="GX344" s="81">
        <f t="shared" si="755"/>
        <v>27732000</v>
      </c>
      <c r="GY344" s="673">
        <f t="shared" si="755"/>
        <v>0</v>
      </c>
      <c r="GZ344" s="67">
        <f>BM344+DE344+EW344+GU344</f>
        <v>189674000</v>
      </c>
    </row>
    <row r="345" spans="1:208" ht="158.25" customHeight="1" x14ac:dyDescent="0.2">
      <c r="A345" s="326"/>
      <c r="B345" s="326"/>
      <c r="C345" s="277"/>
      <c r="D345" s="510"/>
      <c r="E345" s="546"/>
      <c r="F345" s="546"/>
      <c r="G345" s="265">
        <v>230</v>
      </c>
      <c r="H345" s="358" t="s">
        <v>784</v>
      </c>
      <c r="I345" s="275" t="s">
        <v>785</v>
      </c>
      <c r="J345" s="262" t="s">
        <v>636</v>
      </c>
      <c r="K345" s="259">
        <v>14</v>
      </c>
      <c r="L345" s="534" t="s">
        <v>58</v>
      </c>
      <c r="M345" s="288">
        <v>0</v>
      </c>
      <c r="N345" s="545">
        <v>1</v>
      </c>
      <c r="O345" s="461">
        <v>1</v>
      </c>
      <c r="P345" s="523">
        <v>0.5</v>
      </c>
      <c r="Q345" s="462">
        <v>1</v>
      </c>
      <c r="R345" s="268"/>
      <c r="S345" s="388">
        <v>1</v>
      </c>
      <c r="T345" s="462">
        <v>1</v>
      </c>
      <c r="U345" s="462"/>
      <c r="V345" s="394">
        <v>1</v>
      </c>
      <c r="W345" s="462">
        <v>1</v>
      </c>
      <c r="X345" s="547"/>
      <c r="Y345" s="650">
        <v>1</v>
      </c>
      <c r="Z345" s="506">
        <f>BM345/$BM$340</f>
        <v>6.1290322580645158E-2</v>
      </c>
      <c r="AA345" s="264">
        <v>16</v>
      </c>
      <c r="AB345" s="347" t="s">
        <v>376</v>
      </c>
      <c r="AC345" s="62"/>
      <c r="AD345" s="58"/>
      <c r="AE345" s="59"/>
      <c r="AF345" s="59"/>
      <c r="AG345" s="62"/>
      <c r="AH345" s="58"/>
      <c r="AI345" s="58"/>
      <c r="AJ345" s="58"/>
      <c r="AK345" s="54">
        <v>28500000</v>
      </c>
      <c r="AL345" s="55">
        <v>28500000</v>
      </c>
      <c r="AM345" s="54">
        <v>20290800</v>
      </c>
      <c r="AN345" s="54">
        <v>4750000</v>
      </c>
      <c r="AO345" s="61"/>
      <c r="AP345" s="54"/>
      <c r="AQ345" s="54"/>
      <c r="AR345" s="58"/>
      <c r="AS345" s="62"/>
      <c r="AT345" s="58"/>
      <c r="AU345" s="59"/>
      <c r="AV345" s="59"/>
      <c r="AW345" s="62"/>
      <c r="AX345" s="58"/>
      <c r="AY345" s="58"/>
      <c r="AZ345" s="58"/>
      <c r="BA345" s="62"/>
      <c r="BB345" s="58"/>
      <c r="BC345" s="58"/>
      <c r="BD345" s="58"/>
      <c r="BE345" s="62"/>
      <c r="BF345" s="58"/>
      <c r="BG345" s="59"/>
      <c r="BH345" s="59"/>
      <c r="BI345" s="62"/>
      <c r="BJ345" s="58"/>
      <c r="BK345" s="58"/>
      <c r="BL345" s="58"/>
      <c r="BM345" s="53">
        <f>+AC345+AG345+AK345+AO345+AS345+AW345+BA345+BE345+BI345</f>
        <v>28500000</v>
      </c>
      <c r="BN345" s="54">
        <f t="shared" si="751"/>
        <v>28500000</v>
      </c>
      <c r="BO345" s="54">
        <f t="shared" si="751"/>
        <v>20290800</v>
      </c>
      <c r="BP345" s="54">
        <f t="shared" si="751"/>
        <v>4750000</v>
      </c>
      <c r="BQ345" s="85"/>
      <c r="BR345" s="85"/>
      <c r="BS345" s="85"/>
      <c r="BT345" s="85"/>
      <c r="BU345" s="85"/>
      <c r="BV345" s="85">
        <v>25000000</v>
      </c>
      <c r="BW345" s="85">
        <v>25000000</v>
      </c>
      <c r="BX345" s="85">
        <v>25000000</v>
      </c>
      <c r="BY345" s="85"/>
      <c r="BZ345" s="84">
        <v>23039775.75</v>
      </c>
      <c r="CA345" s="65">
        <v>24639776</v>
      </c>
      <c r="CB345" s="65">
        <v>23039776</v>
      </c>
      <c r="CC345" s="65">
        <v>23039776</v>
      </c>
      <c r="CD345" s="65"/>
      <c r="CE345" s="84"/>
      <c r="CF345" s="84"/>
      <c r="CG345" s="84"/>
      <c r="CH345" s="84"/>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1">
        <f t="shared" si="752"/>
        <v>23039775.75</v>
      </c>
      <c r="DF345" s="95">
        <f t="shared" si="752"/>
        <v>49639776</v>
      </c>
      <c r="DG345" s="95">
        <f t="shared" si="752"/>
        <v>48039776</v>
      </c>
      <c r="DH345" s="95">
        <f t="shared" si="752"/>
        <v>48039776</v>
      </c>
      <c r="DI345" s="95"/>
      <c r="DJ345" s="84"/>
      <c r="DK345" s="65"/>
      <c r="DL345" s="84"/>
      <c r="DM345" s="84"/>
      <c r="DN345" s="84"/>
      <c r="DO345" s="84">
        <v>2500000</v>
      </c>
      <c r="DP345" s="84">
        <v>2500000</v>
      </c>
      <c r="DQ345" s="84">
        <v>2500000</v>
      </c>
      <c r="DR345" s="84"/>
      <c r="DS345" s="84">
        <v>24845469.022999998</v>
      </c>
      <c r="DT345" s="84">
        <v>24000000</v>
      </c>
      <c r="DU345" s="84">
        <v>24000000</v>
      </c>
      <c r="DV345" s="84">
        <v>24000000</v>
      </c>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3"/>
      <c r="EU345" s="83"/>
      <c r="EV345" s="83"/>
      <c r="EW345" s="81">
        <f t="shared" si="753"/>
        <v>24845469.022999998</v>
      </c>
      <c r="EX345" s="86">
        <f t="shared" si="753"/>
        <v>26500000</v>
      </c>
      <c r="EY345" s="86">
        <f t="shared" si="754"/>
        <v>26500000</v>
      </c>
      <c r="EZ345" s="86">
        <f t="shared" si="754"/>
        <v>26500000</v>
      </c>
      <c r="FA345" s="176"/>
      <c r="FB345" s="83"/>
      <c r="FC345" s="84"/>
      <c r="FD345" s="84"/>
      <c r="FE345" s="84"/>
      <c r="FF345" s="140"/>
      <c r="FG345" s="83"/>
      <c r="FH345" s="83"/>
      <c r="FI345" s="83"/>
      <c r="FJ345" s="83"/>
      <c r="FK345" s="83"/>
      <c r="FL345" s="83">
        <v>25381333.09</v>
      </c>
      <c r="FM345" s="83">
        <v>54000000</v>
      </c>
      <c r="FN345" s="83">
        <v>53999333</v>
      </c>
      <c r="FO345" s="83">
        <v>21258333</v>
      </c>
      <c r="FP345" s="83"/>
      <c r="FQ345" s="83"/>
      <c r="FR345" s="83"/>
      <c r="FS345" s="83"/>
      <c r="FT345" s="83"/>
      <c r="FU345" s="83"/>
      <c r="FV345" s="83"/>
      <c r="FW345" s="83"/>
      <c r="FX345" s="83"/>
      <c r="FY345" s="83"/>
      <c r="FZ345" s="83"/>
      <c r="GA345" s="83"/>
      <c r="GB345" s="83"/>
      <c r="GC345" s="83"/>
      <c r="GD345" s="83"/>
      <c r="GE345" s="83"/>
      <c r="GF345" s="83"/>
      <c r="GG345" s="83"/>
      <c r="GH345" s="83"/>
      <c r="GI345" s="83"/>
      <c r="GJ345" s="83"/>
      <c r="GK345" s="83"/>
      <c r="GL345" s="83"/>
      <c r="GM345" s="83"/>
      <c r="GN345" s="83"/>
      <c r="GO345" s="83"/>
      <c r="GP345" s="83"/>
      <c r="GQ345" s="83"/>
      <c r="GR345" s="83"/>
      <c r="GS345" s="83"/>
      <c r="GT345" s="83"/>
      <c r="GU345" s="81">
        <f>FB345+FG345+FL345+FQ345+FV345+GA345+GF345+GK345+GP345</f>
        <v>25381333.09</v>
      </c>
      <c r="GV345" s="81">
        <f t="shared" si="755"/>
        <v>54000000</v>
      </c>
      <c r="GW345" s="81">
        <f t="shared" si="755"/>
        <v>53999333</v>
      </c>
      <c r="GX345" s="81">
        <f t="shared" si="755"/>
        <v>21258333</v>
      </c>
      <c r="GY345" s="673">
        <f t="shared" si="755"/>
        <v>0</v>
      </c>
      <c r="GZ345" s="67">
        <f>BM345+DE345+EW345+GU345</f>
        <v>101766577.86300001</v>
      </c>
    </row>
    <row r="346" spans="1:208" ht="24.75" customHeight="1" x14ac:dyDescent="0.2">
      <c r="A346" s="326"/>
      <c r="B346" s="326"/>
      <c r="C346" s="246">
        <v>79</v>
      </c>
      <c r="D346" s="247" t="s">
        <v>786</v>
      </c>
      <c r="E346" s="250"/>
      <c r="F346" s="250"/>
      <c r="G346" s="251"/>
      <c r="H346" s="251"/>
      <c r="I346" s="251"/>
      <c r="J346" s="251"/>
      <c r="K346" s="251"/>
      <c r="L346" s="251"/>
      <c r="M346" s="251"/>
      <c r="N346" s="251"/>
      <c r="O346" s="251"/>
      <c r="P346" s="251"/>
      <c r="Q346" s="251"/>
      <c r="R346" s="251"/>
      <c r="S346" s="251"/>
      <c r="T346" s="251"/>
      <c r="U346" s="251"/>
      <c r="V346" s="251"/>
      <c r="W346" s="251"/>
      <c r="X346" s="251"/>
      <c r="Y346" s="252"/>
      <c r="Z346" s="251"/>
      <c r="AA346" s="251"/>
      <c r="AB346" s="251"/>
      <c r="AC346" s="51">
        <f t="shared" ref="AC346:BL346" si="756">SUM(AC347:AC349)</f>
        <v>0</v>
      </c>
      <c r="AD346" s="51">
        <f t="shared" si="756"/>
        <v>0</v>
      </c>
      <c r="AE346" s="51">
        <f t="shared" si="756"/>
        <v>0</v>
      </c>
      <c r="AF346" s="51">
        <f t="shared" si="756"/>
        <v>0</v>
      </c>
      <c r="AG346" s="51">
        <f t="shared" si="756"/>
        <v>0</v>
      </c>
      <c r="AH346" s="51">
        <f t="shared" si="756"/>
        <v>0</v>
      </c>
      <c r="AI346" s="51">
        <f t="shared" si="756"/>
        <v>0</v>
      </c>
      <c r="AJ346" s="51">
        <f t="shared" si="756"/>
        <v>0</v>
      </c>
      <c r="AK346" s="51">
        <f t="shared" si="756"/>
        <v>36000000</v>
      </c>
      <c r="AL346" s="51">
        <f t="shared" si="756"/>
        <v>36000000</v>
      </c>
      <c r="AM346" s="51">
        <f t="shared" si="756"/>
        <v>32133130</v>
      </c>
      <c r="AN346" s="51">
        <f t="shared" si="756"/>
        <v>32133130</v>
      </c>
      <c r="AO346" s="51">
        <f t="shared" si="756"/>
        <v>0</v>
      </c>
      <c r="AP346" s="51">
        <f t="shared" si="756"/>
        <v>0</v>
      </c>
      <c r="AQ346" s="51">
        <f t="shared" si="756"/>
        <v>0</v>
      </c>
      <c r="AR346" s="51">
        <f t="shared" si="756"/>
        <v>0</v>
      </c>
      <c r="AS346" s="51">
        <f t="shared" si="756"/>
        <v>0</v>
      </c>
      <c r="AT346" s="51">
        <f t="shared" si="756"/>
        <v>0</v>
      </c>
      <c r="AU346" s="51">
        <f t="shared" si="756"/>
        <v>0</v>
      </c>
      <c r="AV346" s="51">
        <f t="shared" si="756"/>
        <v>0</v>
      </c>
      <c r="AW346" s="51">
        <f t="shared" si="756"/>
        <v>0</v>
      </c>
      <c r="AX346" s="51">
        <f t="shared" si="756"/>
        <v>0</v>
      </c>
      <c r="AY346" s="51">
        <f t="shared" si="756"/>
        <v>0</v>
      </c>
      <c r="AZ346" s="51">
        <f t="shared" si="756"/>
        <v>0</v>
      </c>
      <c r="BA346" s="51">
        <f t="shared" si="756"/>
        <v>0</v>
      </c>
      <c r="BB346" s="51">
        <f t="shared" si="756"/>
        <v>0</v>
      </c>
      <c r="BC346" s="51">
        <f t="shared" si="756"/>
        <v>0</v>
      </c>
      <c r="BD346" s="51">
        <f t="shared" si="756"/>
        <v>0</v>
      </c>
      <c r="BE346" s="51">
        <f t="shared" si="756"/>
        <v>0</v>
      </c>
      <c r="BF346" s="51">
        <f t="shared" si="756"/>
        <v>0</v>
      </c>
      <c r="BG346" s="51">
        <f t="shared" si="756"/>
        <v>0</v>
      </c>
      <c r="BH346" s="51">
        <f t="shared" si="756"/>
        <v>0</v>
      </c>
      <c r="BI346" s="51">
        <f t="shared" si="756"/>
        <v>0</v>
      </c>
      <c r="BJ346" s="51">
        <f t="shared" si="756"/>
        <v>0</v>
      </c>
      <c r="BK346" s="51">
        <f t="shared" si="756"/>
        <v>0</v>
      </c>
      <c r="BL346" s="51">
        <f t="shared" si="756"/>
        <v>0</v>
      </c>
      <c r="BM346" s="51">
        <f t="shared" ref="BM346:DX346" si="757">SUM(BM347:BM349)</f>
        <v>36000000</v>
      </c>
      <c r="BN346" s="51">
        <f t="shared" si="757"/>
        <v>36000000</v>
      </c>
      <c r="BO346" s="51">
        <f t="shared" si="757"/>
        <v>32133130</v>
      </c>
      <c r="BP346" s="51">
        <f t="shared" si="757"/>
        <v>32133130</v>
      </c>
      <c r="BQ346" s="51">
        <f t="shared" si="757"/>
        <v>0</v>
      </c>
      <c r="BR346" s="51">
        <f t="shared" si="757"/>
        <v>0</v>
      </c>
      <c r="BS346" s="51">
        <f t="shared" si="757"/>
        <v>0</v>
      </c>
      <c r="BT346" s="51">
        <f t="shared" si="757"/>
        <v>0</v>
      </c>
      <c r="BU346" s="51">
        <f t="shared" si="757"/>
        <v>0</v>
      </c>
      <c r="BV346" s="51">
        <f t="shared" si="757"/>
        <v>0</v>
      </c>
      <c r="BW346" s="51">
        <f t="shared" si="757"/>
        <v>0</v>
      </c>
      <c r="BX346" s="51">
        <f t="shared" si="757"/>
        <v>0</v>
      </c>
      <c r="BY346" s="51">
        <f t="shared" si="757"/>
        <v>0</v>
      </c>
      <c r="BZ346" s="51">
        <f t="shared" si="757"/>
        <v>37080000</v>
      </c>
      <c r="CA346" s="51">
        <f t="shared" si="757"/>
        <v>37080000</v>
      </c>
      <c r="CB346" s="51">
        <f t="shared" si="757"/>
        <v>36984900</v>
      </c>
      <c r="CC346" s="51">
        <f t="shared" si="757"/>
        <v>36984900</v>
      </c>
      <c r="CD346" s="51">
        <f t="shared" si="757"/>
        <v>0</v>
      </c>
      <c r="CE346" s="51">
        <f t="shared" si="757"/>
        <v>0</v>
      </c>
      <c r="CF346" s="51">
        <f t="shared" si="757"/>
        <v>0</v>
      </c>
      <c r="CG346" s="51">
        <f t="shared" si="757"/>
        <v>0</v>
      </c>
      <c r="CH346" s="51">
        <f t="shared" si="757"/>
        <v>0</v>
      </c>
      <c r="CI346" s="51">
        <f t="shared" si="757"/>
        <v>0</v>
      </c>
      <c r="CJ346" s="51">
        <f t="shared" si="757"/>
        <v>0</v>
      </c>
      <c r="CK346" s="51">
        <f t="shared" si="757"/>
        <v>0</v>
      </c>
      <c r="CL346" s="51">
        <f t="shared" si="757"/>
        <v>0</v>
      </c>
      <c r="CM346" s="51">
        <f t="shared" si="757"/>
        <v>0</v>
      </c>
      <c r="CN346" s="51">
        <f t="shared" si="757"/>
        <v>0</v>
      </c>
      <c r="CO346" s="51">
        <f t="shared" si="757"/>
        <v>0</v>
      </c>
      <c r="CP346" s="51">
        <f t="shared" si="757"/>
        <v>0</v>
      </c>
      <c r="CQ346" s="51">
        <f t="shared" si="757"/>
        <v>0</v>
      </c>
      <c r="CR346" s="51">
        <f t="shared" si="757"/>
        <v>0</v>
      </c>
      <c r="CS346" s="51">
        <f t="shared" si="757"/>
        <v>0</v>
      </c>
      <c r="CT346" s="51">
        <f t="shared" si="757"/>
        <v>0</v>
      </c>
      <c r="CU346" s="51">
        <f t="shared" si="757"/>
        <v>0</v>
      </c>
      <c r="CV346" s="51">
        <f t="shared" si="757"/>
        <v>0</v>
      </c>
      <c r="CW346" s="51">
        <f t="shared" si="757"/>
        <v>0</v>
      </c>
      <c r="CX346" s="51">
        <f t="shared" si="757"/>
        <v>0</v>
      </c>
      <c r="CY346" s="51">
        <f t="shared" si="757"/>
        <v>0</v>
      </c>
      <c r="CZ346" s="51">
        <f t="shared" si="757"/>
        <v>0</v>
      </c>
      <c r="DA346" s="51">
        <f t="shared" si="757"/>
        <v>0</v>
      </c>
      <c r="DB346" s="51">
        <f t="shared" si="757"/>
        <v>0</v>
      </c>
      <c r="DC346" s="51">
        <f t="shared" si="757"/>
        <v>0</v>
      </c>
      <c r="DD346" s="51">
        <f t="shared" si="757"/>
        <v>0</v>
      </c>
      <c r="DE346" s="51">
        <f t="shared" si="757"/>
        <v>37080000</v>
      </c>
      <c r="DF346" s="51">
        <f t="shared" si="757"/>
        <v>37080000</v>
      </c>
      <c r="DG346" s="51">
        <f t="shared" si="757"/>
        <v>36984900</v>
      </c>
      <c r="DH346" s="51">
        <f t="shared" si="757"/>
        <v>36984900</v>
      </c>
      <c r="DI346" s="51">
        <f t="shared" si="757"/>
        <v>0</v>
      </c>
      <c r="DJ346" s="51">
        <f t="shared" si="757"/>
        <v>0</v>
      </c>
      <c r="DK346" s="51">
        <f t="shared" si="757"/>
        <v>0</v>
      </c>
      <c r="DL346" s="51">
        <f t="shared" si="757"/>
        <v>0</v>
      </c>
      <c r="DM346" s="51">
        <f t="shared" si="757"/>
        <v>0</v>
      </c>
      <c r="DN346" s="51">
        <f t="shared" si="757"/>
        <v>0</v>
      </c>
      <c r="DO346" s="51">
        <f t="shared" si="757"/>
        <v>25000000</v>
      </c>
      <c r="DP346" s="51">
        <f t="shared" si="757"/>
        <v>20000000</v>
      </c>
      <c r="DQ346" s="51">
        <f t="shared" si="757"/>
        <v>20000000</v>
      </c>
      <c r="DR346" s="51">
        <f t="shared" si="757"/>
        <v>0</v>
      </c>
      <c r="DS346" s="51">
        <f t="shared" si="757"/>
        <v>38192400</v>
      </c>
      <c r="DT346" s="51">
        <f t="shared" si="757"/>
        <v>27000000</v>
      </c>
      <c r="DU346" s="51">
        <f t="shared" si="757"/>
        <v>24233659</v>
      </c>
      <c r="DV346" s="51">
        <f t="shared" si="757"/>
        <v>20958659</v>
      </c>
      <c r="DW346" s="51">
        <f t="shared" si="757"/>
        <v>0</v>
      </c>
      <c r="DX346" s="51">
        <f t="shared" si="757"/>
        <v>0</v>
      </c>
      <c r="DY346" s="51">
        <f t="shared" ref="DY346:EW346" si="758">SUM(DY347:DY349)</f>
        <v>0</v>
      </c>
      <c r="DZ346" s="51">
        <f t="shared" si="758"/>
        <v>0</v>
      </c>
      <c r="EA346" s="51">
        <f t="shared" si="758"/>
        <v>0</v>
      </c>
      <c r="EB346" s="51">
        <f t="shared" si="758"/>
        <v>0</v>
      </c>
      <c r="EC346" s="51">
        <f t="shared" si="758"/>
        <v>0</v>
      </c>
      <c r="ED346" s="51">
        <f t="shared" si="758"/>
        <v>0</v>
      </c>
      <c r="EE346" s="51">
        <f t="shared" si="758"/>
        <v>0</v>
      </c>
      <c r="EF346" s="51">
        <f t="shared" si="758"/>
        <v>0</v>
      </c>
      <c r="EG346" s="51">
        <f t="shared" si="758"/>
        <v>0</v>
      </c>
      <c r="EH346" s="51">
        <f t="shared" si="758"/>
        <v>0</v>
      </c>
      <c r="EI346" s="51">
        <f t="shared" si="758"/>
        <v>0</v>
      </c>
      <c r="EJ346" s="51">
        <f t="shared" si="758"/>
        <v>0</v>
      </c>
      <c r="EK346" s="51">
        <f t="shared" si="758"/>
        <v>0</v>
      </c>
      <c r="EL346" s="51">
        <f t="shared" si="758"/>
        <v>0</v>
      </c>
      <c r="EM346" s="51">
        <f t="shared" si="758"/>
        <v>0</v>
      </c>
      <c r="EN346" s="51">
        <f t="shared" si="758"/>
        <v>0</v>
      </c>
      <c r="EO346" s="51">
        <f t="shared" si="758"/>
        <v>0</v>
      </c>
      <c r="EP346" s="51">
        <f t="shared" si="758"/>
        <v>0</v>
      </c>
      <c r="EQ346" s="51">
        <f t="shared" si="758"/>
        <v>0</v>
      </c>
      <c r="ER346" s="51">
        <f t="shared" si="758"/>
        <v>0</v>
      </c>
      <c r="ES346" s="51">
        <f t="shared" si="758"/>
        <v>0</v>
      </c>
      <c r="ET346" s="51">
        <f t="shared" si="758"/>
        <v>0</v>
      </c>
      <c r="EU346" s="51">
        <f t="shared" si="758"/>
        <v>0</v>
      </c>
      <c r="EV346" s="51">
        <f t="shared" si="758"/>
        <v>0</v>
      </c>
      <c r="EW346" s="51">
        <f t="shared" si="758"/>
        <v>38192400</v>
      </c>
      <c r="EX346" s="51">
        <f t="shared" ref="EX346:GZ346" si="759">SUM(EX347:EX349)</f>
        <v>52000000</v>
      </c>
      <c r="EY346" s="51">
        <f t="shared" si="759"/>
        <v>44233659</v>
      </c>
      <c r="EZ346" s="51">
        <f t="shared" si="759"/>
        <v>40958659</v>
      </c>
      <c r="FA346" s="51">
        <f t="shared" si="759"/>
        <v>0</v>
      </c>
      <c r="FB346" s="51">
        <f t="shared" si="759"/>
        <v>0</v>
      </c>
      <c r="FC346" s="51">
        <f t="shared" si="759"/>
        <v>0</v>
      </c>
      <c r="FD346" s="51">
        <f t="shared" si="759"/>
        <v>0</v>
      </c>
      <c r="FE346" s="51">
        <f t="shared" si="759"/>
        <v>0</v>
      </c>
      <c r="FF346" s="51">
        <f t="shared" si="759"/>
        <v>0</v>
      </c>
      <c r="FG346" s="51">
        <f t="shared" si="759"/>
        <v>0</v>
      </c>
      <c r="FH346" s="51">
        <f t="shared" si="759"/>
        <v>30000000</v>
      </c>
      <c r="FI346" s="51">
        <f t="shared" si="759"/>
        <v>30000000</v>
      </c>
      <c r="FJ346" s="51">
        <f t="shared" si="759"/>
        <v>0</v>
      </c>
      <c r="FK346" s="51">
        <f t="shared" si="759"/>
        <v>0</v>
      </c>
      <c r="FL346" s="51">
        <f t="shared" si="759"/>
        <v>39338172</v>
      </c>
      <c r="FM346" s="51">
        <f t="shared" si="759"/>
        <v>28000000</v>
      </c>
      <c r="FN346" s="51">
        <f t="shared" si="759"/>
        <v>24600000</v>
      </c>
      <c r="FO346" s="51">
        <f t="shared" si="759"/>
        <v>18450000</v>
      </c>
      <c r="FP346" s="51">
        <f t="shared" si="759"/>
        <v>0</v>
      </c>
      <c r="FQ346" s="51">
        <f t="shared" si="759"/>
        <v>0</v>
      </c>
      <c r="FR346" s="51">
        <f t="shared" si="759"/>
        <v>0</v>
      </c>
      <c r="FS346" s="51">
        <f t="shared" si="759"/>
        <v>0</v>
      </c>
      <c r="FT346" s="51">
        <f t="shared" si="759"/>
        <v>0</v>
      </c>
      <c r="FU346" s="51">
        <f t="shared" si="759"/>
        <v>0</v>
      </c>
      <c r="FV346" s="51">
        <f t="shared" si="759"/>
        <v>0</v>
      </c>
      <c r="FW346" s="51">
        <f t="shared" si="759"/>
        <v>0</v>
      </c>
      <c r="FX346" s="51">
        <f t="shared" si="759"/>
        <v>0</v>
      </c>
      <c r="FY346" s="51">
        <f t="shared" si="759"/>
        <v>0</v>
      </c>
      <c r="FZ346" s="51">
        <f t="shared" si="759"/>
        <v>0</v>
      </c>
      <c r="GA346" s="51">
        <f t="shared" si="759"/>
        <v>0</v>
      </c>
      <c r="GB346" s="51">
        <f t="shared" si="759"/>
        <v>0</v>
      </c>
      <c r="GC346" s="51">
        <f t="shared" si="759"/>
        <v>0</v>
      </c>
      <c r="GD346" s="51">
        <f t="shared" si="759"/>
        <v>0</v>
      </c>
      <c r="GE346" s="51">
        <f t="shared" si="759"/>
        <v>0</v>
      </c>
      <c r="GF346" s="51">
        <f t="shared" si="759"/>
        <v>0</v>
      </c>
      <c r="GG346" s="51">
        <f t="shared" si="759"/>
        <v>0</v>
      </c>
      <c r="GH346" s="51">
        <f t="shared" si="759"/>
        <v>0</v>
      </c>
      <c r="GI346" s="51">
        <f t="shared" si="759"/>
        <v>0</v>
      </c>
      <c r="GJ346" s="51">
        <f t="shared" si="759"/>
        <v>0</v>
      </c>
      <c r="GK346" s="51">
        <f t="shared" si="759"/>
        <v>0</v>
      </c>
      <c r="GL346" s="51">
        <f t="shared" si="759"/>
        <v>0</v>
      </c>
      <c r="GM346" s="51">
        <f t="shared" si="759"/>
        <v>0</v>
      </c>
      <c r="GN346" s="51">
        <f t="shared" si="759"/>
        <v>0</v>
      </c>
      <c r="GO346" s="51">
        <f t="shared" si="759"/>
        <v>0</v>
      </c>
      <c r="GP346" s="51">
        <f t="shared" si="759"/>
        <v>0</v>
      </c>
      <c r="GQ346" s="51">
        <f t="shared" si="759"/>
        <v>0</v>
      </c>
      <c r="GR346" s="51">
        <f t="shared" si="759"/>
        <v>0</v>
      </c>
      <c r="GS346" s="51">
        <f t="shared" si="759"/>
        <v>0</v>
      </c>
      <c r="GT346" s="51">
        <f t="shared" si="759"/>
        <v>0</v>
      </c>
      <c r="GU346" s="51">
        <f t="shared" si="759"/>
        <v>39338172</v>
      </c>
      <c r="GV346" s="51">
        <f t="shared" si="759"/>
        <v>58000000</v>
      </c>
      <c r="GW346" s="51">
        <f t="shared" si="759"/>
        <v>54600000</v>
      </c>
      <c r="GX346" s="51">
        <f t="shared" si="759"/>
        <v>18450000</v>
      </c>
      <c r="GY346" s="51">
        <f t="shared" si="759"/>
        <v>0</v>
      </c>
      <c r="GZ346" s="51">
        <f t="shared" si="759"/>
        <v>150610572</v>
      </c>
    </row>
    <row r="347" spans="1:208" ht="99.75" customHeight="1" x14ac:dyDescent="0.2">
      <c r="A347" s="326"/>
      <c r="B347" s="326"/>
      <c r="C347" s="456">
        <v>13</v>
      </c>
      <c r="D347" s="1051" t="s">
        <v>540</v>
      </c>
      <c r="E347" s="1052">
        <v>0.71040000000000003</v>
      </c>
      <c r="F347" s="1052">
        <v>0.88170000000000004</v>
      </c>
      <c r="G347" s="265">
        <v>231</v>
      </c>
      <c r="H347" s="358" t="s">
        <v>787</v>
      </c>
      <c r="I347" s="275" t="s">
        <v>788</v>
      </c>
      <c r="J347" s="262" t="s">
        <v>636</v>
      </c>
      <c r="K347" s="259">
        <v>14</v>
      </c>
      <c r="L347" s="534" t="s">
        <v>58</v>
      </c>
      <c r="M347" s="288">
        <v>1</v>
      </c>
      <c r="N347" s="288">
        <v>1</v>
      </c>
      <c r="O347" s="259">
        <v>1</v>
      </c>
      <c r="P347" s="387">
        <v>0</v>
      </c>
      <c r="Q347" s="288">
        <v>1</v>
      </c>
      <c r="R347" s="268"/>
      <c r="S347" s="389">
        <v>1</v>
      </c>
      <c r="T347" s="288">
        <v>1</v>
      </c>
      <c r="U347" s="288"/>
      <c r="V347" s="389">
        <v>1</v>
      </c>
      <c r="W347" s="288">
        <v>1</v>
      </c>
      <c r="X347" s="534"/>
      <c r="Y347" s="649">
        <v>1</v>
      </c>
      <c r="Z347" s="493">
        <f>BM347/$BM$346</f>
        <v>8.3333333333333329E-2</v>
      </c>
      <c r="AA347" s="264">
        <v>16</v>
      </c>
      <c r="AB347" s="347" t="s">
        <v>376</v>
      </c>
      <c r="AC347" s="66"/>
      <c r="AD347" s="55"/>
      <c r="AE347" s="54"/>
      <c r="AF347" s="54"/>
      <c r="AG347" s="66"/>
      <c r="AH347" s="55"/>
      <c r="AI347" s="55"/>
      <c r="AJ347" s="55"/>
      <c r="AK347" s="57">
        <v>3000000</v>
      </c>
      <c r="AL347" s="55">
        <v>3000000</v>
      </c>
      <c r="AM347" s="58"/>
      <c r="AN347" s="58"/>
      <c r="AO347" s="62"/>
      <c r="AP347" s="58"/>
      <c r="AQ347" s="58"/>
      <c r="AR347" s="55"/>
      <c r="AS347" s="66"/>
      <c r="AT347" s="55"/>
      <c r="AU347" s="54"/>
      <c r="AV347" s="54"/>
      <c r="AW347" s="66"/>
      <c r="AX347" s="55"/>
      <c r="AY347" s="55"/>
      <c r="AZ347" s="55"/>
      <c r="BA347" s="66"/>
      <c r="BB347" s="55"/>
      <c r="BC347" s="55"/>
      <c r="BD347" s="55"/>
      <c r="BE347" s="66"/>
      <c r="BF347" s="55"/>
      <c r="BG347" s="54"/>
      <c r="BH347" s="54"/>
      <c r="BI347" s="66"/>
      <c r="BJ347" s="55"/>
      <c r="BK347" s="55"/>
      <c r="BL347" s="55"/>
      <c r="BM347" s="53">
        <f>+AC347+AG347+AK347+AO347+AS347+AW347+BA347+BE347+BI347</f>
        <v>3000000</v>
      </c>
      <c r="BN347" s="54">
        <f t="shared" ref="BN347:BP349" si="760">AD347+AH347+AL347+AP347+AT347+AX347+BB347+BF347+BJ347</f>
        <v>3000000</v>
      </c>
      <c r="BO347" s="54">
        <f t="shared" si="760"/>
        <v>0</v>
      </c>
      <c r="BP347" s="54">
        <f t="shared" si="760"/>
        <v>0</v>
      </c>
      <c r="BQ347" s="83"/>
      <c r="BR347" s="83"/>
      <c r="BS347" s="83"/>
      <c r="BT347" s="83"/>
      <c r="BU347" s="83"/>
      <c r="BV347" s="83"/>
      <c r="BW347" s="83"/>
      <c r="BX347" s="83"/>
      <c r="BY347" s="83"/>
      <c r="BZ347" s="84">
        <v>3090000</v>
      </c>
      <c r="CA347" s="83">
        <v>3090000</v>
      </c>
      <c r="CB347" s="83">
        <v>3090000</v>
      </c>
      <c r="CC347" s="83">
        <v>3090000</v>
      </c>
      <c r="CD347" s="83"/>
      <c r="CE347" s="83"/>
      <c r="CF347" s="83"/>
      <c r="CG347" s="83"/>
      <c r="CH347" s="83"/>
      <c r="CI347" s="83"/>
      <c r="CJ347" s="83"/>
      <c r="CK347" s="83"/>
      <c r="CL347" s="83"/>
      <c r="CM347" s="83"/>
      <c r="CN347" s="83"/>
      <c r="CO347" s="83"/>
      <c r="CP347" s="83"/>
      <c r="CQ347" s="83"/>
      <c r="CR347" s="83"/>
      <c r="CS347" s="83"/>
      <c r="CT347" s="83"/>
      <c r="CU347" s="83"/>
      <c r="CV347" s="83"/>
      <c r="CW347" s="83"/>
      <c r="CX347" s="83"/>
      <c r="CY347" s="83"/>
      <c r="CZ347" s="83"/>
      <c r="DA347" s="83"/>
      <c r="DB347" s="83"/>
      <c r="DC347" s="83"/>
      <c r="DD347" s="83"/>
      <c r="DE347" s="81">
        <f t="shared" ref="DE347:DH349" si="761">BQ347+BU347+BZ347+CE347+CI347+CM347+CQ347+CV347+DA347</f>
        <v>3090000</v>
      </c>
      <c r="DF347" s="95">
        <f t="shared" si="761"/>
        <v>3090000</v>
      </c>
      <c r="DG347" s="95">
        <f t="shared" si="761"/>
        <v>3090000</v>
      </c>
      <c r="DH347" s="95">
        <f t="shared" si="761"/>
        <v>3090000</v>
      </c>
      <c r="DI347" s="95"/>
      <c r="DJ347" s="84"/>
      <c r="DK347" s="65"/>
      <c r="DL347" s="84"/>
      <c r="DM347" s="84"/>
      <c r="DN347" s="84"/>
      <c r="DO347" s="84">
        <v>5000000</v>
      </c>
      <c r="DP347" s="84">
        <v>4000000</v>
      </c>
      <c r="DQ347" s="84">
        <v>4000000</v>
      </c>
      <c r="DR347" s="84"/>
      <c r="DS347" s="84">
        <v>3180000</v>
      </c>
      <c r="DT347" s="84">
        <v>2250000</v>
      </c>
      <c r="DU347" s="84">
        <v>1500000</v>
      </c>
      <c r="DV347" s="84">
        <v>1500000</v>
      </c>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3"/>
      <c r="EU347" s="83"/>
      <c r="EV347" s="83"/>
      <c r="EW347" s="81">
        <f t="shared" ref="EW347:EX349" si="762">DJ347+DN347+DS347+DX347+EB347+EF347+EJ347+EN347+ES347</f>
        <v>3180000</v>
      </c>
      <c r="EX347" s="86">
        <f t="shared" si="762"/>
        <v>7250000</v>
      </c>
      <c r="EY347" s="86">
        <f t="shared" ref="EY347:EZ349" si="763">DL347+DP347+DU347+DZ347+ED347+EH347+EL347+EP347+EU347</f>
        <v>5500000</v>
      </c>
      <c r="EZ347" s="86">
        <f t="shared" si="763"/>
        <v>5500000</v>
      </c>
      <c r="FA347" s="176"/>
      <c r="FB347" s="83"/>
      <c r="FC347" s="84"/>
      <c r="FD347" s="84"/>
      <c r="FE347" s="84"/>
      <c r="FF347" s="140"/>
      <c r="FG347" s="83"/>
      <c r="FH347" s="83"/>
      <c r="FI347" s="83"/>
      <c r="FJ347" s="83"/>
      <c r="FK347" s="83"/>
      <c r="FL347" s="83">
        <v>3300000</v>
      </c>
      <c r="FM347" s="83">
        <v>6000000</v>
      </c>
      <c r="FN347" s="83">
        <v>5850000</v>
      </c>
      <c r="FO347" s="83">
        <v>5500000</v>
      </c>
      <c r="FP347" s="83"/>
      <c r="FQ347" s="83"/>
      <c r="FR347" s="83"/>
      <c r="FS347" s="83"/>
      <c r="FT347" s="83"/>
      <c r="FU347" s="83"/>
      <c r="FV347" s="83"/>
      <c r="FW347" s="83"/>
      <c r="FX347" s="83"/>
      <c r="FY347" s="83"/>
      <c r="FZ347" s="83"/>
      <c r="GA347" s="83"/>
      <c r="GB347" s="83"/>
      <c r="GC347" s="83"/>
      <c r="GD347" s="83"/>
      <c r="GE347" s="83"/>
      <c r="GF347" s="83"/>
      <c r="GG347" s="83"/>
      <c r="GH347" s="83"/>
      <c r="GI347" s="83"/>
      <c r="GJ347" s="83"/>
      <c r="GK347" s="83"/>
      <c r="GL347" s="83"/>
      <c r="GM347" s="83"/>
      <c r="GN347" s="83"/>
      <c r="GO347" s="83"/>
      <c r="GP347" s="83"/>
      <c r="GQ347" s="83"/>
      <c r="GR347" s="83"/>
      <c r="GS347" s="83"/>
      <c r="GT347" s="83"/>
      <c r="GU347" s="81">
        <f>FB347+FG347+FL347+FQ347+FV347+GA347+GF347+GK347+GP347</f>
        <v>3300000</v>
      </c>
      <c r="GV347" s="81">
        <f t="shared" ref="GV347:GY349" si="764">GQ347+GL347+GG347+GB347+FW347+FR347+FM347+FH347+FC347</f>
        <v>6000000</v>
      </c>
      <c r="GW347" s="81">
        <f t="shared" si="764"/>
        <v>5850000</v>
      </c>
      <c r="GX347" s="81">
        <f t="shared" si="764"/>
        <v>5500000</v>
      </c>
      <c r="GY347" s="673">
        <f t="shared" si="764"/>
        <v>0</v>
      </c>
      <c r="GZ347" s="67">
        <f t="shared" ref="GZ347:GZ349" si="765">BM347+DE347+EW347+GU347</f>
        <v>12570000</v>
      </c>
    </row>
    <row r="348" spans="1:208" ht="92.25" customHeight="1" x14ac:dyDescent="0.2">
      <c r="A348" s="326"/>
      <c r="B348" s="326"/>
      <c r="C348" s="279"/>
      <c r="D348" s="543"/>
      <c r="E348" s="548"/>
      <c r="F348" s="548"/>
      <c r="G348" s="265">
        <v>232</v>
      </c>
      <c r="H348" s="358" t="s">
        <v>789</v>
      </c>
      <c r="I348" s="275" t="s">
        <v>790</v>
      </c>
      <c r="J348" s="262" t="s">
        <v>636</v>
      </c>
      <c r="K348" s="259">
        <v>14</v>
      </c>
      <c r="L348" s="534" t="s">
        <v>58</v>
      </c>
      <c r="M348" s="288">
        <v>12</v>
      </c>
      <c r="N348" s="288">
        <v>12</v>
      </c>
      <c r="O348" s="259">
        <v>12</v>
      </c>
      <c r="P348" s="387">
        <v>12</v>
      </c>
      <c r="Q348" s="288">
        <v>12</v>
      </c>
      <c r="R348" s="268"/>
      <c r="S348" s="389">
        <v>12</v>
      </c>
      <c r="T348" s="288">
        <v>12</v>
      </c>
      <c r="U348" s="288"/>
      <c r="V348" s="389">
        <v>12</v>
      </c>
      <c r="W348" s="288">
        <v>12</v>
      </c>
      <c r="X348" s="534"/>
      <c r="Y348" s="650">
        <v>12</v>
      </c>
      <c r="Z348" s="493">
        <f>BM348/$BM$346</f>
        <v>0.51111111111111107</v>
      </c>
      <c r="AA348" s="264">
        <v>16</v>
      </c>
      <c r="AB348" s="347" t="s">
        <v>376</v>
      </c>
      <c r="AC348" s="66"/>
      <c r="AD348" s="55"/>
      <c r="AE348" s="54"/>
      <c r="AF348" s="54"/>
      <c r="AG348" s="66"/>
      <c r="AH348" s="55"/>
      <c r="AI348" s="55"/>
      <c r="AJ348" s="55"/>
      <c r="AK348" s="57">
        <v>18400000</v>
      </c>
      <c r="AL348" s="58">
        <v>18400000</v>
      </c>
      <c r="AM348" s="58">
        <v>18399630</v>
      </c>
      <c r="AN348" s="58">
        <v>18399630</v>
      </c>
      <c r="AO348" s="62"/>
      <c r="AP348" s="58"/>
      <c r="AQ348" s="58"/>
      <c r="AR348" s="55"/>
      <c r="AS348" s="66"/>
      <c r="AT348" s="55"/>
      <c r="AU348" s="54"/>
      <c r="AV348" s="54"/>
      <c r="AW348" s="66"/>
      <c r="AX348" s="55"/>
      <c r="AY348" s="55"/>
      <c r="AZ348" s="55"/>
      <c r="BA348" s="66"/>
      <c r="BB348" s="55"/>
      <c r="BC348" s="55"/>
      <c r="BD348" s="55"/>
      <c r="BE348" s="66"/>
      <c r="BF348" s="55"/>
      <c r="BG348" s="54"/>
      <c r="BH348" s="54"/>
      <c r="BI348" s="66"/>
      <c r="BJ348" s="55"/>
      <c r="BK348" s="55"/>
      <c r="BL348" s="55"/>
      <c r="BM348" s="53">
        <f>+AC348+AG348+AK348+AO348+AS348+AW348+BA348+BE348+BI348</f>
        <v>18400000</v>
      </c>
      <c r="BN348" s="54">
        <f t="shared" si="760"/>
        <v>18400000</v>
      </c>
      <c r="BO348" s="54">
        <f t="shared" si="760"/>
        <v>18399630</v>
      </c>
      <c r="BP348" s="54">
        <f t="shared" si="760"/>
        <v>18399630</v>
      </c>
      <c r="BQ348" s="83"/>
      <c r="BR348" s="83"/>
      <c r="BS348" s="83"/>
      <c r="BT348" s="83"/>
      <c r="BU348" s="83"/>
      <c r="BV348" s="83"/>
      <c r="BW348" s="83"/>
      <c r="BX348" s="83"/>
      <c r="BY348" s="83"/>
      <c r="BZ348" s="84">
        <v>18952000</v>
      </c>
      <c r="CA348" s="83">
        <v>18952000</v>
      </c>
      <c r="CB348" s="83">
        <v>18901350</v>
      </c>
      <c r="CC348" s="83">
        <v>18901350</v>
      </c>
      <c r="CD348" s="83"/>
      <c r="CE348" s="83"/>
      <c r="CF348" s="83"/>
      <c r="CG348" s="83"/>
      <c r="CH348" s="83"/>
      <c r="CI348" s="83"/>
      <c r="CJ348" s="83"/>
      <c r="CK348" s="83"/>
      <c r="CL348" s="83"/>
      <c r="CM348" s="83"/>
      <c r="CN348" s="83"/>
      <c r="CO348" s="83"/>
      <c r="CP348" s="83"/>
      <c r="CQ348" s="83"/>
      <c r="CR348" s="83"/>
      <c r="CS348" s="83"/>
      <c r="CT348" s="83"/>
      <c r="CU348" s="83"/>
      <c r="CV348" s="83"/>
      <c r="CW348" s="83"/>
      <c r="CX348" s="83"/>
      <c r="CY348" s="83"/>
      <c r="CZ348" s="83"/>
      <c r="DA348" s="83"/>
      <c r="DB348" s="83"/>
      <c r="DC348" s="83"/>
      <c r="DD348" s="83"/>
      <c r="DE348" s="81">
        <f t="shared" si="761"/>
        <v>18952000</v>
      </c>
      <c r="DF348" s="95">
        <f t="shared" si="761"/>
        <v>18952000</v>
      </c>
      <c r="DG348" s="95">
        <f t="shared" si="761"/>
        <v>18901350</v>
      </c>
      <c r="DH348" s="95">
        <f t="shared" si="761"/>
        <v>18901350</v>
      </c>
      <c r="DI348" s="95"/>
      <c r="DJ348" s="84"/>
      <c r="DK348" s="65"/>
      <c r="DL348" s="84"/>
      <c r="DM348" s="84"/>
      <c r="DN348" s="84"/>
      <c r="DO348" s="84">
        <v>10000000</v>
      </c>
      <c r="DP348" s="84">
        <v>10000000</v>
      </c>
      <c r="DQ348" s="84">
        <v>10000000</v>
      </c>
      <c r="DR348" s="84"/>
      <c r="DS348" s="84">
        <v>19520000</v>
      </c>
      <c r="DT348" s="84">
        <v>13800000</v>
      </c>
      <c r="DU348" s="84">
        <v>12533659</v>
      </c>
      <c r="DV348" s="84">
        <v>9258659</v>
      </c>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3"/>
      <c r="EU348" s="83"/>
      <c r="EV348" s="83"/>
      <c r="EW348" s="81">
        <f t="shared" si="762"/>
        <v>19520000</v>
      </c>
      <c r="EX348" s="86">
        <f t="shared" si="762"/>
        <v>23800000</v>
      </c>
      <c r="EY348" s="86">
        <f t="shared" si="763"/>
        <v>22533659</v>
      </c>
      <c r="EZ348" s="86">
        <f t="shared" si="763"/>
        <v>19258659</v>
      </c>
      <c r="FA348" s="176"/>
      <c r="FB348" s="83"/>
      <c r="FC348" s="84"/>
      <c r="FD348" s="84"/>
      <c r="FE348" s="84"/>
      <c r="FF348" s="140"/>
      <c r="FG348" s="83"/>
      <c r="FH348" s="83">
        <v>30000000</v>
      </c>
      <c r="FI348" s="83">
        <v>30000000</v>
      </c>
      <c r="FJ348" s="83"/>
      <c r="FK348" s="83"/>
      <c r="FL348" s="83">
        <v>20100000</v>
      </c>
      <c r="FM348" s="83">
        <v>11000000</v>
      </c>
      <c r="FN348" s="83">
        <v>11000000</v>
      </c>
      <c r="FO348" s="83">
        <v>6500000</v>
      </c>
      <c r="FP348" s="83"/>
      <c r="FQ348" s="83"/>
      <c r="FR348" s="83"/>
      <c r="FS348" s="83"/>
      <c r="FT348" s="83"/>
      <c r="FU348" s="83"/>
      <c r="FV348" s="83"/>
      <c r="FW348" s="83"/>
      <c r="FX348" s="83"/>
      <c r="FY348" s="83"/>
      <c r="FZ348" s="83"/>
      <c r="GA348" s="83"/>
      <c r="GB348" s="83"/>
      <c r="GC348" s="83"/>
      <c r="GD348" s="83"/>
      <c r="GE348" s="83"/>
      <c r="GF348" s="83"/>
      <c r="GG348" s="83"/>
      <c r="GH348" s="83"/>
      <c r="GI348" s="83"/>
      <c r="GJ348" s="83"/>
      <c r="GK348" s="83"/>
      <c r="GL348" s="83"/>
      <c r="GM348" s="83"/>
      <c r="GN348" s="83"/>
      <c r="GO348" s="83"/>
      <c r="GP348" s="83"/>
      <c r="GQ348" s="83"/>
      <c r="GR348" s="83"/>
      <c r="GS348" s="83"/>
      <c r="GT348" s="83"/>
      <c r="GU348" s="81">
        <f>FB348+FG348+FL348+FQ348+FV348+GA348+GF348+GK348+GP348</f>
        <v>20100000</v>
      </c>
      <c r="GV348" s="81">
        <f t="shared" si="764"/>
        <v>41000000</v>
      </c>
      <c r="GW348" s="81">
        <f t="shared" si="764"/>
        <v>41000000</v>
      </c>
      <c r="GX348" s="81">
        <f t="shared" si="764"/>
        <v>6500000</v>
      </c>
      <c r="GY348" s="673">
        <f t="shared" si="764"/>
        <v>0</v>
      </c>
      <c r="GZ348" s="67">
        <f t="shared" si="765"/>
        <v>76972000</v>
      </c>
    </row>
    <row r="349" spans="1:208" ht="89.25" customHeight="1" x14ac:dyDescent="0.2">
      <c r="A349" s="326"/>
      <c r="B349" s="326"/>
      <c r="C349" s="277"/>
      <c r="D349" s="510"/>
      <c r="E349" s="549"/>
      <c r="F349" s="549"/>
      <c r="G349" s="265">
        <v>233</v>
      </c>
      <c r="H349" s="358" t="s">
        <v>791</v>
      </c>
      <c r="I349" s="275" t="s">
        <v>792</v>
      </c>
      <c r="J349" s="262" t="s">
        <v>636</v>
      </c>
      <c r="K349" s="259">
        <v>14</v>
      </c>
      <c r="L349" s="288" t="s">
        <v>58</v>
      </c>
      <c r="M349" s="288">
        <v>1</v>
      </c>
      <c r="N349" s="288">
        <v>1</v>
      </c>
      <c r="O349" s="259">
        <v>1</v>
      </c>
      <c r="P349" s="387">
        <v>1</v>
      </c>
      <c r="Q349" s="288">
        <v>1</v>
      </c>
      <c r="R349" s="268"/>
      <c r="S349" s="389">
        <v>1</v>
      </c>
      <c r="T349" s="288">
        <v>1</v>
      </c>
      <c r="U349" s="288"/>
      <c r="V349" s="389">
        <v>1</v>
      </c>
      <c r="W349" s="288">
        <v>1</v>
      </c>
      <c r="X349" s="288"/>
      <c r="Y349" s="699">
        <v>0.65</v>
      </c>
      <c r="Z349" s="493">
        <f>BM349/$BM$346</f>
        <v>0.40555555555555556</v>
      </c>
      <c r="AA349" s="264">
        <v>16</v>
      </c>
      <c r="AB349" s="347" t="s">
        <v>376</v>
      </c>
      <c r="AC349" s="66"/>
      <c r="AD349" s="55"/>
      <c r="AE349" s="54"/>
      <c r="AF349" s="54"/>
      <c r="AG349" s="66"/>
      <c r="AH349" s="55"/>
      <c r="AI349" s="55"/>
      <c r="AJ349" s="55"/>
      <c r="AK349" s="57">
        <f>9600000+5000000</f>
        <v>14600000</v>
      </c>
      <c r="AL349" s="58">
        <v>14600000</v>
      </c>
      <c r="AM349" s="58">
        <v>13733500</v>
      </c>
      <c r="AN349" s="58">
        <v>13733500</v>
      </c>
      <c r="AO349" s="62"/>
      <c r="AP349" s="58"/>
      <c r="AQ349" s="58"/>
      <c r="AR349" s="55"/>
      <c r="AS349" s="66"/>
      <c r="AT349" s="55"/>
      <c r="AU349" s="54"/>
      <c r="AV349" s="54"/>
      <c r="AW349" s="66"/>
      <c r="AX349" s="55"/>
      <c r="AY349" s="55"/>
      <c r="AZ349" s="55"/>
      <c r="BA349" s="66"/>
      <c r="BB349" s="55"/>
      <c r="BC349" s="55"/>
      <c r="BD349" s="55"/>
      <c r="BE349" s="66"/>
      <c r="BF349" s="55"/>
      <c r="BG349" s="54"/>
      <c r="BH349" s="54"/>
      <c r="BI349" s="66"/>
      <c r="BJ349" s="55"/>
      <c r="BK349" s="55"/>
      <c r="BL349" s="55"/>
      <c r="BM349" s="53">
        <f>+AC349+AG349+AK349+AO349+AS349+AW349+BA349+BE349+BI349</f>
        <v>14600000</v>
      </c>
      <c r="BN349" s="54">
        <f t="shared" si="760"/>
        <v>14600000</v>
      </c>
      <c r="BO349" s="54">
        <f t="shared" si="760"/>
        <v>13733500</v>
      </c>
      <c r="BP349" s="54">
        <f t="shared" si="760"/>
        <v>13733500</v>
      </c>
      <c r="BQ349" s="83"/>
      <c r="BR349" s="83"/>
      <c r="BS349" s="83"/>
      <c r="BT349" s="83"/>
      <c r="BU349" s="83"/>
      <c r="BV349" s="83"/>
      <c r="BW349" s="83"/>
      <c r="BX349" s="83"/>
      <c r="BY349" s="83"/>
      <c r="BZ349" s="84">
        <v>15038000</v>
      </c>
      <c r="CA349" s="83">
        <v>15038000</v>
      </c>
      <c r="CB349" s="83">
        <v>14993550</v>
      </c>
      <c r="CC349" s="83">
        <v>14993550</v>
      </c>
      <c r="CD349" s="83"/>
      <c r="CE349" s="83"/>
      <c r="CF349" s="83"/>
      <c r="CG349" s="83"/>
      <c r="CH349" s="83"/>
      <c r="CI349" s="83"/>
      <c r="CJ349" s="83"/>
      <c r="CK349" s="83"/>
      <c r="CL349" s="83"/>
      <c r="CM349" s="83"/>
      <c r="CN349" s="83"/>
      <c r="CO349" s="83"/>
      <c r="CP349" s="83"/>
      <c r="CQ349" s="83"/>
      <c r="CR349" s="83"/>
      <c r="CS349" s="83"/>
      <c r="CT349" s="83"/>
      <c r="CU349" s="83"/>
      <c r="CV349" s="83"/>
      <c r="CW349" s="83"/>
      <c r="CX349" s="83"/>
      <c r="CY349" s="83"/>
      <c r="CZ349" s="83"/>
      <c r="DA349" s="83"/>
      <c r="DB349" s="83"/>
      <c r="DC349" s="83"/>
      <c r="DD349" s="83"/>
      <c r="DE349" s="81">
        <f t="shared" si="761"/>
        <v>15038000</v>
      </c>
      <c r="DF349" s="95">
        <f t="shared" si="761"/>
        <v>15038000</v>
      </c>
      <c r="DG349" s="95">
        <f t="shared" si="761"/>
        <v>14993550</v>
      </c>
      <c r="DH349" s="95">
        <f t="shared" si="761"/>
        <v>14993550</v>
      </c>
      <c r="DI349" s="95"/>
      <c r="DJ349" s="84"/>
      <c r="DK349" s="65"/>
      <c r="DL349" s="84"/>
      <c r="DM349" s="84"/>
      <c r="DN349" s="84"/>
      <c r="DO349" s="84">
        <v>10000000</v>
      </c>
      <c r="DP349" s="84">
        <v>6000000</v>
      </c>
      <c r="DQ349" s="84">
        <v>6000000</v>
      </c>
      <c r="DR349" s="84"/>
      <c r="DS349" s="84">
        <v>15492400</v>
      </c>
      <c r="DT349" s="84">
        <v>10950000</v>
      </c>
      <c r="DU349" s="84">
        <v>10200000</v>
      </c>
      <c r="DV349" s="84">
        <v>10200000</v>
      </c>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3"/>
      <c r="EU349" s="83"/>
      <c r="EV349" s="83"/>
      <c r="EW349" s="81">
        <f t="shared" si="762"/>
        <v>15492400</v>
      </c>
      <c r="EX349" s="86">
        <f t="shared" si="762"/>
        <v>20950000</v>
      </c>
      <c r="EY349" s="86">
        <f t="shared" si="763"/>
        <v>16200000</v>
      </c>
      <c r="EZ349" s="86">
        <f t="shared" si="763"/>
        <v>16200000</v>
      </c>
      <c r="FA349" s="176"/>
      <c r="FB349" s="83"/>
      <c r="FC349" s="84"/>
      <c r="FD349" s="84"/>
      <c r="FE349" s="84"/>
      <c r="FF349" s="140"/>
      <c r="FG349" s="83"/>
      <c r="FH349" s="83"/>
      <c r="FI349" s="83"/>
      <c r="FJ349" s="83"/>
      <c r="FK349" s="83"/>
      <c r="FL349" s="83">
        <v>15938172</v>
      </c>
      <c r="FM349" s="83">
        <v>11000000</v>
      </c>
      <c r="FN349" s="83">
        <v>7750000</v>
      </c>
      <c r="FO349" s="83">
        <v>6450000</v>
      </c>
      <c r="FP349" s="83"/>
      <c r="FQ349" s="83"/>
      <c r="FR349" s="83"/>
      <c r="FS349" s="83"/>
      <c r="FT349" s="83"/>
      <c r="FU349" s="83"/>
      <c r="FV349" s="83"/>
      <c r="FW349" s="83"/>
      <c r="FX349" s="83"/>
      <c r="FY349" s="83"/>
      <c r="FZ349" s="83"/>
      <c r="GA349" s="83"/>
      <c r="GB349" s="83"/>
      <c r="GC349" s="83"/>
      <c r="GD349" s="83"/>
      <c r="GE349" s="83"/>
      <c r="GF349" s="83"/>
      <c r="GG349" s="83"/>
      <c r="GH349" s="83"/>
      <c r="GI349" s="83"/>
      <c r="GJ349" s="83"/>
      <c r="GK349" s="83"/>
      <c r="GL349" s="83"/>
      <c r="GM349" s="83"/>
      <c r="GN349" s="83"/>
      <c r="GO349" s="83"/>
      <c r="GP349" s="83"/>
      <c r="GQ349" s="83"/>
      <c r="GR349" s="83"/>
      <c r="GS349" s="83"/>
      <c r="GT349" s="83"/>
      <c r="GU349" s="81">
        <f>FB349+FG349+FL349+FQ349+FV349+GA349+GF349+GK349+GP349</f>
        <v>15938172</v>
      </c>
      <c r="GV349" s="81">
        <f t="shared" si="764"/>
        <v>11000000</v>
      </c>
      <c r="GW349" s="81">
        <f t="shared" si="764"/>
        <v>7750000</v>
      </c>
      <c r="GX349" s="81">
        <f t="shared" si="764"/>
        <v>6450000</v>
      </c>
      <c r="GY349" s="673">
        <f t="shared" si="764"/>
        <v>0</v>
      </c>
      <c r="GZ349" s="67">
        <f t="shared" si="765"/>
        <v>61068572</v>
      </c>
    </row>
    <row r="350" spans="1:208" ht="24.75" customHeight="1" x14ac:dyDescent="0.2">
      <c r="A350" s="326"/>
      <c r="B350" s="326"/>
      <c r="C350" s="246">
        <v>80</v>
      </c>
      <c r="D350" s="247" t="s">
        <v>793</v>
      </c>
      <c r="E350" s="250"/>
      <c r="F350" s="250"/>
      <c r="G350" s="249"/>
      <c r="H350" s="249"/>
      <c r="I350" s="249"/>
      <c r="J350" s="249"/>
      <c r="K350" s="249"/>
      <c r="L350" s="249"/>
      <c r="M350" s="249"/>
      <c r="N350" s="249"/>
      <c r="O350" s="249"/>
      <c r="P350" s="249"/>
      <c r="Q350" s="249"/>
      <c r="R350" s="249"/>
      <c r="S350" s="249"/>
      <c r="T350" s="249"/>
      <c r="U350" s="249"/>
      <c r="V350" s="249"/>
      <c r="W350" s="249"/>
      <c r="X350" s="249"/>
      <c r="Y350" s="296"/>
      <c r="Z350" s="249"/>
      <c r="AA350" s="249"/>
      <c r="AB350" s="249"/>
      <c r="AC350" s="51">
        <f t="shared" ref="AC350:BL350" si="766">SUM(AC351:AC352)</f>
        <v>0</v>
      </c>
      <c r="AD350" s="51">
        <f t="shared" si="766"/>
        <v>0</v>
      </c>
      <c r="AE350" s="51">
        <f t="shared" si="766"/>
        <v>0</v>
      </c>
      <c r="AF350" s="51">
        <f t="shared" si="766"/>
        <v>0</v>
      </c>
      <c r="AG350" s="51">
        <f t="shared" si="766"/>
        <v>0</v>
      </c>
      <c r="AH350" s="51">
        <f t="shared" si="766"/>
        <v>0</v>
      </c>
      <c r="AI350" s="51">
        <f t="shared" si="766"/>
        <v>0</v>
      </c>
      <c r="AJ350" s="51">
        <f t="shared" si="766"/>
        <v>0</v>
      </c>
      <c r="AK350" s="51">
        <f t="shared" si="766"/>
        <v>36000000</v>
      </c>
      <c r="AL350" s="51">
        <f t="shared" si="766"/>
        <v>36000000</v>
      </c>
      <c r="AM350" s="51">
        <f t="shared" si="766"/>
        <v>35674833</v>
      </c>
      <c r="AN350" s="51">
        <f t="shared" si="766"/>
        <v>35674833</v>
      </c>
      <c r="AO350" s="51">
        <f t="shared" si="766"/>
        <v>0</v>
      </c>
      <c r="AP350" s="51">
        <f t="shared" si="766"/>
        <v>0</v>
      </c>
      <c r="AQ350" s="51">
        <f t="shared" si="766"/>
        <v>0</v>
      </c>
      <c r="AR350" s="51">
        <f t="shared" si="766"/>
        <v>0</v>
      </c>
      <c r="AS350" s="51">
        <f t="shared" si="766"/>
        <v>0</v>
      </c>
      <c r="AT350" s="51">
        <f t="shared" si="766"/>
        <v>0</v>
      </c>
      <c r="AU350" s="51">
        <f t="shared" si="766"/>
        <v>0</v>
      </c>
      <c r="AV350" s="51">
        <f t="shared" si="766"/>
        <v>0</v>
      </c>
      <c r="AW350" s="51">
        <f t="shared" si="766"/>
        <v>0</v>
      </c>
      <c r="AX350" s="51">
        <f t="shared" si="766"/>
        <v>0</v>
      </c>
      <c r="AY350" s="51">
        <f t="shared" si="766"/>
        <v>0</v>
      </c>
      <c r="AZ350" s="51">
        <f t="shared" si="766"/>
        <v>0</v>
      </c>
      <c r="BA350" s="51">
        <f t="shared" si="766"/>
        <v>0</v>
      </c>
      <c r="BB350" s="51">
        <f t="shared" si="766"/>
        <v>0</v>
      </c>
      <c r="BC350" s="51">
        <f t="shared" si="766"/>
        <v>0</v>
      </c>
      <c r="BD350" s="51">
        <f t="shared" si="766"/>
        <v>0</v>
      </c>
      <c r="BE350" s="51">
        <f t="shared" si="766"/>
        <v>0</v>
      </c>
      <c r="BF350" s="51">
        <f t="shared" si="766"/>
        <v>0</v>
      </c>
      <c r="BG350" s="51">
        <f t="shared" si="766"/>
        <v>0</v>
      </c>
      <c r="BH350" s="51">
        <f t="shared" si="766"/>
        <v>0</v>
      </c>
      <c r="BI350" s="51">
        <f t="shared" si="766"/>
        <v>0</v>
      </c>
      <c r="BJ350" s="51">
        <f t="shared" si="766"/>
        <v>0</v>
      </c>
      <c r="BK350" s="51">
        <f t="shared" si="766"/>
        <v>0</v>
      </c>
      <c r="BL350" s="51">
        <f t="shared" si="766"/>
        <v>0</v>
      </c>
      <c r="BM350" s="51">
        <f t="shared" ref="BM350:DX350" si="767">SUM(BM351:BM352)</f>
        <v>36000000</v>
      </c>
      <c r="BN350" s="51">
        <f t="shared" si="767"/>
        <v>36000000</v>
      </c>
      <c r="BO350" s="51">
        <f t="shared" si="767"/>
        <v>35674833</v>
      </c>
      <c r="BP350" s="51">
        <f t="shared" si="767"/>
        <v>35674833</v>
      </c>
      <c r="BQ350" s="51">
        <f t="shared" si="767"/>
        <v>0</v>
      </c>
      <c r="BR350" s="51">
        <f t="shared" si="767"/>
        <v>0</v>
      </c>
      <c r="BS350" s="51">
        <f t="shared" si="767"/>
        <v>0</v>
      </c>
      <c r="BT350" s="51">
        <f t="shared" si="767"/>
        <v>0</v>
      </c>
      <c r="BU350" s="51">
        <f t="shared" si="767"/>
        <v>0</v>
      </c>
      <c r="BV350" s="51">
        <f t="shared" si="767"/>
        <v>0</v>
      </c>
      <c r="BW350" s="51">
        <f t="shared" si="767"/>
        <v>0</v>
      </c>
      <c r="BX350" s="51">
        <f t="shared" si="767"/>
        <v>0</v>
      </c>
      <c r="BY350" s="51">
        <f t="shared" si="767"/>
        <v>0</v>
      </c>
      <c r="BZ350" s="51">
        <f t="shared" si="767"/>
        <v>37080000</v>
      </c>
      <c r="CA350" s="51">
        <f t="shared" si="767"/>
        <v>37080000</v>
      </c>
      <c r="CB350" s="51">
        <f t="shared" si="767"/>
        <v>36730000</v>
      </c>
      <c r="CC350" s="51">
        <f t="shared" si="767"/>
        <v>36730000</v>
      </c>
      <c r="CD350" s="51">
        <f t="shared" si="767"/>
        <v>0</v>
      </c>
      <c r="CE350" s="51">
        <f t="shared" si="767"/>
        <v>0</v>
      </c>
      <c r="CF350" s="51">
        <f t="shared" si="767"/>
        <v>0</v>
      </c>
      <c r="CG350" s="51">
        <f t="shared" si="767"/>
        <v>0</v>
      </c>
      <c r="CH350" s="51">
        <f t="shared" si="767"/>
        <v>0</v>
      </c>
      <c r="CI350" s="51">
        <f t="shared" si="767"/>
        <v>0</v>
      </c>
      <c r="CJ350" s="51">
        <f t="shared" si="767"/>
        <v>0</v>
      </c>
      <c r="CK350" s="51">
        <f t="shared" si="767"/>
        <v>0</v>
      </c>
      <c r="CL350" s="51">
        <f t="shared" si="767"/>
        <v>0</v>
      </c>
      <c r="CM350" s="51">
        <f t="shared" si="767"/>
        <v>0</v>
      </c>
      <c r="CN350" s="51">
        <f t="shared" si="767"/>
        <v>0</v>
      </c>
      <c r="CO350" s="51">
        <f t="shared" si="767"/>
        <v>0</v>
      </c>
      <c r="CP350" s="51">
        <f t="shared" si="767"/>
        <v>0</v>
      </c>
      <c r="CQ350" s="51">
        <f t="shared" si="767"/>
        <v>0</v>
      </c>
      <c r="CR350" s="51">
        <f t="shared" si="767"/>
        <v>0</v>
      </c>
      <c r="CS350" s="51">
        <f t="shared" si="767"/>
        <v>0</v>
      </c>
      <c r="CT350" s="51">
        <f t="shared" si="767"/>
        <v>0</v>
      </c>
      <c r="CU350" s="51">
        <f t="shared" si="767"/>
        <v>0</v>
      </c>
      <c r="CV350" s="51">
        <f t="shared" si="767"/>
        <v>0</v>
      </c>
      <c r="CW350" s="51">
        <f t="shared" si="767"/>
        <v>0</v>
      </c>
      <c r="CX350" s="51">
        <f t="shared" si="767"/>
        <v>0</v>
      </c>
      <c r="CY350" s="51">
        <f t="shared" si="767"/>
        <v>0</v>
      </c>
      <c r="CZ350" s="51">
        <f t="shared" si="767"/>
        <v>0</v>
      </c>
      <c r="DA350" s="51">
        <f t="shared" si="767"/>
        <v>0</v>
      </c>
      <c r="DB350" s="51">
        <f t="shared" si="767"/>
        <v>0</v>
      </c>
      <c r="DC350" s="51">
        <f t="shared" si="767"/>
        <v>0</v>
      </c>
      <c r="DD350" s="51">
        <f t="shared" si="767"/>
        <v>0</v>
      </c>
      <c r="DE350" s="51">
        <f t="shared" si="767"/>
        <v>37080000</v>
      </c>
      <c r="DF350" s="51">
        <f t="shared" si="767"/>
        <v>37080000</v>
      </c>
      <c r="DG350" s="51">
        <f t="shared" si="767"/>
        <v>36730000</v>
      </c>
      <c r="DH350" s="51">
        <f t="shared" si="767"/>
        <v>36730000</v>
      </c>
      <c r="DI350" s="51">
        <f t="shared" si="767"/>
        <v>0</v>
      </c>
      <c r="DJ350" s="51">
        <f t="shared" si="767"/>
        <v>0</v>
      </c>
      <c r="DK350" s="51">
        <f t="shared" si="767"/>
        <v>0</v>
      </c>
      <c r="DL350" s="51">
        <f t="shared" si="767"/>
        <v>0</v>
      </c>
      <c r="DM350" s="51">
        <f t="shared" si="767"/>
        <v>0</v>
      </c>
      <c r="DN350" s="51">
        <f t="shared" si="767"/>
        <v>0</v>
      </c>
      <c r="DO350" s="51">
        <f t="shared" si="767"/>
        <v>35000000</v>
      </c>
      <c r="DP350" s="51">
        <f t="shared" si="767"/>
        <v>26589866</v>
      </c>
      <c r="DQ350" s="51">
        <f t="shared" si="767"/>
        <v>26034266</v>
      </c>
      <c r="DR350" s="51">
        <f t="shared" si="767"/>
        <v>0</v>
      </c>
      <c r="DS350" s="51">
        <f t="shared" si="767"/>
        <v>38192400</v>
      </c>
      <c r="DT350" s="51">
        <f t="shared" si="767"/>
        <v>28000000</v>
      </c>
      <c r="DU350" s="51">
        <f t="shared" si="767"/>
        <v>22735800</v>
      </c>
      <c r="DV350" s="51">
        <f t="shared" si="767"/>
        <v>21735800</v>
      </c>
      <c r="DW350" s="51">
        <f t="shared" si="767"/>
        <v>0</v>
      </c>
      <c r="DX350" s="51">
        <f t="shared" si="767"/>
        <v>0</v>
      </c>
      <c r="DY350" s="51">
        <f t="shared" ref="DY350:EW350" si="768">SUM(DY351:DY352)</f>
        <v>0</v>
      </c>
      <c r="DZ350" s="51">
        <f t="shared" si="768"/>
        <v>0</v>
      </c>
      <c r="EA350" s="51">
        <f t="shared" si="768"/>
        <v>0</v>
      </c>
      <c r="EB350" s="51">
        <f t="shared" si="768"/>
        <v>0</v>
      </c>
      <c r="EC350" s="51">
        <f t="shared" si="768"/>
        <v>0</v>
      </c>
      <c r="ED350" s="51">
        <f t="shared" si="768"/>
        <v>0</v>
      </c>
      <c r="EE350" s="51">
        <f t="shared" si="768"/>
        <v>0</v>
      </c>
      <c r="EF350" s="51">
        <f t="shared" si="768"/>
        <v>0</v>
      </c>
      <c r="EG350" s="51">
        <f t="shared" si="768"/>
        <v>0</v>
      </c>
      <c r="EH350" s="51">
        <f t="shared" si="768"/>
        <v>0</v>
      </c>
      <c r="EI350" s="51">
        <f t="shared" si="768"/>
        <v>0</v>
      </c>
      <c r="EJ350" s="51">
        <f t="shared" si="768"/>
        <v>0</v>
      </c>
      <c r="EK350" s="51">
        <f t="shared" si="768"/>
        <v>0</v>
      </c>
      <c r="EL350" s="51">
        <f t="shared" si="768"/>
        <v>0</v>
      </c>
      <c r="EM350" s="51">
        <f t="shared" si="768"/>
        <v>0</v>
      </c>
      <c r="EN350" s="51">
        <f t="shared" si="768"/>
        <v>0</v>
      </c>
      <c r="EO350" s="51">
        <f t="shared" si="768"/>
        <v>0</v>
      </c>
      <c r="EP350" s="51">
        <f t="shared" si="768"/>
        <v>0</v>
      </c>
      <c r="EQ350" s="51">
        <f t="shared" si="768"/>
        <v>0</v>
      </c>
      <c r="ER350" s="51">
        <f t="shared" si="768"/>
        <v>0</v>
      </c>
      <c r="ES350" s="51">
        <f t="shared" si="768"/>
        <v>0</v>
      </c>
      <c r="ET350" s="51">
        <f t="shared" si="768"/>
        <v>0</v>
      </c>
      <c r="EU350" s="51">
        <f t="shared" si="768"/>
        <v>0</v>
      </c>
      <c r="EV350" s="51">
        <f t="shared" si="768"/>
        <v>0</v>
      </c>
      <c r="EW350" s="51">
        <f t="shared" si="768"/>
        <v>38192400</v>
      </c>
      <c r="EX350" s="51">
        <f t="shared" ref="EX350:GZ350" si="769">SUM(EX351:EX352)</f>
        <v>63000000</v>
      </c>
      <c r="EY350" s="51">
        <f t="shared" si="769"/>
        <v>49325666</v>
      </c>
      <c r="EZ350" s="51">
        <f t="shared" si="769"/>
        <v>47770066</v>
      </c>
      <c r="FA350" s="51">
        <f t="shared" si="769"/>
        <v>0</v>
      </c>
      <c r="FB350" s="51">
        <f t="shared" si="769"/>
        <v>0</v>
      </c>
      <c r="FC350" s="51">
        <f t="shared" si="769"/>
        <v>0</v>
      </c>
      <c r="FD350" s="51">
        <f t="shared" si="769"/>
        <v>0</v>
      </c>
      <c r="FE350" s="51">
        <f t="shared" si="769"/>
        <v>0</v>
      </c>
      <c r="FF350" s="51">
        <f t="shared" si="769"/>
        <v>0</v>
      </c>
      <c r="FG350" s="51">
        <f t="shared" si="769"/>
        <v>0</v>
      </c>
      <c r="FH350" s="51">
        <f t="shared" si="769"/>
        <v>10000000</v>
      </c>
      <c r="FI350" s="51">
        <f t="shared" si="769"/>
        <v>10000000</v>
      </c>
      <c r="FJ350" s="51">
        <f t="shared" si="769"/>
        <v>0</v>
      </c>
      <c r="FK350" s="51">
        <f t="shared" si="769"/>
        <v>0</v>
      </c>
      <c r="FL350" s="51">
        <f t="shared" si="769"/>
        <v>39338172</v>
      </c>
      <c r="FM350" s="51">
        <f t="shared" si="769"/>
        <v>28000000</v>
      </c>
      <c r="FN350" s="51">
        <f t="shared" si="769"/>
        <v>27880933</v>
      </c>
      <c r="FO350" s="51">
        <f t="shared" si="769"/>
        <v>14917066</v>
      </c>
      <c r="FP350" s="51">
        <f t="shared" si="769"/>
        <v>0</v>
      </c>
      <c r="FQ350" s="51">
        <f t="shared" si="769"/>
        <v>0</v>
      </c>
      <c r="FR350" s="51">
        <f t="shared" si="769"/>
        <v>0</v>
      </c>
      <c r="FS350" s="51">
        <f t="shared" si="769"/>
        <v>0</v>
      </c>
      <c r="FT350" s="51">
        <f t="shared" si="769"/>
        <v>0</v>
      </c>
      <c r="FU350" s="51">
        <f t="shared" si="769"/>
        <v>0</v>
      </c>
      <c r="FV350" s="51">
        <f t="shared" si="769"/>
        <v>0</v>
      </c>
      <c r="FW350" s="51">
        <f t="shared" si="769"/>
        <v>0</v>
      </c>
      <c r="FX350" s="51">
        <f t="shared" si="769"/>
        <v>0</v>
      </c>
      <c r="FY350" s="51">
        <f t="shared" si="769"/>
        <v>0</v>
      </c>
      <c r="FZ350" s="51">
        <f t="shared" si="769"/>
        <v>0</v>
      </c>
      <c r="GA350" s="51">
        <f t="shared" si="769"/>
        <v>0</v>
      </c>
      <c r="GB350" s="51">
        <f t="shared" si="769"/>
        <v>0</v>
      </c>
      <c r="GC350" s="51">
        <f t="shared" si="769"/>
        <v>0</v>
      </c>
      <c r="GD350" s="51">
        <f t="shared" si="769"/>
        <v>0</v>
      </c>
      <c r="GE350" s="51">
        <f t="shared" si="769"/>
        <v>0</v>
      </c>
      <c r="GF350" s="51">
        <f t="shared" si="769"/>
        <v>0</v>
      </c>
      <c r="GG350" s="51">
        <f t="shared" si="769"/>
        <v>0</v>
      </c>
      <c r="GH350" s="51">
        <f t="shared" si="769"/>
        <v>0</v>
      </c>
      <c r="GI350" s="51">
        <f t="shared" si="769"/>
        <v>0</v>
      </c>
      <c r="GJ350" s="51">
        <f t="shared" si="769"/>
        <v>0</v>
      </c>
      <c r="GK350" s="51">
        <f t="shared" si="769"/>
        <v>0</v>
      </c>
      <c r="GL350" s="51">
        <f t="shared" si="769"/>
        <v>0</v>
      </c>
      <c r="GM350" s="51">
        <f t="shared" si="769"/>
        <v>0</v>
      </c>
      <c r="GN350" s="51">
        <f t="shared" si="769"/>
        <v>0</v>
      </c>
      <c r="GO350" s="51">
        <f t="shared" si="769"/>
        <v>0</v>
      </c>
      <c r="GP350" s="51">
        <f t="shared" si="769"/>
        <v>0</v>
      </c>
      <c r="GQ350" s="51">
        <f t="shared" si="769"/>
        <v>0</v>
      </c>
      <c r="GR350" s="51">
        <f t="shared" si="769"/>
        <v>0</v>
      </c>
      <c r="GS350" s="51">
        <f t="shared" si="769"/>
        <v>0</v>
      </c>
      <c r="GT350" s="51">
        <f t="shared" si="769"/>
        <v>0</v>
      </c>
      <c r="GU350" s="51">
        <f t="shared" si="769"/>
        <v>39338172</v>
      </c>
      <c r="GV350" s="51">
        <f t="shared" si="769"/>
        <v>38000000</v>
      </c>
      <c r="GW350" s="51">
        <f t="shared" si="769"/>
        <v>37880933</v>
      </c>
      <c r="GX350" s="51">
        <f t="shared" si="769"/>
        <v>14917066</v>
      </c>
      <c r="GY350" s="51">
        <f t="shared" si="769"/>
        <v>0</v>
      </c>
      <c r="GZ350" s="51">
        <f t="shared" si="769"/>
        <v>150610572</v>
      </c>
    </row>
    <row r="351" spans="1:208" ht="99.75" customHeight="1" x14ac:dyDescent="0.2">
      <c r="A351" s="326"/>
      <c r="B351" s="326"/>
      <c r="C351" s="456">
        <v>13</v>
      </c>
      <c r="D351" s="721" t="s">
        <v>540</v>
      </c>
      <c r="E351" s="1052">
        <v>0.71040000000000003</v>
      </c>
      <c r="F351" s="1052">
        <v>0.88170000000000004</v>
      </c>
      <c r="G351" s="265">
        <v>234</v>
      </c>
      <c r="H351" s="358" t="s">
        <v>794</v>
      </c>
      <c r="I351" s="275" t="s">
        <v>795</v>
      </c>
      <c r="J351" s="262" t="s">
        <v>636</v>
      </c>
      <c r="K351" s="259">
        <v>14</v>
      </c>
      <c r="L351" s="534" t="s">
        <v>73</v>
      </c>
      <c r="M351" s="288" t="s">
        <v>53</v>
      </c>
      <c r="N351" s="288">
        <v>12</v>
      </c>
      <c r="O351" s="284">
        <v>1</v>
      </c>
      <c r="P351" s="550">
        <f>BP351/BN351</f>
        <v>1</v>
      </c>
      <c r="Q351" s="277">
        <v>7</v>
      </c>
      <c r="R351" s="268"/>
      <c r="S351" s="535">
        <v>7</v>
      </c>
      <c r="T351" s="277">
        <v>2</v>
      </c>
      <c r="U351" s="277"/>
      <c r="V351" s="535">
        <v>4</v>
      </c>
      <c r="W351" s="277">
        <v>2</v>
      </c>
      <c r="X351" s="534"/>
      <c r="Y351" s="649">
        <v>2</v>
      </c>
      <c r="Z351" s="493">
        <f>BM351/$BM$350</f>
        <v>0.3611111111111111</v>
      </c>
      <c r="AA351" s="264">
        <v>16</v>
      </c>
      <c r="AB351" s="347" t="s">
        <v>376</v>
      </c>
      <c r="AC351" s="66"/>
      <c r="AD351" s="55"/>
      <c r="AE351" s="54"/>
      <c r="AF351" s="54"/>
      <c r="AG351" s="66"/>
      <c r="AH351" s="55"/>
      <c r="AI351" s="55"/>
      <c r="AJ351" s="55"/>
      <c r="AK351" s="57">
        <f>3000000+10000000</f>
        <v>13000000</v>
      </c>
      <c r="AL351" s="58">
        <v>13000000</v>
      </c>
      <c r="AM351" s="55">
        <f>'[7]POAI 2016 ADICIONES'!$BJ$156+'[7]POAI 2016 ADICIONES'!$BJ$154-200000</f>
        <v>13000000</v>
      </c>
      <c r="AN351" s="58">
        <f>'[8]SEGUMIENTO DIC'!$BW$154+'[8]SEGUMIENTO DIC'!$BW$156</f>
        <v>13000000</v>
      </c>
      <c r="AO351" s="62"/>
      <c r="AP351" s="58"/>
      <c r="AQ351" s="58"/>
      <c r="AR351" s="55"/>
      <c r="AS351" s="66"/>
      <c r="AT351" s="55"/>
      <c r="AU351" s="54"/>
      <c r="AV351" s="54"/>
      <c r="AW351" s="66"/>
      <c r="AX351" s="55"/>
      <c r="AY351" s="55"/>
      <c r="AZ351" s="55"/>
      <c r="BA351" s="66"/>
      <c r="BB351" s="55"/>
      <c r="BC351" s="55"/>
      <c r="BD351" s="55"/>
      <c r="BE351" s="66"/>
      <c r="BF351" s="55"/>
      <c r="BG351" s="54"/>
      <c r="BH351" s="54"/>
      <c r="BI351" s="66"/>
      <c r="BJ351" s="55"/>
      <c r="BK351" s="55"/>
      <c r="BL351" s="55"/>
      <c r="BM351" s="53">
        <f>+AC351+AG351+AK351+AO351+AS351+AW351+BA351+BE351+BI351</f>
        <v>13000000</v>
      </c>
      <c r="BN351" s="54">
        <f t="shared" ref="BN351:BP352" si="770">AD351+AH351+AL351+AP351+AT351+AX351+BB351+BF351+BJ351</f>
        <v>13000000</v>
      </c>
      <c r="BO351" s="54">
        <f t="shared" si="770"/>
        <v>13000000</v>
      </c>
      <c r="BP351" s="54">
        <f t="shared" si="770"/>
        <v>13000000</v>
      </c>
      <c r="BQ351" s="83"/>
      <c r="BR351" s="83"/>
      <c r="BS351" s="83"/>
      <c r="BT351" s="83"/>
      <c r="BU351" s="83"/>
      <c r="BV351" s="83"/>
      <c r="BW351" s="83"/>
      <c r="BX351" s="83"/>
      <c r="BY351" s="83"/>
      <c r="BZ351" s="84">
        <v>13390000</v>
      </c>
      <c r="CA351" s="83">
        <v>13390000</v>
      </c>
      <c r="CB351" s="83">
        <v>13390000</v>
      </c>
      <c r="CC351" s="83">
        <v>13390000</v>
      </c>
      <c r="CD351" s="83"/>
      <c r="CE351" s="83"/>
      <c r="CF351" s="83"/>
      <c r="CG351" s="83"/>
      <c r="CH351" s="83"/>
      <c r="CI351" s="83"/>
      <c r="CJ351" s="83"/>
      <c r="CK351" s="83"/>
      <c r="CL351" s="83"/>
      <c r="CM351" s="83"/>
      <c r="CN351" s="83"/>
      <c r="CO351" s="83"/>
      <c r="CP351" s="83"/>
      <c r="CQ351" s="83"/>
      <c r="CR351" s="83"/>
      <c r="CS351" s="83"/>
      <c r="CT351" s="83"/>
      <c r="CU351" s="83"/>
      <c r="CV351" s="83"/>
      <c r="CW351" s="83"/>
      <c r="CX351" s="83"/>
      <c r="CY351" s="83"/>
      <c r="CZ351" s="83"/>
      <c r="DA351" s="83"/>
      <c r="DB351" s="83"/>
      <c r="DC351" s="83"/>
      <c r="DD351" s="83"/>
      <c r="DE351" s="81">
        <f t="shared" ref="DE351:DH352" si="771">BQ351+BU351+BZ351+CE351+CI351+CM351+CQ351+CV351+DA351</f>
        <v>13390000</v>
      </c>
      <c r="DF351" s="95">
        <f t="shared" si="771"/>
        <v>13390000</v>
      </c>
      <c r="DG351" s="95">
        <f t="shared" si="771"/>
        <v>13390000</v>
      </c>
      <c r="DH351" s="95">
        <f t="shared" si="771"/>
        <v>13390000</v>
      </c>
      <c r="DI351" s="95"/>
      <c r="DJ351" s="84"/>
      <c r="DK351" s="65"/>
      <c r="DL351" s="84"/>
      <c r="DM351" s="84"/>
      <c r="DN351" s="84"/>
      <c r="DO351" s="84">
        <v>5950000</v>
      </c>
      <c r="DP351" s="84">
        <v>4150000</v>
      </c>
      <c r="DQ351" s="84">
        <v>4150000</v>
      </c>
      <c r="DR351" s="84"/>
      <c r="DS351" s="84">
        <v>13700000</v>
      </c>
      <c r="DT351" s="84">
        <v>7000000</v>
      </c>
      <c r="DU351" s="84">
        <v>6780000</v>
      </c>
      <c r="DV351" s="84">
        <v>5780000</v>
      </c>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3"/>
      <c r="EU351" s="83"/>
      <c r="EV351" s="83"/>
      <c r="EW351" s="81">
        <f t="shared" ref="EW351:EX352" si="772">DJ351+DN351+DS351+DX351+EB351+EF351+EJ351+EN351+ES351</f>
        <v>13700000</v>
      </c>
      <c r="EX351" s="86">
        <f t="shared" si="772"/>
        <v>12950000</v>
      </c>
      <c r="EY351" s="86">
        <f t="shared" ref="EY351:EZ352" si="773">DL351+DP351+DU351+DZ351+ED351+EH351+EL351+EP351+EU351</f>
        <v>10930000</v>
      </c>
      <c r="EZ351" s="86">
        <f t="shared" si="773"/>
        <v>9930000</v>
      </c>
      <c r="FA351" s="176"/>
      <c r="FB351" s="83"/>
      <c r="FC351" s="84"/>
      <c r="FD351" s="84"/>
      <c r="FE351" s="84"/>
      <c r="FF351" s="140"/>
      <c r="FG351" s="83"/>
      <c r="FH351" s="83"/>
      <c r="FI351" s="83"/>
      <c r="FJ351" s="83"/>
      <c r="FK351" s="83"/>
      <c r="FL351" s="83">
        <v>14205000</v>
      </c>
      <c r="FM351" s="83">
        <v>10000000</v>
      </c>
      <c r="FN351" s="83">
        <v>9977333</v>
      </c>
      <c r="FO351" s="83">
        <v>6668333</v>
      </c>
      <c r="FP351" s="83"/>
      <c r="FQ351" s="83"/>
      <c r="FR351" s="83"/>
      <c r="FS351" s="83"/>
      <c r="FT351" s="83"/>
      <c r="FU351" s="83"/>
      <c r="FV351" s="83"/>
      <c r="FW351" s="83"/>
      <c r="FX351" s="83"/>
      <c r="FY351" s="83"/>
      <c r="FZ351" s="83"/>
      <c r="GA351" s="83"/>
      <c r="GB351" s="83"/>
      <c r="GC351" s="83"/>
      <c r="GD351" s="83"/>
      <c r="GE351" s="83"/>
      <c r="GF351" s="83"/>
      <c r="GG351" s="83"/>
      <c r="GH351" s="83"/>
      <c r="GI351" s="83"/>
      <c r="GJ351" s="83"/>
      <c r="GK351" s="83"/>
      <c r="GL351" s="83"/>
      <c r="GM351" s="83"/>
      <c r="GN351" s="83"/>
      <c r="GO351" s="83"/>
      <c r="GP351" s="83"/>
      <c r="GQ351" s="83"/>
      <c r="GR351" s="83"/>
      <c r="GS351" s="83"/>
      <c r="GT351" s="83"/>
      <c r="GU351" s="81">
        <f>FB351+FG351+FL351+FQ351+FV351+GA351+GF351+GK351+GP351</f>
        <v>14205000</v>
      </c>
      <c r="GV351" s="81">
        <f t="shared" ref="GV351:GY352" si="774">GQ351+GL351+GG351+GB351+FW351+FR351+FM351+FH351+FC351</f>
        <v>10000000</v>
      </c>
      <c r="GW351" s="81">
        <f t="shared" si="774"/>
        <v>9977333</v>
      </c>
      <c r="GX351" s="81">
        <f t="shared" si="774"/>
        <v>6668333</v>
      </c>
      <c r="GY351" s="673">
        <f t="shared" si="774"/>
        <v>0</v>
      </c>
      <c r="GZ351" s="67">
        <f>BM351+DE351+EW351+GU351</f>
        <v>54295000</v>
      </c>
    </row>
    <row r="352" spans="1:208" ht="86.25" customHeight="1" x14ac:dyDescent="0.2">
      <c r="A352" s="326"/>
      <c r="B352" s="372"/>
      <c r="C352" s="277"/>
      <c r="D352" s="723"/>
      <c r="E352" s="549"/>
      <c r="F352" s="549"/>
      <c r="G352" s="265">
        <v>235</v>
      </c>
      <c r="H352" s="358" t="s">
        <v>796</v>
      </c>
      <c r="I352" s="275" t="s">
        <v>797</v>
      </c>
      <c r="J352" s="262" t="s">
        <v>636</v>
      </c>
      <c r="K352" s="259">
        <v>14</v>
      </c>
      <c r="L352" s="332" t="s">
        <v>73</v>
      </c>
      <c r="M352" s="288" t="s">
        <v>53</v>
      </c>
      <c r="N352" s="288">
        <v>12</v>
      </c>
      <c r="O352" s="306">
        <v>1</v>
      </c>
      <c r="P352" s="538">
        <v>1</v>
      </c>
      <c r="Q352" s="279">
        <v>7</v>
      </c>
      <c r="R352" s="268"/>
      <c r="S352" s="551">
        <v>7</v>
      </c>
      <c r="T352" s="279">
        <v>2</v>
      </c>
      <c r="U352" s="279"/>
      <c r="V352" s="551">
        <v>12</v>
      </c>
      <c r="W352" s="279">
        <v>2</v>
      </c>
      <c r="X352" s="288"/>
      <c r="Y352" s="649">
        <v>2</v>
      </c>
      <c r="Z352" s="493">
        <f>BM352/$BM$350</f>
        <v>0.63888888888888884</v>
      </c>
      <c r="AA352" s="264">
        <v>16</v>
      </c>
      <c r="AB352" s="347" t="s">
        <v>376</v>
      </c>
      <c r="AC352" s="66"/>
      <c r="AD352" s="55"/>
      <c r="AE352" s="54"/>
      <c r="AF352" s="54"/>
      <c r="AG352" s="66"/>
      <c r="AH352" s="55"/>
      <c r="AI352" s="55"/>
      <c r="AJ352" s="55"/>
      <c r="AK352" s="57">
        <f>13000000+10000000</f>
        <v>23000000</v>
      </c>
      <c r="AL352" s="58">
        <v>23000000</v>
      </c>
      <c r="AM352" s="58">
        <v>22674833</v>
      </c>
      <c r="AN352" s="58">
        <v>22674833</v>
      </c>
      <c r="AO352" s="62"/>
      <c r="AP352" s="58"/>
      <c r="AQ352" s="58"/>
      <c r="AR352" s="55"/>
      <c r="AS352" s="66"/>
      <c r="AT352" s="55"/>
      <c r="AU352" s="54"/>
      <c r="AV352" s="54"/>
      <c r="AW352" s="66"/>
      <c r="AX352" s="55"/>
      <c r="AY352" s="55"/>
      <c r="AZ352" s="55"/>
      <c r="BA352" s="66"/>
      <c r="BB352" s="55"/>
      <c r="BC352" s="55"/>
      <c r="BD352" s="55"/>
      <c r="BE352" s="66"/>
      <c r="BF352" s="55"/>
      <c r="BG352" s="54"/>
      <c r="BH352" s="54"/>
      <c r="BI352" s="66"/>
      <c r="BJ352" s="55"/>
      <c r="BK352" s="55"/>
      <c r="BL352" s="55"/>
      <c r="BM352" s="53">
        <f>+AC352+AG352+AK352+AO352+AS352+AW352+BA352+BE352+BI352</f>
        <v>23000000</v>
      </c>
      <c r="BN352" s="54">
        <f t="shared" si="770"/>
        <v>23000000</v>
      </c>
      <c r="BO352" s="54">
        <f t="shared" si="770"/>
        <v>22674833</v>
      </c>
      <c r="BP352" s="54">
        <f t="shared" si="770"/>
        <v>22674833</v>
      </c>
      <c r="BQ352" s="83"/>
      <c r="BR352" s="83"/>
      <c r="BS352" s="83"/>
      <c r="BT352" s="83"/>
      <c r="BU352" s="83"/>
      <c r="BV352" s="83"/>
      <c r="BW352" s="83"/>
      <c r="BX352" s="83"/>
      <c r="BY352" s="83"/>
      <c r="BZ352" s="84">
        <v>23690000</v>
      </c>
      <c r="CA352" s="83">
        <v>23690000</v>
      </c>
      <c r="CB352" s="83">
        <v>23340000</v>
      </c>
      <c r="CC352" s="83">
        <v>23340000</v>
      </c>
      <c r="CD352" s="83"/>
      <c r="CE352" s="83"/>
      <c r="CF352" s="83"/>
      <c r="CG352" s="83"/>
      <c r="CH352" s="83"/>
      <c r="CI352" s="83"/>
      <c r="CJ352" s="83"/>
      <c r="CK352" s="83"/>
      <c r="CL352" s="83"/>
      <c r="CM352" s="83"/>
      <c r="CN352" s="83"/>
      <c r="CO352" s="83"/>
      <c r="CP352" s="83"/>
      <c r="CQ352" s="83"/>
      <c r="CR352" s="83"/>
      <c r="CS352" s="83"/>
      <c r="CT352" s="83"/>
      <c r="CU352" s="83"/>
      <c r="CV352" s="83"/>
      <c r="CW352" s="83"/>
      <c r="CX352" s="83"/>
      <c r="CY352" s="83"/>
      <c r="CZ352" s="83"/>
      <c r="DA352" s="83"/>
      <c r="DB352" s="83"/>
      <c r="DC352" s="83"/>
      <c r="DD352" s="83"/>
      <c r="DE352" s="81">
        <f t="shared" si="771"/>
        <v>23690000</v>
      </c>
      <c r="DF352" s="95">
        <f t="shared" si="771"/>
        <v>23690000</v>
      </c>
      <c r="DG352" s="95">
        <f t="shared" si="771"/>
        <v>23340000</v>
      </c>
      <c r="DH352" s="95">
        <f t="shared" si="771"/>
        <v>23340000</v>
      </c>
      <c r="DI352" s="95"/>
      <c r="DJ352" s="84"/>
      <c r="DK352" s="65"/>
      <c r="DL352" s="84"/>
      <c r="DM352" s="84"/>
      <c r="DN352" s="84"/>
      <c r="DO352" s="84">
        <v>29050000</v>
      </c>
      <c r="DP352" s="84">
        <v>22439866</v>
      </c>
      <c r="DQ352" s="84">
        <v>21884266</v>
      </c>
      <c r="DR352" s="84"/>
      <c r="DS352" s="84">
        <f>24400700+91700</f>
        <v>24492400</v>
      </c>
      <c r="DT352" s="84">
        <v>21000000</v>
      </c>
      <c r="DU352" s="84">
        <v>15955800</v>
      </c>
      <c r="DV352" s="84">
        <v>15955800</v>
      </c>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3"/>
      <c r="EU352" s="83"/>
      <c r="EV352" s="83"/>
      <c r="EW352" s="81">
        <f t="shared" si="772"/>
        <v>24492400</v>
      </c>
      <c r="EX352" s="86">
        <f t="shared" si="772"/>
        <v>50050000</v>
      </c>
      <c r="EY352" s="86">
        <f t="shared" si="773"/>
        <v>38395666</v>
      </c>
      <c r="EZ352" s="86">
        <f t="shared" si="773"/>
        <v>37840066</v>
      </c>
      <c r="FA352" s="176"/>
      <c r="FB352" s="83"/>
      <c r="FC352" s="84"/>
      <c r="FD352" s="84"/>
      <c r="FE352" s="84"/>
      <c r="FF352" s="140"/>
      <c r="FG352" s="83"/>
      <c r="FH352" s="83">
        <v>10000000</v>
      </c>
      <c r="FI352" s="83">
        <v>10000000</v>
      </c>
      <c r="FJ352" s="83"/>
      <c r="FK352" s="83"/>
      <c r="FL352" s="83">
        <v>25133171.999999996</v>
      </c>
      <c r="FM352" s="83">
        <v>18000000</v>
      </c>
      <c r="FN352" s="83">
        <v>17903600</v>
      </c>
      <c r="FO352" s="83">
        <v>8248733</v>
      </c>
      <c r="FP352" s="83"/>
      <c r="FQ352" s="83"/>
      <c r="FR352" s="83"/>
      <c r="FS352" s="83"/>
      <c r="FT352" s="83"/>
      <c r="FU352" s="83"/>
      <c r="FV352" s="83"/>
      <c r="FW352" s="83"/>
      <c r="FX352" s="83"/>
      <c r="FY352" s="83"/>
      <c r="FZ352" s="83"/>
      <c r="GA352" s="83"/>
      <c r="GB352" s="83"/>
      <c r="GC352" s="83"/>
      <c r="GD352" s="83"/>
      <c r="GE352" s="83"/>
      <c r="GF352" s="83"/>
      <c r="GG352" s="83"/>
      <c r="GH352" s="83"/>
      <c r="GI352" s="83"/>
      <c r="GJ352" s="83"/>
      <c r="GK352" s="83"/>
      <c r="GL352" s="83"/>
      <c r="GM352" s="83"/>
      <c r="GN352" s="83"/>
      <c r="GO352" s="83"/>
      <c r="GP352" s="83"/>
      <c r="GQ352" s="83"/>
      <c r="GR352" s="83"/>
      <c r="GS352" s="83"/>
      <c r="GT352" s="83"/>
      <c r="GU352" s="81">
        <f>FB352+FG352+FL352+FQ352+FV352+GA352+GF352+GK352+GP352</f>
        <v>25133171.999999996</v>
      </c>
      <c r="GV352" s="81">
        <f t="shared" si="774"/>
        <v>28000000</v>
      </c>
      <c r="GW352" s="81">
        <f t="shared" si="774"/>
        <v>27903600</v>
      </c>
      <c r="GX352" s="81">
        <f t="shared" si="774"/>
        <v>8248733</v>
      </c>
      <c r="GY352" s="673">
        <f t="shared" si="774"/>
        <v>0</v>
      </c>
      <c r="GZ352" s="67">
        <f>BM352+DE352+EW352+GU352</f>
        <v>96315572</v>
      </c>
    </row>
    <row r="353" spans="1:208" ht="24.75" customHeight="1" x14ac:dyDescent="0.2">
      <c r="A353" s="326"/>
      <c r="B353" s="234">
        <v>25</v>
      </c>
      <c r="C353" s="324" t="s">
        <v>798</v>
      </c>
      <c r="D353" s="239"/>
      <c r="E353" s="236"/>
      <c r="F353" s="237"/>
      <c r="G353" s="238"/>
      <c r="H353" s="238"/>
      <c r="I353" s="238"/>
      <c r="J353" s="238"/>
      <c r="K353" s="238"/>
      <c r="L353" s="238"/>
      <c r="M353" s="238"/>
      <c r="N353" s="238"/>
      <c r="O353" s="238"/>
      <c r="P353" s="238"/>
      <c r="Q353" s="238"/>
      <c r="R353" s="238"/>
      <c r="S353" s="238"/>
      <c r="T353" s="238"/>
      <c r="U353" s="238"/>
      <c r="V353" s="238"/>
      <c r="W353" s="238"/>
      <c r="X353" s="238"/>
      <c r="Y353" s="241"/>
      <c r="Z353" s="238"/>
      <c r="AA353" s="238"/>
      <c r="AB353" s="238"/>
      <c r="AC353" s="193">
        <f t="shared" ref="AC353:CN353" si="775">AC354+AC360</f>
        <v>0</v>
      </c>
      <c r="AD353" s="193">
        <f t="shared" si="775"/>
        <v>0</v>
      </c>
      <c r="AE353" s="193">
        <f t="shared" si="775"/>
        <v>0</v>
      </c>
      <c r="AF353" s="193">
        <f t="shared" si="775"/>
        <v>0</v>
      </c>
      <c r="AG353" s="193">
        <f t="shared" si="775"/>
        <v>0</v>
      </c>
      <c r="AH353" s="193">
        <f t="shared" si="775"/>
        <v>0</v>
      </c>
      <c r="AI353" s="193">
        <f t="shared" si="775"/>
        <v>0</v>
      </c>
      <c r="AJ353" s="193">
        <f t="shared" si="775"/>
        <v>0</v>
      </c>
      <c r="AK353" s="193">
        <f t="shared" si="775"/>
        <v>480000000</v>
      </c>
      <c r="AL353" s="193">
        <f t="shared" si="775"/>
        <v>480000000</v>
      </c>
      <c r="AM353" s="193">
        <f t="shared" si="775"/>
        <v>277442563</v>
      </c>
      <c r="AN353" s="193">
        <f t="shared" si="775"/>
        <v>267337341</v>
      </c>
      <c r="AO353" s="193">
        <f t="shared" si="775"/>
        <v>0</v>
      </c>
      <c r="AP353" s="193">
        <f t="shared" si="775"/>
        <v>0</v>
      </c>
      <c r="AQ353" s="193">
        <f t="shared" si="775"/>
        <v>0</v>
      </c>
      <c r="AR353" s="193">
        <f t="shared" si="775"/>
        <v>0</v>
      </c>
      <c r="AS353" s="193">
        <f t="shared" si="775"/>
        <v>0</v>
      </c>
      <c r="AT353" s="193">
        <f t="shared" si="775"/>
        <v>0</v>
      </c>
      <c r="AU353" s="193">
        <f t="shared" si="775"/>
        <v>0</v>
      </c>
      <c r="AV353" s="193">
        <f t="shared" si="775"/>
        <v>0</v>
      </c>
      <c r="AW353" s="193">
        <f t="shared" si="775"/>
        <v>0</v>
      </c>
      <c r="AX353" s="193">
        <f t="shared" si="775"/>
        <v>0</v>
      </c>
      <c r="AY353" s="193">
        <f t="shared" si="775"/>
        <v>0</v>
      </c>
      <c r="AZ353" s="193">
        <f t="shared" si="775"/>
        <v>0</v>
      </c>
      <c r="BA353" s="193">
        <f t="shared" si="775"/>
        <v>0</v>
      </c>
      <c r="BB353" s="193">
        <f t="shared" si="775"/>
        <v>0</v>
      </c>
      <c r="BC353" s="193">
        <f t="shared" si="775"/>
        <v>0</v>
      </c>
      <c r="BD353" s="193">
        <f t="shared" si="775"/>
        <v>0</v>
      </c>
      <c r="BE353" s="193">
        <f t="shared" si="775"/>
        <v>0</v>
      </c>
      <c r="BF353" s="193">
        <f t="shared" si="775"/>
        <v>0</v>
      </c>
      <c r="BG353" s="193">
        <f t="shared" si="775"/>
        <v>0</v>
      </c>
      <c r="BH353" s="193">
        <f t="shared" si="775"/>
        <v>0</v>
      </c>
      <c r="BI353" s="193">
        <f t="shared" si="775"/>
        <v>0</v>
      </c>
      <c r="BJ353" s="193">
        <f t="shared" si="775"/>
        <v>0</v>
      </c>
      <c r="BK353" s="193">
        <f t="shared" si="775"/>
        <v>0</v>
      </c>
      <c r="BL353" s="193">
        <f t="shared" si="775"/>
        <v>0</v>
      </c>
      <c r="BM353" s="193">
        <f t="shared" si="775"/>
        <v>480000000</v>
      </c>
      <c r="BN353" s="193">
        <f t="shared" si="775"/>
        <v>480000000</v>
      </c>
      <c r="BO353" s="193">
        <f t="shared" si="775"/>
        <v>277442563</v>
      </c>
      <c r="BP353" s="193">
        <f t="shared" si="775"/>
        <v>267337341</v>
      </c>
      <c r="BQ353" s="193">
        <f t="shared" si="775"/>
        <v>0</v>
      </c>
      <c r="BR353" s="193">
        <f t="shared" si="775"/>
        <v>0</v>
      </c>
      <c r="BS353" s="193">
        <f t="shared" si="775"/>
        <v>0</v>
      </c>
      <c r="BT353" s="193">
        <f t="shared" si="775"/>
        <v>0</v>
      </c>
      <c r="BU353" s="193">
        <f t="shared" si="775"/>
        <v>0</v>
      </c>
      <c r="BV353" s="193">
        <f t="shared" si="775"/>
        <v>107500000</v>
      </c>
      <c r="BW353" s="193">
        <f t="shared" si="775"/>
        <v>47624766</v>
      </c>
      <c r="BX353" s="193">
        <f t="shared" si="775"/>
        <v>47624766</v>
      </c>
      <c r="BY353" s="193">
        <f t="shared" si="775"/>
        <v>0</v>
      </c>
      <c r="BZ353" s="193">
        <f t="shared" si="775"/>
        <v>490000000</v>
      </c>
      <c r="CA353" s="193">
        <f t="shared" si="775"/>
        <v>490000000</v>
      </c>
      <c r="CB353" s="193">
        <f t="shared" si="775"/>
        <v>355314292</v>
      </c>
      <c r="CC353" s="193">
        <f t="shared" si="775"/>
        <v>354321642</v>
      </c>
      <c r="CD353" s="193">
        <f t="shared" si="775"/>
        <v>0</v>
      </c>
      <c r="CE353" s="193">
        <f t="shared" si="775"/>
        <v>0</v>
      </c>
      <c r="CF353" s="193">
        <f t="shared" si="775"/>
        <v>0</v>
      </c>
      <c r="CG353" s="193">
        <f t="shared" si="775"/>
        <v>0</v>
      </c>
      <c r="CH353" s="193">
        <f t="shared" si="775"/>
        <v>0</v>
      </c>
      <c r="CI353" s="193">
        <f t="shared" si="775"/>
        <v>0</v>
      </c>
      <c r="CJ353" s="193">
        <f t="shared" si="775"/>
        <v>0</v>
      </c>
      <c r="CK353" s="193">
        <f t="shared" si="775"/>
        <v>0</v>
      </c>
      <c r="CL353" s="193">
        <f t="shared" si="775"/>
        <v>0</v>
      </c>
      <c r="CM353" s="193">
        <f t="shared" si="775"/>
        <v>0</v>
      </c>
      <c r="CN353" s="193">
        <f t="shared" si="775"/>
        <v>0</v>
      </c>
      <c r="CO353" s="193">
        <f t="shared" ref="CO353:EV353" si="776">CO354+CO360</f>
        <v>0</v>
      </c>
      <c r="CP353" s="193">
        <f t="shared" si="776"/>
        <v>0</v>
      </c>
      <c r="CQ353" s="193">
        <f t="shared" si="776"/>
        <v>0</v>
      </c>
      <c r="CR353" s="193">
        <f t="shared" si="776"/>
        <v>0</v>
      </c>
      <c r="CS353" s="193">
        <f t="shared" si="776"/>
        <v>0</v>
      </c>
      <c r="CT353" s="193">
        <f t="shared" si="776"/>
        <v>0</v>
      </c>
      <c r="CU353" s="193">
        <f t="shared" si="776"/>
        <v>0</v>
      </c>
      <c r="CV353" s="193">
        <f t="shared" si="776"/>
        <v>0</v>
      </c>
      <c r="CW353" s="193">
        <f t="shared" si="776"/>
        <v>0</v>
      </c>
      <c r="CX353" s="193">
        <f t="shared" si="776"/>
        <v>0</v>
      </c>
      <c r="CY353" s="193">
        <f t="shared" si="776"/>
        <v>0</v>
      </c>
      <c r="CZ353" s="193">
        <f t="shared" si="776"/>
        <v>0</v>
      </c>
      <c r="DA353" s="193">
        <f t="shared" si="776"/>
        <v>0</v>
      </c>
      <c r="DB353" s="193">
        <f t="shared" si="776"/>
        <v>0</v>
      </c>
      <c r="DC353" s="193">
        <f t="shared" si="776"/>
        <v>0</v>
      </c>
      <c r="DD353" s="193">
        <f t="shared" si="776"/>
        <v>0</v>
      </c>
      <c r="DE353" s="193">
        <f t="shared" si="776"/>
        <v>490000000</v>
      </c>
      <c r="DF353" s="193">
        <f t="shared" si="776"/>
        <v>597500000</v>
      </c>
      <c r="DG353" s="193">
        <f t="shared" si="776"/>
        <v>402939058</v>
      </c>
      <c r="DH353" s="193">
        <f t="shared" si="776"/>
        <v>401946408</v>
      </c>
      <c r="DI353" s="193">
        <f t="shared" si="776"/>
        <v>0</v>
      </c>
      <c r="DJ353" s="193">
        <f t="shared" si="776"/>
        <v>0</v>
      </c>
      <c r="DK353" s="193">
        <f t="shared" si="776"/>
        <v>0</v>
      </c>
      <c r="DL353" s="193">
        <f t="shared" si="776"/>
        <v>0</v>
      </c>
      <c r="DM353" s="193">
        <f t="shared" si="776"/>
        <v>0</v>
      </c>
      <c r="DN353" s="193">
        <f t="shared" si="776"/>
        <v>0</v>
      </c>
      <c r="DO353" s="193">
        <f t="shared" si="776"/>
        <v>194560942</v>
      </c>
      <c r="DP353" s="193">
        <f t="shared" si="776"/>
        <v>168917575</v>
      </c>
      <c r="DQ353" s="193">
        <f t="shared" si="776"/>
        <v>168917575</v>
      </c>
      <c r="DR353" s="193">
        <f t="shared" si="776"/>
        <v>0</v>
      </c>
      <c r="DS353" s="193">
        <f t="shared" si="776"/>
        <v>280000000</v>
      </c>
      <c r="DT353" s="193">
        <f t="shared" si="776"/>
        <v>638000000</v>
      </c>
      <c r="DU353" s="193">
        <f t="shared" si="776"/>
        <v>395461769</v>
      </c>
      <c r="DV353" s="193">
        <f t="shared" si="776"/>
        <v>394849769</v>
      </c>
      <c r="DW353" s="193">
        <f t="shared" si="776"/>
        <v>0</v>
      </c>
      <c r="DX353" s="193">
        <f t="shared" si="776"/>
        <v>0</v>
      </c>
      <c r="DY353" s="193">
        <f t="shared" si="776"/>
        <v>0</v>
      </c>
      <c r="DZ353" s="193">
        <f t="shared" si="776"/>
        <v>0</v>
      </c>
      <c r="EA353" s="193">
        <f t="shared" si="776"/>
        <v>0</v>
      </c>
      <c r="EB353" s="193">
        <f t="shared" si="776"/>
        <v>0</v>
      </c>
      <c r="EC353" s="193">
        <f t="shared" si="776"/>
        <v>0</v>
      </c>
      <c r="ED353" s="193">
        <f t="shared" si="776"/>
        <v>0</v>
      </c>
      <c r="EE353" s="193">
        <f t="shared" si="776"/>
        <v>0</v>
      </c>
      <c r="EF353" s="193">
        <f t="shared" si="776"/>
        <v>0</v>
      </c>
      <c r="EG353" s="193">
        <f t="shared" si="776"/>
        <v>0</v>
      </c>
      <c r="EH353" s="193">
        <f t="shared" si="776"/>
        <v>0</v>
      </c>
      <c r="EI353" s="193">
        <f t="shared" si="776"/>
        <v>0</v>
      </c>
      <c r="EJ353" s="193">
        <f t="shared" si="776"/>
        <v>0</v>
      </c>
      <c r="EK353" s="193">
        <f t="shared" si="776"/>
        <v>0</v>
      </c>
      <c r="EL353" s="193">
        <f t="shared" si="776"/>
        <v>0</v>
      </c>
      <c r="EM353" s="193">
        <f t="shared" si="776"/>
        <v>0</v>
      </c>
      <c r="EN353" s="193">
        <f t="shared" si="776"/>
        <v>0</v>
      </c>
      <c r="EO353" s="193">
        <f t="shared" si="776"/>
        <v>0</v>
      </c>
      <c r="EP353" s="193">
        <f t="shared" si="776"/>
        <v>0</v>
      </c>
      <c r="EQ353" s="193">
        <f t="shared" si="776"/>
        <v>0</v>
      </c>
      <c r="ER353" s="193">
        <f t="shared" si="776"/>
        <v>0</v>
      </c>
      <c r="ES353" s="193">
        <f t="shared" si="776"/>
        <v>0</v>
      </c>
      <c r="ET353" s="193">
        <f t="shared" si="776"/>
        <v>0</v>
      </c>
      <c r="EU353" s="193">
        <f t="shared" si="776"/>
        <v>0</v>
      </c>
      <c r="EV353" s="193">
        <f t="shared" si="776"/>
        <v>0</v>
      </c>
      <c r="EW353" s="193">
        <f t="shared" ref="EW353" si="777">EW354+EW360</f>
        <v>280000000</v>
      </c>
      <c r="EX353" s="193">
        <f t="shared" ref="EX353:GZ353" si="778">EX354+EX360</f>
        <v>832560942</v>
      </c>
      <c r="EY353" s="193">
        <f t="shared" si="778"/>
        <v>564379344</v>
      </c>
      <c r="EZ353" s="193">
        <f t="shared" si="778"/>
        <v>563767344</v>
      </c>
      <c r="FA353" s="193">
        <f t="shared" si="778"/>
        <v>0</v>
      </c>
      <c r="FB353" s="193">
        <f t="shared" si="778"/>
        <v>0</v>
      </c>
      <c r="FC353" s="193">
        <f t="shared" si="778"/>
        <v>0</v>
      </c>
      <c r="FD353" s="193">
        <f t="shared" si="778"/>
        <v>0</v>
      </c>
      <c r="FE353" s="193">
        <f t="shared" si="778"/>
        <v>0</v>
      </c>
      <c r="FF353" s="193">
        <f t="shared" si="778"/>
        <v>0</v>
      </c>
      <c r="FG353" s="193">
        <f t="shared" si="778"/>
        <v>0</v>
      </c>
      <c r="FH353" s="193">
        <f t="shared" si="778"/>
        <v>268181598</v>
      </c>
      <c r="FI353" s="193">
        <f t="shared" si="778"/>
        <v>0</v>
      </c>
      <c r="FJ353" s="193">
        <f t="shared" si="778"/>
        <v>0</v>
      </c>
      <c r="FK353" s="193">
        <f t="shared" si="778"/>
        <v>0</v>
      </c>
      <c r="FL353" s="193">
        <f t="shared" si="778"/>
        <v>230000000</v>
      </c>
      <c r="FM353" s="193">
        <f t="shared" si="778"/>
        <v>602023515</v>
      </c>
      <c r="FN353" s="193">
        <f t="shared" si="778"/>
        <v>445284532</v>
      </c>
      <c r="FO353" s="193">
        <f t="shared" si="778"/>
        <v>196982095</v>
      </c>
      <c r="FP353" s="193">
        <f t="shared" si="778"/>
        <v>0</v>
      </c>
      <c r="FQ353" s="193">
        <f t="shared" si="778"/>
        <v>0</v>
      </c>
      <c r="FR353" s="193">
        <f t="shared" si="778"/>
        <v>169985263</v>
      </c>
      <c r="FS353" s="193">
        <f t="shared" si="778"/>
        <v>0</v>
      </c>
      <c r="FT353" s="193">
        <f t="shared" si="778"/>
        <v>0</v>
      </c>
      <c r="FU353" s="193">
        <f t="shared" si="778"/>
        <v>0</v>
      </c>
      <c r="FV353" s="193">
        <f t="shared" si="778"/>
        <v>0</v>
      </c>
      <c r="FW353" s="193">
        <f t="shared" si="778"/>
        <v>0</v>
      </c>
      <c r="FX353" s="193">
        <f t="shared" si="778"/>
        <v>0</v>
      </c>
      <c r="FY353" s="193">
        <f t="shared" si="778"/>
        <v>0</v>
      </c>
      <c r="FZ353" s="193">
        <f t="shared" si="778"/>
        <v>0</v>
      </c>
      <c r="GA353" s="193">
        <f t="shared" si="778"/>
        <v>0</v>
      </c>
      <c r="GB353" s="193">
        <f t="shared" si="778"/>
        <v>0</v>
      </c>
      <c r="GC353" s="193">
        <f t="shared" si="778"/>
        <v>0</v>
      </c>
      <c r="GD353" s="193">
        <f t="shared" si="778"/>
        <v>0</v>
      </c>
      <c r="GE353" s="193">
        <f t="shared" si="778"/>
        <v>0</v>
      </c>
      <c r="GF353" s="193">
        <f t="shared" si="778"/>
        <v>0</v>
      </c>
      <c r="GG353" s="193">
        <f t="shared" si="778"/>
        <v>0</v>
      </c>
      <c r="GH353" s="193">
        <f t="shared" si="778"/>
        <v>0</v>
      </c>
      <c r="GI353" s="193">
        <f t="shared" si="778"/>
        <v>0</v>
      </c>
      <c r="GJ353" s="193">
        <f t="shared" si="778"/>
        <v>0</v>
      </c>
      <c r="GK353" s="193">
        <f t="shared" si="778"/>
        <v>0</v>
      </c>
      <c r="GL353" s="193">
        <f t="shared" si="778"/>
        <v>0</v>
      </c>
      <c r="GM353" s="193">
        <f t="shared" si="778"/>
        <v>0</v>
      </c>
      <c r="GN353" s="193">
        <f t="shared" si="778"/>
        <v>0</v>
      </c>
      <c r="GO353" s="193">
        <f t="shared" si="778"/>
        <v>0</v>
      </c>
      <c r="GP353" s="193">
        <f t="shared" si="778"/>
        <v>0</v>
      </c>
      <c r="GQ353" s="193">
        <f t="shared" si="778"/>
        <v>0</v>
      </c>
      <c r="GR353" s="193">
        <f t="shared" si="778"/>
        <v>0</v>
      </c>
      <c r="GS353" s="193">
        <f t="shared" si="778"/>
        <v>0</v>
      </c>
      <c r="GT353" s="193">
        <f t="shared" si="778"/>
        <v>0</v>
      </c>
      <c r="GU353" s="193">
        <f t="shared" si="778"/>
        <v>230000000</v>
      </c>
      <c r="GV353" s="193">
        <f t="shared" si="778"/>
        <v>1040190376</v>
      </c>
      <c r="GW353" s="193">
        <f t="shared" si="778"/>
        <v>445284532</v>
      </c>
      <c r="GX353" s="193">
        <f t="shared" si="778"/>
        <v>196982095</v>
      </c>
      <c r="GY353" s="193">
        <f t="shared" si="778"/>
        <v>0</v>
      </c>
      <c r="GZ353" s="606">
        <f t="shared" si="778"/>
        <v>1480000000</v>
      </c>
    </row>
    <row r="354" spans="1:208" ht="24.75" customHeight="1" x14ac:dyDescent="0.2">
      <c r="A354" s="326"/>
      <c r="B354" s="993"/>
      <c r="C354" s="246">
        <v>81</v>
      </c>
      <c r="D354" s="247" t="s">
        <v>799</v>
      </c>
      <c r="E354" s="250"/>
      <c r="F354" s="250"/>
      <c r="G354" s="251"/>
      <c r="H354" s="251"/>
      <c r="I354" s="251"/>
      <c r="J354" s="251"/>
      <c r="K354" s="251"/>
      <c r="L354" s="251"/>
      <c r="M354" s="251"/>
      <c r="N354" s="251"/>
      <c r="O354" s="251"/>
      <c r="P354" s="251"/>
      <c r="Q354" s="251"/>
      <c r="R354" s="251"/>
      <c r="S354" s="251"/>
      <c r="T354" s="251"/>
      <c r="U354" s="251"/>
      <c r="V354" s="251"/>
      <c r="W354" s="251"/>
      <c r="X354" s="251"/>
      <c r="Y354" s="252"/>
      <c r="Z354" s="251"/>
      <c r="AA354" s="251"/>
      <c r="AB354" s="251"/>
      <c r="AC354" s="51">
        <f t="shared" ref="AC354:BL354" si="779">SUM(AC355:AC359)</f>
        <v>0</v>
      </c>
      <c r="AD354" s="51">
        <f t="shared" si="779"/>
        <v>0</v>
      </c>
      <c r="AE354" s="51">
        <f t="shared" si="779"/>
        <v>0</v>
      </c>
      <c r="AF354" s="51">
        <f t="shared" si="779"/>
        <v>0</v>
      </c>
      <c r="AG354" s="51">
        <f t="shared" si="779"/>
        <v>0</v>
      </c>
      <c r="AH354" s="51">
        <f t="shared" si="779"/>
        <v>0</v>
      </c>
      <c r="AI354" s="51">
        <f t="shared" si="779"/>
        <v>0</v>
      </c>
      <c r="AJ354" s="51">
        <f t="shared" si="779"/>
        <v>0</v>
      </c>
      <c r="AK354" s="51">
        <f t="shared" si="779"/>
        <v>400000000</v>
      </c>
      <c r="AL354" s="51">
        <f t="shared" si="779"/>
        <v>400000000</v>
      </c>
      <c r="AM354" s="51">
        <f t="shared" si="779"/>
        <v>233974313</v>
      </c>
      <c r="AN354" s="51">
        <f t="shared" si="779"/>
        <v>228578591</v>
      </c>
      <c r="AO354" s="51">
        <f t="shared" si="779"/>
        <v>0</v>
      </c>
      <c r="AP354" s="51">
        <f t="shared" si="779"/>
        <v>0</v>
      </c>
      <c r="AQ354" s="51">
        <f t="shared" si="779"/>
        <v>0</v>
      </c>
      <c r="AR354" s="51">
        <f t="shared" si="779"/>
        <v>0</v>
      </c>
      <c r="AS354" s="51">
        <f t="shared" si="779"/>
        <v>0</v>
      </c>
      <c r="AT354" s="51">
        <f t="shared" si="779"/>
        <v>0</v>
      </c>
      <c r="AU354" s="51">
        <f t="shared" si="779"/>
        <v>0</v>
      </c>
      <c r="AV354" s="51">
        <f t="shared" si="779"/>
        <v>0</v>
      </c>
      <c r="AW354" s="51">
        <f t="shared" si="779"/>
        <v>0</v>
      </c>
      <c r="AX354" s="51">
        <f t="shared" si="779"/>
        <v>0</v>
      </c>
      <c r="AY354" s="51">
        <f t="shared" si="779"/>
        <v>0</v>
      </c>
      <c r="AZ354" s="51">
        <f t="shared" si="779"/>
        <v>0</v>
      </c>
      <c r="BA354" s="51">
        <f t="shared" si="779"/>
        <v>0</v>
      </c>
      <c r="BB354" s="51">
        <f t="shared" si="779"/>
        <v>0</v>
      </c>
      <c r="BC354" s="51">
        <f t="shared" si="779"/>
        <v>0</v>
      </c>
      <c r="BD354" s="51">
        <f t="shared" si="779"/>
        <v>0</v>
      </c>
      <c r="BE354" s="51">
        <f t="shared" si="779"/>
        <v>0</v>
      </c>
      <c r="BF354" s="51">
        <f t="shared" si="779"/>
        <v>0</v>
      </c>
      <c r="BG354" s="51">
        <f t="shared" si="779"/>
        <v>0</v>
      </c>
      <c r="BH354" s="51">
        <f t="shared" si="779"/>
        <v>0</v>
      </c>
      <c r="BI354" s="51">
        <f t="shared" si="779"/>
        <v>0</v>
      </c>
      <c r="BJ354" s="51">
        <f t="shared" si="779"/>
        <v>0</v>
      </c>
      <c r="BK354" s="51">
        <f t="shared" si="779"/>
        <v>0</v>
      </c>
      <c r="BL354" s="51">
        <f t="shared" si="779"/>
        <v>0</v>
      </c>
      <c r="BM354" s="51">
        <f t="shared" ref="BM354:DX354" si="780">SUM(BM355:BM359)</f>
        <v>400000000</v>
      </c>
      <c r="BN354" s="51">
        <f t="shared" si="780"/>
        <v>400000000</v>
      </c>
      <c r="BO354" s="51">
        <f t="shared" si="780"/>
        <v>233974313</v>
      </c>
      <c r="BP354" s="51">
        <f t="shared" si="780"/>
        <v>228578591</v>
      </c>
      <c r="BQ354" s="51">
        <f t="shared" si="780"/>
        <v>0</v>
      </c>
      <c r="BR354" s="51">
        <f t="shared" si="780"/>
        <v>0</v>
      </c>
      <c r="BS354" s="51">
        <f t="shared" si="780"/>
        <v>0</v>
      </c>
      <c r="BT354" s="51">
        <f t="shared" si="780"/>
        <v>0</v>
      </c>
      <c r="BU354" s="51">
        <f t="shared" si="780"/>
        <v>0</v>
      </c>
      <c r="BV354" s="51">
        <f t="shared" si="780"/>
        <v>107500000</v>
      </c>
      <c r="BW354" s="51">
        <f t="shared" si="780"/>
        <v>47624766</v>
      </c>
      <c r="BX354" s="51">
        <f t="shared" si="780"/>
        <v>47624766</v>
      </c>
      <c r="BY354" s="51">
        <f t="shared" si="780"/>
        <v>0</v>
      </c>
      <c r="BZ354" s="51">
        <f t="shared" si="780"/>
        <v>400000000</v>
      </c>
      <c r="CA354" s="51">
        <f t="shared" si="780"/>
        <v>400000000</v>
      </c>
      <c r="CB354" s="51">
        <f t="shared" si="780"/>
        <v>292793992</v>
      </c>
      <c r="CC354" s="51">
        <f t="shared" si="780"/>
        <v>291801342</v>
      </c>
      <c r="CD354" s="51">
        <f t="shared" si="780"/>
        <v>0</v>
      </c>
      <c r="CE354" s="51">
        <f t="shared" si="780"/>
        <v>0</v>
      </c>
      <c r="CF354" s="51">
        <f t="shared" si="780"/>
        <v>0</v>
      </c>
      <c r="CG354" s="51">
        <f t="shared" si="780"/>
        <v>0</v>
      </c>
      <c r="CH354" s="51">
        <f t="shared" si="780"/>
        <v>0</v>
      </c>
      <c r="CI354" s="51">
        <f t="shared" si="780"/>
        <v>0</v>
      </c>
      <c r="CJ354" s="51">
        <f t="shared" si="780"/>
        <v>0</v>
      </c>
      <c r="CK354" s="51">
        <f t="shared" si="780"/>
        <v>0</v>
      </c>
      <c r="CL354" s="51">
        <f t="shared" si="780"/>
        <v>0</v>
      </c>
      <c r="CM354" s="51">
        <f t="shared" si="780"/>
        <v>0</v>
      </c>
      <c r="CN354" s="51">
        <f t="shared" si="780"/>
        <v>0</v>
      </c>
      <c r="CO354" s="51">
        <f t="shared" si="780"/>
        <v>0</v>
      </c>
      <c r="CP354" s="51">
        <f t="shared" si="780"/>
        <v>0</v>
      </c>
      <c r="CQ354" s="51">
        <f t="shared" si="780"/>
        <v>0</v>
      </c>
      <c r="CR354" s="51">
        <f t="shared" si="780"/>
        <v>0</v>
      </c>
      <c r="CS354" s="51">
        <f t="shared" si="780"/>
        <v>0</v>
      </c>
      <c r="CT354" s="51">
        <f t="shared" si="780"/>
        <v>0</v>
      </c>
      <c r="CU354" s="51">
        <f t="shared" si="780"/>
        <v>0</v>
      </c>
      <c r="CV354" s="51">
        <f t="shared" si="780"/>
        <v>0</v>
      </c>
      <c r="CW354" s="51">
        <f t="shared" si="780"/>
        <v>0</v>
      </c>
      <c r="CX354" s="51">
        <f t="shared" si="780"/>
        <v>0</v>
      </c>
      <c r="CY354" s="51">
        <f t="shared" si="780"/>
        <v>0</v>
      </c>
      <c r="CZ354" s="51">
        <f t="shared" si="780"/>
        <v>0</v>
      </c>
      <c r="DA354" s="51">
        <f t="shared" si="780"/>
        <v>0</v>
      </c>
      <c r="DB354" s="51">
        <f t="shared" si="780"/>
        <v>0</v>
      </c>
      <c r="DC354" s="51">
        <f t="shared" si="780"/>
        <v>0</v>
      </c>
      <c r="DD354" s="51">
        <f t="shared" si="780"/>
        <v>0</v>
      </c>
      <c r="DE354" s="51">
        <f t="shared" si="780"/>
        <v>400000000</v>
      </c>
      <c r="DF354" s="51">
        <f t="shared" si="780"/>
        <v>507500000</v>
      </c>
      <c r="DG354" s="51">
        <f t="shared" si="780"/>
        <v>340418758</v>
      </c>
      <c r="DH354" s="51">
        <f t="shared" si="780"/>
        <v>339426108</v>
      </c>
      <c r="DI354" s="51">
        <f t="shared" si="780"/>
        <v>0</v>
      </c>
      <c r="DJ354" s="51">
        <f t="shared" si="780"/>
        <v>0</v>
      </c>
      <c r="DK354" s="51">
        <f t="shared" si="780"/>
        <v>0</v>
      </c>
      <c r="DL354" s="51">
        <f t="shared" si="780"/>
        <v>0</v>
      </c>
      <c r="DM354" s="51">
        <f t="shared" si="780"/>
        <v>0</v>
      </c>
      <c r="DN354" s="51">
        <f t="shared" si="780"/>
        <v>0</v>
      </c>
      <c r="DO354" s="51">
        <f t="shared" si="780"/>
        <v>167081242</v>
      </c>
      <c r="DP354" s="51">
        <f t="shared" si="780"/>
        <v>141437875</v>
      </c>
      <c r="DQ354" s="51">
        <f t="shared" si="780"/>
        <v>141437875</v>
      </c>
      <c r="DR354" s="51">
        <f t="shared" si="780"/>
        <v>0</v>
      </c>
      <c r="DS354" s="51">
        <f t="shared" si="780"/>
        <v>200000000</v>
      </c>
      <c r="DT354" s="51">
        <f t="shared" si="780"/>
        <v>553000000</v>
      </c>
      <c r="DU354" s="51">
        <f t="shared" si="780"/>
        <v>327207905</v>
      </c>
      <c r="DV354" s="51">
        <f t="shared" si="780"/>
        <v>326595905</v>
      </c>
      <c r="DW354" s="51">
        <f t="shared" si="780"/>
        <v>0</v>
      </c>
      <c r="DX354" s="51">
        <f t="shared" si="780"/>
        <v>0</v>
      </c>
      <c r="DY354" s="51">
        <f t="shared" ref="DY354:EW354" si="781">SUM(DY355:DY359)</f>
        <v>0</v>
      </c>
      <c r="DZ354" s="51">
        <f t="shared" si="781"/>
        <v>0</v>
      </c>
      <c r="EA354" s="51">
        <f t="shared" si="781"/>
        <v>0</v>
      </c>
      <c r="EB354" s="51">
        <f t="shared" si="781"/>
        <v>0</v>
      </c>
      <c r="EC354" s="51">
        <f t="shared" si="781"/>
        <v>0</v>
      </c>
      <c r="ED354" s="51">
        <f t="shared" si="781"/>
        <v>0</v>
      </c>
      <c r="EE354" s="51">
        <f t="shared" si="781"/>
        <v>0</v>
      </c>
      <c r="EF354" s="51">
        <f t="shared" si="781"/>
        <v>0</v>
      </c>
      <c r="EG354" s="51">
        <f t="shared" si="781"/>
        <v>0</v>
      </c>
      <c r="EH354" s="51">
        <f t="shared" si="781"/>
        <v>0</v>
      </c>
      <c r="EI354" s="51">
        <f t="shared" si="781"/>
        <v>0</v>
      </c>
      <c r="EJ354" s="51">
        <f t="shared" si="781"/>
        <v>0</v>
      </c>
      <c r="EK354" s="51">
        <f t="shared" si="781"/>
        <v>0</v>
      </c>
      <c r="EL354" s="51">
        <f t="shared" si="781"/>
        <v>0</v>
      </c>
      <c r="EM354" s="51">
        <f t="shared" si="781"/>
        <v>0</v>
      </c>
      <c r="EN354" s="51">
        <f t="shared" si="781"/>
        <v>0</v>
      </c>
      <c r="EO354" s="51">
        <f t="shared" si="781"/>
        <v>0</v>
      </c>
      <c r="EP354" s="51">
        <f t="shared" si="781"/>
        <v>0</v>
      </c>
      <c r="EQ354" s="51">
        <f t="shared" si="781"/>
        <v>0</v>
      </c>
      <c r="ER354" s="51">
        <f t="shared" si="781"/>
        <v>0</v>
      </c>
      <c r="ES354" s="51">
        <f t="shared" si="781"/>
        <v>0</v>
      </c>
      <c r="ET354" s="51">
        <f t="shared" si="781"/>
        <v>0</v>
      </c>
      <c r="EU354" s="51">
        <f t="shared" si="781"/>
        <v>0</v>
      </c>
      <c r="EV354" s="51">
        <f t="shared" si="781"/>
        <v>0</v>
      </c>
      <c r="EW354" s="51">
        <f t="shared" si="781"/>
        <v>200000000</v>
      </c>
      <c r="EX354" s="51">
        <f t="shared" ref="EX354:GZ354" si="782">SUM(EX355:EX359)</f>
        <v>720081242</v>
      </c>
      <c r="EY354" s="51">
        <f t="shared" si="782"/>
        <v>468645780</v>
      </c>
      <c r="EZ354" s="51">
        <f t="shared" si="782"/>
        <v>468033780</v>
      </c>
      <c r="FA354" s="51">
        <f t="shared" si="782"/>
        <v>0</v>
      </c>
      <c r="FB354" s="51">
        <f t="shared" si="782"/>
        <v>0</v>
      </c>
      <c r="FC354" s="51">
        <f t="shared" si="782"/>
        <v>0</v>
      </c>
      <c r="FD354" s="51">
        <f t="shared" si="782"/>
        <v>0</v>
      </c>
      <c r="FE354" s="51">
        <f t="shared" si="782"/>
        <v>0</v>
      </c>
      <c r="FF354" s="51">
        <f t="shared" si="782"/>
        <v>0</v>
      </c>
      <c r="FG354" s="51">
        <f t="shared" si="782"/>
        <v>0</v>
      </c>
      <c r="FH354" s="51">
        <f t="shared" si="782"/>
        <v>268181598</v>
      </c>
      <c r="FI354" s="51">
        <f t="shared" si="782"/>
        <v>0</v>
      </c>
      <c r="FJ354" s="51">
        <f t="shared" si="782"/>
        <v>0</v>
      </c>
      <c r="FK354" s="51">
        <f t="shared" si="782"/>
        <v>0</v>
      </c>
      <c r="FL354" s="51">
        <f t="shared" si="782"/>
        <v>150000000</v>
      </c>
      <c r="FM354" s="51">
        <f t="shared" si="782"/>
        <v>517700000</v>
      </c>
      <c r="FN354" s="51">
        <f t="shared" si="782"/>
        <v>420322332</v>
      </c>
      <c r="FO354" s="51">
        <f t="shared" si="782"/>
        <v>184670895</v>
      </c>
      <c r="FP354" s="51">
        <f t="shared" si="782"/>
        <v>0</v>
      </c>
      <c r="FQ354" s="51">
        <f t="shared" si="782"/>
        <v>0</v>
      </c>
      <c r="FR354" s="51">
        <f t="shared" si="782"/>
        <v>169985263</v>
      </c>
      <c r="FS354" s="51">
        <f t="shared" si="782"/>
        <v>0</v>
      </c>
      <c r="FT354" s="51">
        <f t="shared" si="782"/>
        <v>0</v>
      </c>
      <c r="FU354" s="51">
        <f t="shared" si="782"/>
        <v>0</v>
      </c>
      <c r="FV354" s="51">
        <f t="shared" si="782"/>
        <v>0</v>
      </c>
      <c r="FW354" s="51">
        <f t="shared" si="782"/>
        <v>0</v>
      </c>
      <c r="FX354" s="51">
        <f t="shared" si="782"/>
        <v>0</v>
      </c>
      <c r="FY354" s="51">
        <f t="shared" si="782"/>
        <v>0</v>
      </c>
      <c r="FZ354" s="51">
        <f t="shared" si="782"/>
        <v>0</v>
      </c>
      <c r="GA354" s="51">
        <f t="shared" si="782"/>
        <v>0</v>
      </c>
      <c r="GB354" s="51">
        <f t="shared" si="782"/>
        <v>0</v>
      </c>
      <c r="GC354" s="51">
        <f t="shared" si="782"/>
        <v>0</v>
      </c>
      <c r="GD354" s="51">
        <f t="shared" si="782"/>
        <v>0</v>
      </c>
      <c r="GE354" s="51">
        <f t="shared" si="782"/>
        <v>0</v>
      </c>
      <c r="GF354" s="51">
        <f t="shared" si="782"/>
        <v>0</v>
      </c>
      <c r="GG354" s="51">
        <f t="shared" si="782"/>
        <v>0</v>
      </c>
      <c r="GH354" s="51">
        <f t="shared" si="782"/>
        <v>0</v>
      </c>
      <c r="GI354" s="51">
        <f t="shared" si="782"/>
        <v>0</v>
      </c>
      <c r="GJ354" s="51">
        <f t="shared" si="782"/>
        <v>0</v>
      </c>
      <c r="GK354" s="51">
        <f t="shared" si="782"/>
        <v>0</v>
      </c>
      <c r="GL354" s="51">
        <f t="shared" si="782"/>
        <v>0</v>
      </c>
      <c r="GM354" s="51">
        <f t="shared" si="782"/>
        <v>0</v>
      </c>
      <c r="GN354" s="51">
        <f t="shared" si="782"/>
        <v>0</v>
      </c>
      <c r="GO354" s="51">
        <f t="shared" si="782"/>
        <v>0</v>
      </c>
      <c r="GP354" s="51">
        <f t="shared" si="782"/>
        <v>0</v>
      </c>
      <c r="GQ354" s="51">
        <f t="shared" si="782"/>
        <v>0</v>
      </c>
      <c r="GR354" s="51">
        <f t="shared" si="782"/>
        <v>0</v>
      </c>
      <c r="GS354" s="51">
        <f t="shared" si="782"/>
        <v>0</v>
      </c>
      <c r="GT354" s="51">
        <f t="shared" si="782"/>
        <v>0</v>
      </c>
      <c r="GU354" s="51">
        <f t="shared" si="782"/>
        <v>150000000</v>
      </c>
      <c r="GV354" s="51">
        <f t="shared" si="782"/>
        <v>955866861</v>
      </c>
      <c r="GW354" s="51">
        <f t="shared" si="782"/>
        <v>420322332</v>
      </c>
      <c r="GX354" s="51">
        <f t="shared" si="782"/>
        <v>184670895</v>
      </c>
      <c r="GY354" s="51">
        <f t="shared" si="782"/>
        <v>0</v>
      </c>
      <c r="GZ354" s="51">
        <f t="shared" si="782"/>
        <v>1150000000</v>
      </c>
    </row>
    <row r="355" spans="1:208" s="711" customFormat="1" ht="60.75" customHeight="1" x14ac:dyDescent="0.2">
      <c r="A355" s="703"/>
      <c r="B355" s="703"/>
      <c r="C355" s="1053">
        <v>38</v>
      </c>
      <c r="D355" s="1054" t="s">
        <v>800</v>
      </c>
      <c r="E355" s="995">
        <v>0</v>
      </c>
      <c r="F355" s="995">
        <v>2</v>
      </c>
      <c r="G355" s="682">
        <v>236</v>
      </c>
      <c r="H355" s="676" t="s">
        <v>801</v>
      </c>
      <c r="I355" s="821" t="s">
        <v>802</v>
      </c>
      <c r="J355" s="682" t="s">
        <v>803</v>
      </c>
      <c r="K355" s="621">
        <v>12</v>
      </c>
      <c r="L355" s="621" t="s">
        <v>73</v>
      </c>
      <c r="M355" s="621">
        <v>1</v>
      </c>
      <c r="N355" s="621">
        <v>14</v>
      </c>
      <c r="O355" s="621">
        <v>4</v>
      </c>
      <c r="P355" s="893">
        <v>1</v>
      </c>
      <c r="Q355" s="621">
        <v>7</v>
      </c>
      <c r="R355" s="814"/>
      <c r="S355" s="893">
        <v>2</v>
      </c>
      <c r="T355" s="621">
        <v>2</v>
      </c>
      <c r="U355" s="621">
        <f>5+3</f>
        <v>8</v>
      </c>
      <c r="V355" s="893">
        <v>4</v>
      </c>
      <c r="W355" s="621">
        <v>1</v>
      </c>
      <c r="X355" s="704">
        <v>3</v>
      </c>
      <c r="Y355" s="700">
        <v>2</v>
      </c>
      <c r="Z355" s="935">
        <f>BM355/$BM$354</f>
        <v>0.14374999999999999</v>
      </c>
      <c r="AA355" s="682">
        <v>11</v>
      </c>
      <c r="AB355" s="916" t="s">
        <v>229</v>
      </c>
      <c r="AC355" s="918"/>
      <c r="AD355" s="831"/>
      <c r="AE355" s="818"/>
      <c r="AF355" s="818"/>
      <c r="AG355" s="918"/>
      <c r="AH355" s="831"/>
      <c r="AI355" s="831"/>
      <c r="AJ355" s="831"/>
      <c r="AK355" s="830">
        <v>57500000</v>
      </c>
      <c r="AL355" s="831">
        <v>57500000</v>
      </c>
      <c r="AM355" s="831">
        <v>5000000</v>
      </c>
      <c r="AN355" s="831">
        <v>5000000</v>
      </c>
      <c r="AO355" s="918"/>
      <c r="AP355" s="831"/>
      <c r="AQ355" s="831"/>
      <c r="AR355" s="831"/>
      <c r="AS355" s="918"/>
      <c r="AT355" s="831"/>
      <c r="AU355" s="818"/>
      <c r="AV355" s="818"/>
      <c r="AW355" s="918"/>
      <c r="AX355" s="831"/>
      <c r="AY355" s="831"/>
      <c r="AZ355" s="831"/>
      <c r="BA355" s="918"/>
      <c r="BB355" s="831"/>
      <c r="BC355" s="831"/>
      <c r="BD355" s="831"/>
      <c r="BE355" s="918"/>
      <c r="BF355" s="831"/>
      <c r="BG355" s="818"/>
      <c r="BH355" s="818"/>
      <c r="BI355" s="918"/>
      <c r="BJ355" s="831"/>
      <c r="BK355" s="831"/>
      <c r="BL355" s="831"/>
      <c r="BM355" s="817">
        <f>+AC355+AG355+AK355+AO355+AS355+AW355+BA355+BE355+BI355</f>
        <v>57500000</v>
      </c>
      <c r="BN355" s="818">
        <f t="shared" ref="BN355:BP359" si="783">AD355+AH355+AL355+AP355+AT355+AX355+BB355+BF355+BJ355</f>
        <v>57500000</v>
      </c>
      <c r="BO355" s="818">
        <f t="shared" si="783"/>
        <v>5000000</v>
      </c>
      <c r="BP355" s="818">
        <f t="shared" si="783"/>
        <v>5000000</v>
      </c>
      <c r="BQ355" s="667"/>
      <c r="BR355" s="667"/>
      <c r="BS355" s="667"/>
      <c r="BT355" s="667"/>
      <c r="BU355" s="667"/>
      <c r="BV355" s="667"/>
      <c r="BW355" s="667"/>
      <c r="BX355" s="667"/>
      <c r="BY355" s="667"/>
      <c r="BZ355" s="667">
        <v>57499999.999999993</v>
      </c>
      <c r="CA355" s="667">
        <v>57500000</v>
      </c>
      <c r="CB355" s="667">
        <v>30986666</v>
      </c>
      <c r="CC355" s="667">
        <v>30986666</v>
      </c>
      <c r="CD355" s="667"/>
      <c r="CE355" s="667"/>
      <c r="CF355" s="667"/>
      <c r="CG355" s="667"/>
      <c r="CH355" s="667"/>
      <c r="CI355" s="667"/>
      <c r="CJ355" s="667"/>
      <c r="CK355" s="667"/>
      <c r="CL355" s="667"/>
      <c r="CM355" s="667"/>
      <c r="CN355" s="667"/>
      <c r="CO355" s="667"/>
      <c r="CP355" s="667"/>
      <c r="CQ355" s="667"/>
      <c r="CR355" s="667"/>
      <c r="CS355" s="667"/>
      <c r="CT355" s="667"/>
      <c r="CU355" s="667"/>
      <c r="CV355" s="667"/>
      <c r="CW355" s="667"/>
      <c r="CX355" s="667"/>
      <c r="CY355" s="667"/>
      <c r="CZ355" s="667"/>
      <c r="DA355" s="667"/>
      <c r="DB355" s="667"/>
      <c r="DC355" s="667"/>
      <c r="DD355" s="667"/>
      <c r="DE355" s="708">
        <f t="shared" ref="DE355:DH359" si="784">BQ355+BU355+BZ355+CE355+CI355+CM355+CQ355+CV355+DA355</f>
        <v>57499999.999999993</v>
      </c>
      <c r="DF355" s="708">
        <f t="shared" si="784"/>
        <v>57500000</v>
      </c>
      <c r="DG355" s="708">
        <f t="shared" si="784"/>
        <v>30986666</v>
      </c>
      <c r="DH355" s="708">
        <f t="shared" si="784"/>
        <v>30986666</v>
      </c>
      <c r="DI355" s="708"/>
      <c r="DJ355" s="667"/>
      <c r="DK355" s="667"/>
      <c r="DL355" s="667"/>
      <c r="DM355" s="667"/>
      <c r="DN355" s="667"/>
      <c r="DO355" s="667">
        <v>42000000</v>
      </c>
      <c r="DP355" s="667">
        <v>35087283</v>
      </c>
      <c r="DQ355" s="667">
        <v>35087283</v>
      </c>
      <c r="DR355" s="667"/>
      <c r="DS355" s="706">
        <v>28749999.999999996</v>
      </c>
      <c r="DT355" s="667">
        <v>63000000</v>
      </c>
      <c r="DU355" s="667">
        <v>60653312</v>
      </c>
      <c r="DV355" s="667">
        <v>60653312</v>
      </c>
      <c r="DW355" s="667"/>
      <c r="DX355" s="667"/>
      <c r="DY355" s="667"/>
      <c r="DZ355" s="667"/>
      <c r="EA355" s="667"/>
      <c r="EB355" s="667"/>
      <c r="EC355" s="667"/>
      <c r="ED355" s="667"/>
      <c r="EE355" s="667"/>
      <c r="EF355" s="667"/>
      <c r="EG355" s="667"/>
      <c r="EH355" s="667"/>
      <c r="EI355" s="667"/>
      <c r="EJ355" s="667"/>
      <c r="EK355" s="667"/>
      <c r="EL355" s="667"/>
      <c r="EM355" s="667"/>
      <c r="EN355" s="667"/>
      <c r="EO355" s="667"/>
      <c r="EP355" s="667"/>
      <c r="EQ355" s="667"/>
      <c r="ER355" s="667"/>
      <c r="ES355" s="667"/>
      <c r="ET355" s="667"/>
      <c r="EU355" s="667"/>
      <c r="EV355" s="667"/>
      <c r="EW355" s="708">
        <f t="shared" ref="EW355:EX359" si="785">DJ355+DN355+DS355+DX355+EB355+EF355+EJ355+EN355+ES355</f>
        <v>28749999.999999996</v>
      </c>
      <c r="EX355" s="819">
        <f t="shared" si="785"/>
        <v>105000000</v>
      </c>
      <c r="EY355" s="819">
        <f t="shared" ref="EY355:EZ359" si="786">DL355+DP355+DU355+DZ355+ED355+EH355+EL355+EP355+EU355</f>
        <v>95740595</v>
      </c>
      <c r="EZ355" s="819">
        <f t="shared" si="786"/>
        <v>95740595</v>
      </c>
      <c r="FA355" s="820"/>
      <c r="FB355" s="667"/>
      <c r="FC355" s="706"/>
      <c r="FD355" s="706"/>
      <c r="FE355" s="706"/>
      <c r="FF355" s="707"/>
      <c r="FG355" s="667"/>
      <c r="FH355" s="667">
        <v>74499598</v>
      </c>
      <c r="FI355" s="667"/>
      <c r="FJ355" s="667"/>
      <c r="FK355" s="667"/>
      <c r="FL355" s="667">
        <v>21500000</v>
      </c>
      <c r="FM355" s="667">
        <v>101850000</v>
      </c>
      <c r="FN355" s="667">
        <v>96850000</v>
      </c>
      <c r="FO355" s="667">
        <v>45502265</v>
      </c>
      <c r="FP355" s="667"/>
      <c r="FQ355" s="667"/>
      <c r="FR355" s="667"/>
      <c r="FS355" s="667"/>
      <c r="FT355" s="667"/>
      <c r="FU355" s="667"/>
      <c r="FV355" s="667"/>
      <c r="FW355" s="667"/>
      <c r="FX355" s="667"/>
      <c r="FY355" s="667"/>
      <c r="FZ355" s="667"/>
      <c r="GA355" s="667"/>
      <c r="GB355" s="667"/>
      <c r="GC355" s="667"/>
      <c r="GD355" s="667"/>
      <c r="GE355" s="667"/>
      <c r="GF355" s="667"/>
      <c r="GG355" s="667"/>
      <c r="GH355" s="667"/>
      <c r="GI355" s="667"/>
      <c r="GJ355" s="667"/>
      <c r="GK355" s="667"/>
      <c r="GL355" s="667"/>
      <c r="GM355" s="667"/>
      <c r="GN355" s="667"/>
      <c r="GO355" s="667"/>
      <c r="GP355" s="667"/>
      <c r="GQ355" s="667"/>
      <c r="GR355" s="667"/>
      <c r="GS355" s="667"/>
      <c r="GT355" s="667"/>
      <c r="GU355" s="708">
        <f>FB355+FG355+FL355+FQ355+FV355+GA355+GF355+GK355+GP355</f>
        <v>21500000</v>
      </c>
      <c r="GV355" s="708">
        <f t="shared" ref="GV355:GY359" si="787">GQ355+GL355+GG355+GB355+FW355+FR355+FM355+FH355+FC355</f>
        <v>176349598</v>
      </c>
      <c r="GW355" s="708">
        <f t="shared" si="787"/>
        <v>96850000</v>
      </c>
      <c r="GX355" s="708">
        <f t="shared" si="787"/>
        <v>45502265</v>
      </c>
      <c r="GY355" s="709">
        <f t="shared" si="787"/>
        <v>0</v>
      </c>
      <c r="GZ355" s="710">
        <f>BM355+DE355+EW355+GU355</f>
        <v>165250000</v>
      </c>
    </row>
    <row r="356" spans="1:208" s="711" customFormat="1" ht="218.25" customHeight="1" x14ac:dyDescent="0.2">
      <c r="A356" s="703"/>
      <c r="B356" s="703"/>
      <c r="C356" s="712"/>
      <c r="D356" s="713"/>
      <c r="E356" s="703"/>
      <c r="F356" s="703"/>
      <c r="G356" s="682">
        <v>237</v>
      </c>
      <c r="H356" s="676" t="s">
        <v>804</v>
      </c>
      <c r="I356" s="821" t="s">
        <v>805</v>
      </c>
      <c r="J356" s="682" t="s">
        <v>803</v>
      </c>
      <c r="K356" s="621">
        <v>12</v>
      </c>
      <c r="L356" s="621" t="s">
        <v>73</v>
      </c>
      <c r="M356" s="621" t="s">
        <v>53</v>
      </c>
      <c r="N356" s="936">
        <v>150</v>
      </c>
      <c r="O356" s="621">
        <v>50</v>
      </c>
      <c r="P356" s="851">
        <v>31</v>
      </c>
      <c r="Q356" s="621">
        <v>70</v>
      </c>
      <c r="R356" s="807">
        <v>89</v>
      </c>
      <c r="S356" s="893">
        <v>94</v>
      </c>
      <c r="T356" s="621">
        <v>20</v>
      </c>
      <c r="U356" s="621"/>
      <c r="V356" s="893">
        <v>24</v>
      </c>
      <c r="W356" s="621">
        <v>10</v>
      </c>
      <c r="X356" s="704">
        <v>5</v>
      </c>
      <c r="Y356" s="700">
        <v>12</v>
      </c>
      <c r="Z356" s="935">
        <f>BM356/$BM$354</f>
        <v>0.1605</v>
      </c>
      <c r="AA356" s="682">
        <v>4</v>
      </c>
      <c r="AB356" s="916" t="s">
        <v>114</v>
      </c>
      <c r="AC356" s="918"/>
      <c r="AD356" s="831"/>
      <c r="AE356" s="818"/>
      <c r="AF356" s="818"/>
      <c r="AG356" s="918"/>
      <c r="AH356" s="831"/>
      <c r="AI356" s="831"/>
      <c r="AJ356" s="831"/>
      <c r="AK356" s="830">
        <f>49000000+15200000</f>
        <v>64200000</v>
      </c>
      <c r="AL356" s="831">
        <v>64200000</v>
      </c>
      <c r="AM356" s="831">
        <v>57200000</v>
      </c>
      <c r="AN356" s="831">
        <v>57200000</v>
      </c>
      <c r="AO356" s="918"/>
      <c r="AP356" s="831"/>
      <c r="AQ356" s="831"/>
      <c r="AR356" s="831"/>
      <c r="AS356" s="918"/>
      <c r="AT356" s="831"/>
      <c r="AU356" s="818"/>
      <c r="AV356" s="818"/>
      <c r="AW356" s="918"/>
      <c r="AX356" s="831"/>
      <c r="AY356" s="831"/>
      <c r="AZ356" s="831"/>
      <c r="BA356" s="918"/>
      <c r="BB356" s="831"/>
      <c r="BC356" s="831"/>
      <c r="BD356" s="831"/>
      <c r="BE356" s="918"/>
      <c r="BF356" s="831"/>
      <c r="BG356" s="818"/>
      <c r="BH356" s="818"/>
      <c r="BI356" s="918"/>
      <c r="BJ356" s="831"/>
      <c r="BK356" s="831"/>
      <c r="BL356" s="831"/>
      <c r="BM356" s="817">
        <f>+AC356+AG356+AK356+AO356+AS356+AW356+BA356+BE356+BI356</f>
        <v>64200000</v>
      </c>
      <c r="BN356" s="818">
        <f t="shared" si="783"/>
        <v>64200000</v>
      </c>
      <c r="BO356" s="818">
        <f t="shared" si="783"/>
        <v>57200000</v>
      </c>
      <c r="BP356" s="818">
        <f t="shared" si="783"/>
        <v>57200000</v>
      </c>
      <c r="BQ356" s="667"/>
      <c r="BR356" s="667"/>
      <c r="BS356" s="667"/>
      <c r="BT356" s="667"/>
      <c r="BU356" s="667"/>
      <c r="BV356" s="667"/>
      <c r="BW356" s="667"/>
      <c r="BX356" s="667"/>
      <c r="BY356" s="667"/>
      <c r="BZ356" s="667">
        <v>64200000</v>
      </c>
      <c r="CA356" s="667">
        <v>64200000</v>
      </c>
      <c r="CB356" s="667">
        <v>63750000</v>
      </c>
      <c r="CC356" s="667">
        <v>63750000</v>
      </c>
      <c r="CD356" s="667"/>
      <c r="CE356" s="667"/>
      <c r="CF356" s="667"/>
      <c r="CG356" s="667"/>
      <c r="CH356" s="667"/>
      <c r="CI356" s="667"/>
      <c r="CJ356" s="667"/>
      <c r="CK356" s="667"/>
      <c r="CL356" s="667"/>
      <c r="CM356" s="667"/>
      <c r="CN356" s="667"/>
      <c r="CO356" s="667"/>
      <c r="CP356" s="667"/>
      <c r="CQ356" s="667"/>
      <c r="CR356" s="667"/>
      <c r="CS356" s="667"/>
      <c r="CT356" s="667"/>
      <c r="CU356" s="667"/>
      <c r="CV356" s="667"/>
      <c r="CW356" s="667"/>
      <c r="CX356" s="667"/>
      <c r="CY356" s="667"/>
      <c r="CZ356" s="667"/>
      <c r="DA356" s="667"/>
      <c r="DB356" s="667"/>
      <c r="DC356" s="667"/>
      <c r="DD356" s="667"/>
      <c r="DE356" s="708">
        <f t="shared" si="784"/>
        <v>64200000</v>
      </c>
      <c r="DF356" s="708">
        <f t="shared" si="784"/>
        <v>64200000</v>
      </c>
      <c r="DG356" s="708">
        <f t="shared" si="784"/>
        <v>63750000</v>
      </c>
      <c r="DH356" s="708">
        <f t="shared" si="784"/>
        <v>63750000</v>
      </c>
      <c r="DI356" s="708"/>
      <c r="DJ356" s="667"/>
      <c r="DK356" s="667"/>
      <c r="DL356" s="667"/>
      <c r="DM356" s="667"/>
      <c r="DN356" s="667"/>
      <c r="DO356" s="667">
        <v>5000000</v>
      </c>
      <c r="DP356" s="667">
        <v>3000000</v>
      </c>
      <c r="DQ356" s="667">
        <v>3000000</v>
      </c>
      <c r="DR356" s="667"/>
      <c r="DS356" s="706">
        <v>32100000</v>
      </c>
      <c r="DT356" s="667">
        <v>22000000</v>
      </c>
      <c r="DU356" s="667">
        <v>20604000</v>
      </c>
      <c r="DV356" s="667">
        <v>20604000</v>
      </c>
      <c r="DW356" s="667"/>
      <c r="DX356" s="667"/>
      <c r="DY356" s="667"/>
      <c r="DZ356" s="667"/>
      <c r="EA356" s="667"/>
      <c r="EB356" s="667"/>
      <c r="EC356" s="667"/>
      <c r="ED356" s="667"/>
      <c r="EE356" s="667"/>
      <c r="EF356" s="667"/>
      <c r="EG356" s="667"/>
      <c r="EH356" s="667"/>
      <c r="EI356" s="667"/>
      <c r="EJ356" s="667"/>
      <c r="EK356" s="667"/>
      <c r="EL356" s="667"/>
      <c r="EM356" s="667"/>
      <c r="EN356" s="667"/>
      <c r="EO356" s="667"/>
      <c r="EP356" s="667"/>
      <c r="EQ356" s="667"/>
      <c r="ER356" s="667"/>
      <c r="ES356" s="667"/>
      <c r="ET356" s="667"/>
      <c r="EU356" s="667"/>
      <c r="EV356" s="667"/>
      <c r="EW356" s="708">
        <f t="shared" si="785"/>
        <v>32100000</v>
      </c>
      <c r="EX356" s="819">
        <f t="shared" si="785"/>
        <v>27000000</v>
      </c>
      <c r="EY356" s="819">
        <f t="shared" si="786"/>
        <v>23604000</v>
      </c>
      <c r="EZ356" s="819">
        <f t="shared" si="786"/>
        <v>23604000</v>
      </c>
      <c r="FA356" s="820"/>
      <c r="FB356" s="667"/>
      <c r="FC356" s="706"/>
      <c r="FD356" s="706"/>
      <c r="FE356" s="706"/>
      <c r="FF356" s="707"/>
      <c r="FG356" s="667"/>
      <c r="FH356" s="667"/>
      <c r="FI356" s="667"/>
      <c r="FJ356" s="667"/>
      <c r="FK356" s="667"/>
      <c r="FL356" s="667">
        <v>24000000</v>
      </c>
      <c r="FM356" s="667">
        <v>20000000</v>
      </c>
      <c r="FN356" s="667">
        <v>20000000</v>
      </c>
      <c r="FO356" s="667">
        <v>15000000</v>
      </c>
      <c r="FP356" s="667"/>
      <c r="FQ356" s="667"/>
      <c r="FR356" s="667"/>
      <c r="FS356" s="667"/>
      <c r="FT356" s="667"/>
      <c r="FU356" s="667"/>
      <c r="FV356" s="667"/>
      <c r="FW356" s="667"/>
      <c r="FX356" s="667"/>
      <c r="FY356" s="667"/>
      <c r="FZ356" s="667"/>
      <c r="GA356" s="667"/>
      <c r="GB356" s="667"/>
      <c r="GC356" s="667"/>
      <c r="GD356" s="667"/>
      <c r="GE356" s="667"/>
      <c r="GF356" s="667"/>
      <c r="GG356" s="667"/>
      <c r="GH356" s="667"/>
      <c r="GI356" s="667"/>
      <c r="GJ356" s="667"/>
      <c r="GK356" s="667"/>
      <c r="GL356" s="667"/>
      <c r="GM356" s="667"/>
      <c r="GN356" s="667"/>
      <c r="GO356" s="667"/>
      <c r="GP356" s="667"/>
      <c r="GQ356" s="667"/>
      <c r="GR356" s="667"/>
      <c r="GS356" s="667"/>
      <c r="GT356" s="667"/>
      <c r="GU356" s="708">
        <f>FB356+FG356+FL356+FQ356+FV356+GA356+GF356+GK356+GP356</f>
        <v>24000000</v>
      </c>
      <c r="GV356" s="708">
        <f t="shared" si="787"/>
        <v>20000000</v>
      </c>
      <c r="GW356" s="708">
        <f t="shared" si="787"/>
        <v>20000000</v>
      </c>
      <c r="GX356" s="708">
        <f t="shared" si="787"/>
        <v>15000000</v>
      </c>
      <c r="GY356" s="709">
        <f t="shared" si="787"/>
        <v>0</v>
      </c>
      <c r="GZ356" s="710">
        <f>BM356+DE356+EW356+GU356</f>
        <v>184500000</v>
      </c>
    </row>
    <row r="357" spans="1:208" s="711" customFormat="1" ht="203.25" customHeight="1" x14ac:dyDescent="0.2">
      <c r="A357" s="703"/>
      <c r="B357" s="703"/>
      <c r="C357" s="712"/>
      <c r="D357" s="713"/>
      <c r="E357" s="703"/>
      <c r="F357" s="703"/>
      <c r="G357" s="682">
        <v>238</v>
      </c>
      <c r="H357" s="676" t="s">
        <v>806</v>
      </c>
      <c r="I357" s="821" t="s">
        <v>807</v>
      </c>
      <c r="J357" s="682" t="s">
        <v>803</v>
      </c>
      <c r="K357" s="621">
        <v>12</v>
      </c>
      <c r="L357" s="621" t="s">
        <v>58</v>
      </c>
      <c r="M357" s="621" t="s">
        <v>53</v>
      </c>
      <c r="N357" s="621">
        <v>12</v>
      </c>
      <c r="O357" s="621">
        <v>12</v>
      </c>
      <c r="P357" s="893">
        <v>12</v>
      </c>
      <c r="Q357" s="621">
        <v>12</v>
      </c>
      <c r="R357" s="814"/>
      <c r="S357" s="893">
        <v>12</v>
      </c>
      <c r="T357" s="621">
        <v>12</v>
      </c>
      <c r="U357" s="621"/>
      <c r="V357" s="893">
        <v>12</v>
      </c>
      <c r="W357" s="621">
        <v>12</v>
      </c>
      <c r="X357" s="704"/>
      <c r="Y357" s="700">
        <v>12</v>
      </c>
      <c r="Z357" s="935">
        <f>BM357/$BM$354</f>
        <v>0.24399999999999999</v>
      </c>
      <c r="AA357" s="682">
        <v>11</v>
      </c>
      <c r="AB357" s="916" t="s">
        <v>229</v>
      </c>
      <c r="AC357" s="918"/>
      <c r="AD357" s="831"/>
      <c r="AE357" s="818"/>
      <c r="AF357" s="818"/>
      <c r="AG357" s="918"/>
      <c r="AH357" s="831"/>
      <c r="AI357" s="831"/>
      <c r="AJ357" s="831"/>
      <c r="AK357" s="830">
        <f>67600000+30000000</f>
        <v>97600000</v>
      </c>
      <c r="AL357" s="831">
        <v>97600000</v>
      </c>
      <c r="AM357" s="831">
        <v>58783333</v>
      </c>
      <c r="AN357" s="831">
        <v>55011611</v>
      </c>
      <c r="AO357" s="918"/>
      <c r="AP357" s="831"/>
      <c r="AQ357" s="831"/>
      <c r="AR357" s="831"/>
      <c r="AS357" s="918"/>
      <c r="AT357" s="831"/>
      <c r="AU357" s="818"/>
      <c r="AV357" s="818"/>
      <c r="AW357" s="918"/>
      <c r="AX357" s="831"/>
      <c r="AY357" s="831"/>
      <c r="AZ357" s="831"/>
      <c r="BA357" s="918"/>
      <c r="BB357" s="831"/>
      <c r="BC357" s="831"/>
      <c r="BD357" s="831"/>
      <c r="BE357" s="918"/>
      <c r="BF357" s="831"/>
      <c r="BG357" s="818"/>
      <c r="BH357" s="818"/>
      <c r="BI357" s="918"/>
      <c r="BJ357" s="831"/>
      <c r="BK357" s="831"/>
      <c r="BL357" s="831"/>
      <c r="BM357" s="817">
        <f>+AC357+AG357+AK357+AO357+AS357+AW357+BA357+BE357+BI357</f>
        <v>97600000</v>
      </c>
      <c r="BN357" s="818">
        <f t="shared" si="783"/>
        <v>97600000</v>
      </c>
      <c r="BO357" s="818">
        <f t="shared" si="783"/>
        <v>58783333</v>
      </c>
      <c r="BP357" s="818">
        <f t="shared" si="783"/>
        <v>55011611</v>
      </c>
      <c r="BQ357" s="667"/>
      <c r="BR357" s="667"/>
      <c r="BS357" s="667"/>
      <c r="BT357" s="667"/>
      <c r="BU357" s="667"/>
      <c r="BV357" s="667"/>
      <c r="BW357" s="667"/>
      <c r="BX357" s="667"/>
      <c r="BY357" s="667"/>
      <c r="BZ357" s="667">
        <v>97600000</v>
      </c>
      <c r="CA357" s="667">
        <v>97600000</v>
      </c>
      <c r="CB357" s="667">
        <v>84174980</v>
      </c>
      <c r="CC357" s="667">
        <v>83182330</v>
      </c>
      <c r="CD357" s="667"/>
      <c r="CE357" s="667"/>
      <c r="CF357" s="667"/>
      <c r="CG357" s="667"/>
      <c r="CH357" s="667"/>
      <c r="CI357" s="667"/>
      <c r="CJ357" s="667"/>
      <c r="CK357" s="667"/>
      <c r="CL357" s="667"/>
      <c r="CM357" s="667"/>
      <c r="CN357" s="667"/>
      <c r="CO357" s="667"/>
      <c r="CP357" s="667"/>
      <c r="CQ357" s="667"/>
      <c r="CR357" s="667"/>
      <c r="CS357" s="667"/>
      <c r="CT357" s="667"/>
      <c r="CU357" s="667"/>
      <c r="CV357" s="667"/>
      <c r="CW357" s="667"/>
      <c r="CX357" s="667"/>
      <c r="CY357" s="667"/>
      <c r="CZ357" s="667"/>
      <c r="DA357" s="667"/>
      <c r="DB357" s="667"/>
      <c r="DC357" s="667"/>
      <c r="DD357" s="667"/>
      <c r="DE357" s="708">
        <f t="shared" si="784"/>
        <v>97600000</v>
      </c>
      <c r="DF357" s="708">
        <f t="shared" si="784"/>
        <v>97600000</v>
      </c>
      <c r="DG357" s="708">
        <f t="shared" si="784"/>
        <v>84174980</v>
      </c>
      <c r="DH357" s="708">
        <f t="shared" si="784"/>
        <v>83182330</v>
      </c>
      <c r="DI357" s="708"/>
      <c r="DJ357" s="667"/>
      <c r="DK357" s="667"/>
      <c r="DL357" s="667"/>
      <c r="DM357" s="667"/>
      <c r="DN357" s="667"/>
      <c r="DO357" s="667">
        <v>30081242</v>
      </c>
      <c r="DP357" s="667">
        <v>27443796</v>
      </c>
      <c r="DQ357" s="667">
        <v>27443796</v>
      </c>
      <c r="DR357" s="667"/>
      <c r="DS357" s="706">
        <v>48800000</v>
      </c>
      <c r="DT357" s="667">
        <v>73000000</v>
      </c>
      <c r="DU357" s="667">
        <v>66329158</v>
      </c>
      <c r="DV357" s="667">
        <v>66329158</v>
      </c>
      <c r="DW357" s="667"/>
      <c r="DX357" s="667"/>
      <c r="DY357" s="667"/>
      <c r="DZ357" s="667"/>
      <c r="EA357" s="667"/>
      <c r="EB357" s="667"/>
      <c r="EC357" s="667"/>
      <c r="ED357" s="667"/>
      <c r="EE357" s="667"/>
      <c r="EF357" s="667"/>
      <c r="EG357" s="667"/>
      <c r="EH357" s="667"/>
      <c r="EI357" s="667"/>
      <c r="EJ357" s="667"/>
      <c r="EK357" s="667"/>
      <c r="EL357" s="667"/>
      <c r="EM357" s="667"/>
      <c r="EN357" s="667"/>
      <c r="EO357" s="667"/>
      <c r="EP357" s="667"/>
      <c r="EQ357" s="667"/>
      <c r="ER357" s="667"/>
      <c r="ES357" s="667"/>
      <c r="ET357" s="667"/>
      <c r="EU357" s="667"/>
      <c r="EV357" s="667"/>
      <c r="EW357" s="708">
        <f t="shared" si="785"/>
        <v>48800000</v>
      </c>
      <c r="EX357" s="819">
        <f t="shared" si="785"/>
        <v>103081242</v>
      </c>
      <c r="EY357" s="819">
        <f t="shared" si="786"/>
        <v>93772954</v>
      </c>
      <c r="EZ357" s="819">
        <f t="shared" si="786"/>
        <v>93772954</v>
      </c>
      <c r="FA357" s="820"/>
      <c r="FB357" s="667"/>
      <c r="FC357" s="706"/>
      <c r="FD357" s="706"/>
      <c r="FE357" s="706"/>
      <c r="FF357" s="707"/>
      <c r="FG357" s="667"/>
      <c r="FH357" s="667">
        <v>35000000</v>
      </c>
      <c r="FI357" s="667"/>
      <c r="FJ357" s="667"/>
      <c r="FK357" s="667"/>
      <c r="FL357" s="667">
        <v>36600000</v>
      </c>
      <c r="FM357" s="667">
        <v>42904284</v>
      </c>
      <c r="FN357" s="667">
        <v>28440166</v>
      </c>
      <c r="FO357" s="667">
        <v>17133332</v>
      </c>
      <c r="FP357" s="667"/>
      <c r="FQ357" s="667"/>
      <c r="FR357" s="667"/>
      <c r="FS357" s="667"/>
      <c r="FT357" s="667"/>
      <c r="FU357" s="667"/>
      <c r="FV357" s="667"/>
      <c r="FW357" s="667"/>
      <c r="FX357" s="667"/>
      <c r="FY357" s="667"/>
      <c r="FZ357" s="667"/>
      <c r="GA357" s="667"/>
      <c r="GB357" s="667"/>
      <c r="GC357" s="667"/>
      <c r="GD357" s="667"/>
      <c r="GE357" s="667"/>
      <c r="GF357" s="667"/>
      <c r="GG357" s="667"/>
      <c r="GH357" s="667"/>
      <c r="GI357" s="667"/>
      <c r="GJ357" s="667"/>
      <c r="GK357" s="667"/>
      <c r="GL357" s="667"/>
      <c r="GM357" s="667"/>
      <c r="GN357" s="667"/>
      <c r="GO357" s="667"/>
      <c r="GP357" s="667"/>
      <c r="GQ357" s="667"/>
      <c r="GR357" s="667"/>
      <c r="GS357" s="667"/>
      <c r="GT357" s="667"/>
      <c r="GU357" s="708">
        <f>FB357+FG357+FL357+FQ357+FV357+GA357+GF357+GK357+GP357</f>
        <v>36600000</v>
      </c>
      <c r="GV357" s="708">
        <f t="shared" si="787"/>
        <v>77904284</v>
      </c>
      <c r="GW357" s="708">
        <f t="shared" si="787"/>
        <v>28440166</v>
      </c>
      <c r="GX357" s="708">
        <f t="shared" si="787"/>
        <v>17133332</v>
      </c>
      <c r="GY357" s="709">
        <f t="shared" si="787"/>
        <v>0</v>
      </c>
      <c r="GZ357" s="710">
        <f>BM357+DE357+EW357+GU357</f>
        <v>280600000</v>
      </c>
    </row>
    <row r="358" spans="1:208" s="711" customFormat="1" ht="60.75" customHeight="1" x14ac:dyDescent="0.2">
      <c r="A358" s="703"/>
      <c r="B358" s="703"/>
      <c r="C358" s="712"/>
      <c r="D358" s="713"/>
      <c r="E358" s="703"/>
      <c r="F358" s="703"/>
      <c r="G358" s="682">
        <v>239</v>
      </c>
      <c r="H358" s="676" t="s">
        <v>808</v>
      </c>
      <c r="I358" s="821" t="s">
        <v>809</v>
      </c>
      <c r="J358" s="682" t="s">
        <v>803</v>
      </c>
      <c r="K358" s="621">
        <v>12</v>
      </c>
      <c r="L358" s="621" t="s">
        <v>73</v>
      </c>
      <c r="M358" s="621" t="s">
        <v>53</v>
      </c>
      <c r="N358" s="621">
        <v>10</v>
      </c>
      <c r="O358" s="621">
        <v>1</v>
      </c>
      <c r="P358" s="893">
        <v>0.02</v>
      </c>
      <c r="Q358" s="621">
        <v>6</v>
      </c>
      <c r="R358" s="814"/>
      <c r="S358" s="893">
        <v>2</v>
      </c>
      <c r="T358" s="621">
        <v>2</v>
      </c>
      <c r="U358" s="621">
        <v>6</v>
      </c>
      <c r="V358" s="893">
        <v>9</v>
      </c>
      <c r="W358" s="621">
        <v>1</v>
      </c>
      <c r="X358" s="704">
        <v>1.98</v>
      </c>
      <c r="Y358" s="937">
        <v>0.5</v>
      </c>
      <c r="Z358" s="935">
        <f>BM358/$BM$354</f>
        <v>0.15007000000000001</v>
      </c>
      <c r="AA358" s="682">
        <v>11</v>
      </c>
      <c r="AB358" s="916" t="s">
        <v>229</v>
      </c>
      <c r="AC358" s="918"/>
      <c r="AD358" s="831"/>
      <c r="AE358" s="818"/>
      <c r="AF358" s="818"/>
      <c r="AG358" s="918"/>
      <c r="AH358" s="831"/>
      <c r="AI358" s="831"/>
      <c r="AJ358" s="831"/>
      <c r="AK358" s="830">
        <v>60028000</v>
      </c>
      <c r="AL358" s="831">
        <v>60028000</v>
      </c>
      <c r="AM358" s="831">
        <v>5000000</v>
      </c>
      <c r="AN358" s="831">
        <v>5000000</v>
      </c>
      <c r="AO358" s="918"/>
      <c r="AP358" s="831"/>
      <c r="AQ358" s="831"/>
      <c r="AR358" s="831"/>
      <c r="AS358" s="918"/>
      <c r="AT358" s="831"/>
      <c r="AU358" s="818"/>
      <c r="AV358" s="818"/>
      <c r="AW358" s="918"/>
      <c r="AX358" s="831"/>
      <c r="AY358" s="831"/>
      <c r="AZ358" s="831"/>
      <c r="BA358" s="918"/>
      <c r="BB358" s="831"/>
      <c r="BC358" s="831"/>
      <c r="BD358" s="831"/>
      <c r="BE358" s="918"/>
      <c r="BF358" s="831"/>
      <c r="BG358" s="818"/>
      <c r="BH358" s="818"/>
      <c r="BI358" s="918"/>
      <c r="BJ358" s="831"/>
      <c r="BK358" s="831"/>
      <c r="BL358" s="831"/>
      <c r="BM358" s="817">
        <f>+AC358+AG358+AK358+AO358+AS358+AW358+BA358+BE358+BI358</f>
        <v>60028000</v>
      </c>
      <c r="BN358" s="818">
        <f t="shared" si="783"/>
        <v>60028000</v>
      </c>
      <c r="BO358" s="818">
        <f t="shared" si="783"/>
        <v>5000000</v>
      </c>
      <c r="BP358" s="818">
        <f t="shared" si="783"/>
        <v>5000000</v>
      </c>
      <c r="BQ358" s="667"/>
      <c r="BR358" s="667"/>
      <c r="BS358" s="667"/>
      <c r="BT358" s="667"/>
      <c r="BU358" s="667"/>
      <c r="BV358" s="667"/>
      <c r="BW358" s="667"/>
      <c r="BX358" s="667"/>
      <c r="BY358" s="667"/>
      <c r="BZ358" s="667">
        <v>60028000</v>
      </c>
      <c r="CA358" s="667">
        <v>60028000</v>
      </c>
      <c r="CB358" s="667">
        <v>5625000</v>
      </c>
      <c r="CC358" s="667">
        <v>5625000</v>
      </c>
      <c r="CD358" s="667"/>
      <c r="CE358" s="667"/>
      <c r="CF358" s="667"/>
      <c r="CG358" s="667"/>
      <c r="CH358" s="667"/>
      <c r="CI358" s="667"/>
      <c r="CJ358" s="667"/>
      <c r="CK358" s="667"/>
      <c r="CL358" s="667"/>
      <c r="CM358" s="667"/>
      <c r="CN358" s="667"/>
      <c r="CO358" s="667"/>
      <c r="CP358" s="667"/>
      <c r="CQ358" s="667"/>
      <c r="CR358" s="667"/>
      <c r="CS358" s="667"/>
      <c r="CT358" s="667"/>
      <c r="CU358" s="667"/>
      <c r="CV358" s="667"/>
      <c r="CW358" s="667"/>
      <c r="CX358" s="667"/>
      <c r="CY358" s="667"/>
      <c r="CZ358" s="667"/>
      <c r="DA358" s="667"/>
      <c r="DB358" s="667"/>
      <c r="DC358" s="667"/>
      <c r="DD358" s="667"/>
      <c r="DE358" s="708">
        <f t="shared" si="784"/>
        <v>60028000</v>
      </c>
      <c r="DF358" s="708">
        <f t="shared" si="784"/>
        <v>60028000</v>
      </c>
      <c r="DG358" s="708">
        <f t="shared" si="784"/>
        <v>5625000</v>
      </c>
      <c r="DH358" s="708">
        <f t="shared" si="784"/>
        <v>5625000</v>
      </c>
      <c r="DI358" s="708"/>
      <c r="DJ358" s="667"/>
      <c r="DK358" s="667"/>
      <c r="DL358" s="667"/>
      <c r="DM358" s="667"/>
      <c r="DN358" s="667"/>
      <c r="DO358" s="667">
        <v>20000000</v>
      </c>
      <c r="DP358" s="667">
        <v>12009000</v>
      </c>
      <c r="DQ358" s="667">
        <v>12009000</v>
      </c>
      <c r="DR358" s="667"/>
      <c r="DS358" s="706">
        <v>30014000</v>
      </c>
      <c r="DT358" s="667">
        <v>45000000</v>
      </c>
      <c r="DU358" s="667">
        <v>12333320</v>
      </c>
      <c r="DV358" s="667">
        <v>12333320</v>
      </c>
      <c r="DW358" s="667"/>
      <c r="DX358" s="667"/>
      <c r="DY358" s="667"/>
      <c r="DZ358" s="667"/>
      <c r="EA358" s="667"/>
      <c r="EB358" s="667"/>
      <c r="EC358" s="667"/>
      <c r="ED358" s="667"/>
      <c r="EE358" s="667"/>
      <c r="EF358" s="667"/>
      <c r="EG358" s="667"/>
      <c r="EH358" s="667"/>
      <c r="EI358" s="667"/>
      <c r="EJ358" s="667"/>
      <c r="EK358" s="667"/>
      <c r="EL358" s="667"/>
      <c r="EM358" s="667"/>
      <c r="EN358" s="667"/>
      <c r="EO358" s="667"/>
      <c r="EP358" s="667"/>
      <c r="EQ358" s="667"/>
      <c r="ER358" s="667"/>
      <c r="ES358" s="667"/>
      <c r="ET358" s="667"/>
      <c r="EU358" s="667"/>
      <c r="EV358" s="667"/>
      <c r="EW358" s="708">
        <f t="shared" si="785"/>
        <v>30014000</v>
      </c>
      <c r="EX358" s="819">
        <f t="shared" si="785"/>
        <v>65000000</v>
      </c>
      <c r="EY358" s="819">
        <f t="shared" si="786"/>
        <v>24342320</v>
      </c>
      <c r="EZ358" s="819">
        <f t="shared" si="786"/>
        <v>24342320</v>
      </c>
      <c r="FA358" s="820"/>
      <c r="FB358" s="667"/>
      <c r="FC358" s="706"/>
      <c r="FD358" s="706"/>
      <c r="FE358" s="706"/>
      <c r="FF358" s="707"/>
      <c r="FG358" s="667"/>
      <c r="FH358" s="667">
        <v>20000000</v>
      </c>
      <c r="FI358" s="667"/>
      <c r="FJ358" s="667"/>
      <c r="FK358" s="667"/>
      <c r="FL358" s="667">
        <v>22600000</v>
      </c>
      <c r="FM358" s="616">
        <v>74800000</v>
      </c>
      <c r="FN358" s="667">
        <v>4170000</v>
      </c>
      <c r="FO358" s="667"/>
      <c r="FP358" s="667"/>
      <c r="FQ358" s="667"/>
      <c r="FR358" s="667">
        <v>169985263</v>
      </c>
      <c r="FS358" s="667"/>
      <c r="FT358" s="667"/>
      <c r="FU358" s="667"/>
      <c r="FV358" s="667"/>
      <c r="FW358" s="667"/>
      <c r="FX358" s="667"/>
      <c r="FY358" s="667"/>
      <c r="FZ358" s="667"/>
      <c r="GA358" s="667"/>
      <c r="GB358" s="667"/>
      <c r="GC358" s="667"/>
      <c r="GD358" s="667"/>
      <c r="GE358" s="667"/>
      <c r="GF358" s="667"/>
      <c r="GG358" s="667"/>
      <c r="GH358" s="667"/>
      <c r="GI358" s="667"/>
      <c r="GJ358" s="667"/>
      <c r="GK358" s="667"/>
      <c r="GL358" s="667"/>
      <c r="GM358" s="667"/>
      <c r="GN358" s="667"/>
      <c r="GO358" s="667"/>
      <c r="GP358" s="667"/>
      <c r="GQ358" s="667"/>
      <c r="GR358" s="667"/>
      <c r="GS358" s="667"/>
      <c r="GT358" s="667"/>
      <c r="GU358" s="708">
        <f>FB358+FG358+FL358+FQ358+FV358+GA358+GF358+GK358+GP358</f>
        <v>22600000</v>
      </c>
      <c r="GV358" s="708">
        <f t="shared" si="787"/>
        <v>264785263</v>
      </c>
      <c r="GW358" s="708">
        <f t="shared" si="787"/>
        <v>4170000</v>
      </c>
      <c r="GX358" s="708">
        <f t="shared" si="787"/>
        <v>0</v>
      </c>
      <c r="GY358" s="709">
        <f t="shared" si="787"/>
        <v>0</v>
      </c>
      <c r="GZ358" s="710">
        <f>BM358+DE358+EW358+GU358</f>
        <v>172670000</v>
      </c>
    </row>
    <row r="359" spans="1:208" s="711" customFormat="1" ht="118.5" customHeight="1" x14ac:dyDescent="0.2">
      <c r="A359" s="703"/>
      <c r="B359" s="703"/>
      <c r="C359" s="704"/>
      <c r="D359" s="705"/>
      <c r="E359" s="703"/>
      <c r="F359" s="703"/>
      <c r="G359" s="682">
        <v>240</v>
      </c>
      <c r="H359" s="676" t="s">
        <v>810</v>
      </c>
      <c r="I359" s="938" t="s">
        <v>811</v>
      </c>
      <c r="J359" s="682" t="s">
        <v>803</v>
      </c>
      <c r="K359" s="621">
        <v>12</v>
      </c>
      <c r="L359" s="621" t="s">
        <v>58</v>
      </c>
      <c r="M359" s="621">
        <v>1</v>
      </c>
      <c r="N359" s="621">
        <v>1</v>
      </c>
      <c r="O359" s="621">
        <v>1</v>
      </c>
      <c r="P359" s="851">
        <v>1</v>
      </c>
      <c r="Q359" s="621">
        <v>1</v>
      </c>
      <c r="R359" s="931"/>
      <c r="S359" s="893">
        <v>1</v>
      </c>
      <c r="T359" s="621">
        <v>1</v>
      </c>
      <c r="U359" s="621"/>
      <c r="V359" s="893">
        <v>1</v>
      </c>
      <c r="W359" s="621">
        <v>1</v>
      </c>
      <c r="X359" s="704"/>
      <c r="Y359" s="651">
        <v>0.6</v>
      </c>
      <c r="Z359" s="935">
        <f>BM359/$BM$354</f>
        <v>0.30168</v>
      </c>
      <c r="AA359" s="682">
        <v>11</v>
      </c>
      <c r="AB359" s="916" t="s">
        <v>229</v>
      </c>
      <c r="AC359" s="918"/>
      <c r="AD359" s="831"/>
      <c r="AE359" s="818"/>
      <c r="AF359" s="818"/>
      <c r="AG359" s="918"/>
      <c r="AH359" s="831"/>
      <c r="AI359" s="831"/>
      <c r="AJ359" s="831"/>
      <c r="AK359" s="830">
        <f>80800000+39872000</f>
        <v>120672000</v>
      </c>
      <c r="AL359" s="831">
        <v>120672000</v>
      </c>
      <c r="AM359" s="831">
        <v>107990980</v>
      </c>
      <c r="AN359" s="831">
        <v>106366980</v>
      </c>
      <c r="AO359" s="918"/>
      <c r="AP359" s="831"/>
      <c r="AQ359" s="831"/>
      <c r="AR359" s="831"/>
      <c r="AS359" s="918"/>
      <c r="AT359" s="831"/>
      <c r="AU359" s="818"/>
      <c r="AV359" s="818"/>
      <c r="AW359" s="918"/>
      <c r="AX359" s="831"/>
      <c r="AY359" s="831"/>
      <c r="AZ359" s="831"/>
      <c r="BA359" s="918"/>
      <c r="BB359" s="831"/>
      <c r="BC359" s="831"/>
      <c r="BD359" s="831"/>
      <c r="BE359" s="918"/>
      <c r="BF359" s="831"/>
      <c r="BG359" s="818"/>
      <c r="BH359" s="818"/>
      <c r="BI359" s="918"/>
      <c r="BJ359" s="831"/>
      <c r="BK359" s="831"/>
      <c r="BL359" s="831"/>
      <c r="BM359" s="817">
        <f>+AC359+AG359+AK359+AO359+AS359+AW359+BA359+BE359+BI359</f>
        <v>120672000</v>
      </c>
      <c r="BN359" s="818">
        <f t="shared" si="783"/>
        <v>120672000</v>
      </c>
      <c r="BO359" s="818">
        <f t="shared" si="783"/>
        <v>107990980</v>
      </c>
      <c r="BP359" s="818">
        <f t="shared" si="783"/>
        <v>106366980</v>
      </c>
      <c r="BQ359" s="667"/>
      <c r="BR359" s="667"/>
      <c r="BS359" s="667"/>
      <c r="BT359" s="667"/>
      <c r="BU359" s="667"/>
      <c r="BV359" s="667">
        <v>107500000</v>
      </c>
      <c r="BW359" s="667">
        <v>47624766</v>
      </c>
      <c r="BX359" s="667">
        <v>47624766</v>
      </c>
      <c r="BY359" s="667"/>
      <c r="BZ359" s="667">
        <v>120672000</v>
      </c>
      <c r="CA359" s="667">
        <v>120672000</v>
      </c>
      <c r="CB359" s="667">
        <v>108257346</v>
      </c>
      <c r="CC359" s="667">
        <v>108257346</v>
      </c>
      <c r="CD359" s="667"/>
      <c r="CE359" s="667"/>
      <c r="CF359" s="667"/>
      <c r="CG359" s="667"/>
      <c r="CH359" s="667"/>
      <c r="CI359" s="667"/>
      <c r="CJ359" s="667"/>
      <c r="CK359" s="667"/>
      <c r="CL359" s="667"/>
      <c r="CM359" s="667"/>
      <c r="CN359" s="667"/>
      <c r="CO359" s="667"/>
      <c r="CP359" s="667"/>
      <c r="CQ359" s="667"/>
      <c r="CR359" s="667"/>
      <c r="CS359" s="667"/>
      <c r="CT359" s="667"/>
      <c r="CU359" s="667"/>
      <c r="CV359" s="667"/>
      <c r="CW359" s="667"/>
      <c r="CX359" s="667"/>
      <c r="CY359" s="667"/>
      <c r="CZ359" s="667"/>
      <c r="DA359" s="667"/>
      <c r="DB359" s="667"/>
      <c r="DC359" s="667"/>
      <c r="DD359" s="667"/>
      <c r="DE359" s="708">
        <f t="shared" si="784"/>
        <v>120672000</v>
      </c>
      <c r="DF359" s="708">
        <f t="shared" si="784"/>
        <v>228172000</v>
      </c>
      <c r="DG359" s="708">
        <f t="shared" si="784"/>
        <v>155882112</v>
      </c>
      <c r="DH359" s="708">
        <f t="shared" si="784"/>
        <v>155882112</v>
      </c>
      <c r="DI359" s="708"/>
      <c r="DJ359" s="667"/>
      <c r="DK359" s="667"/>
      <c r="DL359" s="667"/>
      <c r="DM359" s="667"/>
      <c r="DN359" s="667"/>
      <c r="DO359" s="667">
        <v>70000000</v>
      </c>
      <c r="DP359" s="667">
        <v>63897796</v>
      </c>
      <c r="DQ359" s="667">
        <v>63897796</v>
      </c>
      <c r="DR359" s="667"/>
      <c r="DS359" s="706">
        <v>60336000</v>
      </c>
      <c r="DT359" s="667">
        <v>350000000</v>
      </c>
      <c r="DU359" s="667">
        <v>167288115</v>
      </c>
      <c r="DV359" s="667">
        <v>166676115</v>
      </c>
      <c r="DW359" s="667"/>
      <c r="DX359" s="667"/>
      <c r="DY359" s="667"/>
      <c r="DZ359" s="667"/>
      <c r="EA359" s="667"/>
      <c r="EB359" s="667"/>
      <c r="EC359" s="667"/>
      <c r="ED359" s="667"/>
      <c r="EE359" s="667"/>
      <c r="EF359" s="667"/>
      <c r="EG359" s="667"/>
      <c r="EH359" s="667"/>
      <c r="EI359" s="667"/>
      <c r="EJ359" s="667"/>
      <c r="EK359" s="667"/>
      <c r="EL359" s="667"/>
      <c r="EM359" s="667"/>
      <c r="EN359" s="667"/>
      <c r="EO359" s="667"/>
      <c r="EP359" s="667"/>
      <c r="EQ359" s="667"/>
      <c r="ER359" s="667"/>
      <c r="ES359" s="667"/>
      <c r="ET359" s="667"/>
      <c r="EU359" s="667"/>
      <c r="EV359" s="667"/>
      <c r="EW359" s="708">
        <f t="shared" si="785"/>
        <v>60336000</v>
      </c>
      <c r="EX359" s="819">
        <f t="shared" si="785"/>
        <v>420000000</v>
      </c>
      <c r="EY359" s="819">
        <f t="shared" si="786"/>
        <v>231185911</v>
      </c>
      <c r="EZ359" s="819">
        <f t="shared" si="786"/>
        <v>230573911</v>
      </c>
      <c r="FA359" s="820"/>
      <c r="FB359" s="667"/>
      <c r="FC359" s="706"/>
      <c r="FD359" s="706"/>
      <c r="FE359" s="706"/>
      <c r="FF359" s="707"/>
      <c r="FG359" s="667"/>
      <c r="FH359" s="667">
        <v>138682000</v>
      </c>
      <c r="FI359" s="667"/>
      <c r="FJ359" s="667"/>
      <c r="FK359" s="667"/>
      <c r="FL359" s="667">
        <v>45300000</v>
      </c>
      <c r="FM359" s="667">
        <v>278145716</v>
      </c>
      <c r="FN359" s="667">
        <v>270862166</v>
      </c>
      <c r="FO359" s="667">
        <v>107035298</v>
      </c>
      <c r="FP359" s="667"/>
      <c r="FQ359" s="667"/>
      <c r="FR359" s="667"/>
      <c r="FS359" s="667"/>
      <c r="FT359" s="667"/>
      <c r="FU359" s="667"/>
      <c r="FV359" s="667"/>
      <c r="FW359" s="667"/>
      <c r="FX359" s="667"/>
      <c r="FY359" s="667"/>
      <c r="FZ359" s="667"/>
      <c r="GA359" s="667"/>
      <c r="GB359" s="667"/>
      <c r="GC359" s="667"/>
      <c r="GD359" s="667"/>
      <c r="GE359" s="667"/>
      <c r="GF359" s="667"/>
      <c r="GG359" s="667"/>
      <c r="GH359" s="667"/>
      <c r="GI359" s="667"/>
      <c r="GJ359" s="667"/>
      <c r="GK359" s="667"/>
      <c r="GL359" s="667"/>
      <c r="GM359" s="667"/>
      <c r="GN359" s="667"/>
      <c r="GO359" s="667"/>
      <c r="GP359" s="667"/>
      <c r="GQ359" s="667"/>
      <c r="GR359" s="667"/>
      <c r="GS359" s="667"/>
      <c r="GT359" s="667"/>
      <c r="GU359" s="708">
        <f>FB359+FG359+FL359+FQ359+FV359+GA359+GF359+GK359+GP359</f>
        <v>45300000</v>
      </c>
      <c r="GV359" s="708">
        <f t="shared" si="787"/>
        <v>416827716</v>
      </c>
      <c r="GW359" s="708">
        <f t="shared" si="787"/>
        <v>270862166</v>
      </c>
      <c r="GX359" s="708">
        <f t="shared" si="787"/>
        <v>107035298</v>
      </c>
      <c r="GY359" s="709">
        <f t="shared" si="787"/>
        <v>0</v>
      </c>
      <c r="GZ359" s="710">
        <f>BM359+DE359+EW359+GU359</f>
        <v>346980000</v>
      </c>
    </row>
    <row r="360" spans="1:208" ht="24.75" customHeight="1" x14ac:dyDescent="0.2">
      <c r="A360" s="326"/>
      <c r="B360" s="326"/>
      <c r="C360" s="246">
        <v>82</v>
      </c>
      <c r="D360" s="552" t="s">
        <v>812</v>
      </c>
      <c r="E360" s="338"/>
      <c r="F360" s="338"/>
      <c r="G360" s="251"/>
      <c r="H360" s="251"/>
      <c r="I360" s="251"/>
      <c r="J360" s="251"/>
      <c r="K360" s="251"/>
      <c r="L360" s="251"/>
      <c r="M360" s="251"/>
      <c r="N360" s="251"/>
      <c r="O360" s="251"/>
      <c r="P360" s="251"/>
      <c r="Q360" s="251"/>
      <c r="R360" s="251"/>
      <c r="S360" s="251"/>
      <c r="T360" s="251"/>
      <c r="U360" s="251"/>
      <c r="V360" s="251"/>
      <c r="W360" s="251"/>
      <c r="X360" s="251"/>
      <c r="Y360" s="252"/>
      <c r="Z360" s="251"/>
      <c r="AA360" s="251"/>
      <c r="AB360" s="251"/>
      <c r="AC360" s="51">
        <f t="shared" ref="AC360:BL360" si="788">SUM(AC361:AC362)</f>
        <v>0</v>
      </c>
      <c r="AD360" s="51">
        <f t="shared" si="788"/>
        <v>0</v>
      </c>
      <c r="AE360" s="51">
        <f t="shared" si="788"/>
        <v>0</v>
      </c>
      <c r="AF360" s="51">
        <f t="shared" si="788"/>
        <v>0</v>
      </c>
      <c r="AG360" s="51">
        <f t="shared" si="788"/>
        <v>0</v>
      </c>
      <c r="AH360" s="51">
        <f t="shared" si="788"/>
        <v>0</v>
      </c>
      <c r="AI360" s="51">
        <f t="shared" si="788"/>
        <v>0</v>
      </c>
      <c r="AJ360" s="51">
        <f t="shared" si="788"/>
        <v>0</v>
      </c>
      <c r="AK360" s="51">
        <f t="shared" si="788"/>
        <v>80000000</v>
      </c>
      <c r="AL360" s="51">
        <f t="shared" si="788"/>
        <v>80000000</v>
      </c>
      <c r="AM360" s="51">
        <f t="shared" si="788"/>
        <v>43468250</v>
      </c>
      <c r="AN360" s="51">
        <f t="shared" si="788"/>
        <v>38758750</v>
      </c>
      <c r="AO360" s="51">
        <f t="shared" si="788"/>
        <v>0</v>
      </c>
      <c r="AP360" s="51">
        <f t="shared" si="788"/>
        <v>0</v>
      </c>
      <c r="AQ360" s="51">
        <f t="shared" si="788"/>
        <v>0</v>
      </c>
      <c r="AR360" s="51">
        <f t="shared" si="788"/>
        <v>0</v>
      </c>
      <c r="AS360" s="51">
        <f t="shared" si="788"/>
        <v>0</v>
      </c>
      <c r="AT360" s="51">
        <f t="shared" si="788"/>
        <v>0</v>
      </c>
      <c r="AU360" s="51">
        <f t="shared" si="788"/>
        <v>0</v>
      </c>
      <c r="AV360" s="51">
        <f t="shared" si="788"/>
        <v>0</v>
      </c>
      <c r="AW360" s="51">
        <f t="shared" si="788"/>
        <v>0</v>
      </c>
      <c r="AX360" s="51">
        <f t="shared" si="788"/>
        <v>0</v>
      </c>
      <c r="AY360" s="51">
        <f t="shared" si="788"/>
        <v>0</v>
      </c>
      <c r="AZ360" s="51">
        <f t="shared" si="788"/>
        <v>0</v>
      </c>
      <c r="BA360" s="51">
        <f t="shared" si="788"/>
        <v>0</v>
      </c>
      <c r="BB360" s="51">
        <f t="shared" si="788"/>
        <v>0</v>
      </c>
      <c r="BC360" s="51">
        <f t="shared" si="788"/>
        <v>0</v>
      </c>
      <c r="BD360" s="51">
        <f t="shared" si="788"/>
        <v>0</v>
      </c>
      <c r="BE360" s="51">
        <f t="shared" si="788"/>
        <v>0</v>
      </c>
      <c r="BF360" s="51">
        <f t="shared" si="788"/>
        <v>0</v>
      </c>
      <c r="BG360" s="51">
        <f t="shared" si="788"/>
        <v>0</v>
      </c>
      <c r="BH360" s="51">
        <f t="shared" si="788"/>
        <v>0</v>
      </c>
      <c r="BI360" s="51">
        <f t="shared" si="788"/>
        <v>0</v>
      </c>
      <c r="BJ360" s="51">
        <f t="shared" si="788"/>
        <v>0</v>
      </c>
      <c r="BK360" s="51">
        <f t="shared" si="788"/>
        <v>0</v>
      </c>
      <c r="BL360" s="51">
        <f t="shared" si="788"/>
        <v>0</v>
      </c>
      <c r="BM360" s="51">
        <f t="shared" ref="BM360:DX360" si="789">SUM(BM361:BM362)</f>
        <v>80000000</v>
      </c>
      <c r="BN360" s="51">
        <f t="shared" si="789"/>
        <v>80000000</v>
      </c>
      <c r="BO360" s="51">
        <f t="shared" si="789"/>
        <v>43468250</v>
      </c>
      <c r="BP360" s="51">
        <f t="shared" si="789"/>
        <v>38758750</v>
      </c>
      <c r="BQ360" s="51">
        <f t="shared" si="789"/>
        <v>0</v>
      </c>
      <c r="BR360" s="51">
        <f t="shared" si="789"/>
        <v>0</v>
      </c>
      <c r="BS360" s="51">
        <f t="shared" si="789"/>
        <v>0</v>
      </c>
      <c r="BT360" s="51">
        <f t="shared" si="789"/>
        <v>0</v>
      </c>
      <c r="BU360" s="51">
        <f t="shared" si="789"/>
        <v>0</v>
      </c>
      <c r="BV360" s="51">
        <f t="shared" si="789"/>
        <v>0</v>
      </c>
      <c r="BW360" s="51">
        <f t="shared" si="789"/>
        <v>0</v>
      </c>
      <c r="BX360" s="51">
        <f t="shared" si="789"/>
        <v>0</v>
      </c>
      <c r="BY360" s="51">
        <f t="shared" si="789"/>
        <v>0</v>
      </c>
      <c r="BZ360" s="51">
        <f t="shared" si="789"/>
        <v>90000000</v>
      </c>
      <c r="CA360" s="51">
        <f t="shared" si="789"/>
        <v>90000000</v>
      </c>
      <c r="CB360" s="51">
        <f t="shared" si="789"/>
        <v>62520300</v>
      </c>
      <c r="CC360" s="51">
        <f t="shared" si="789"/>
        <v>62520300</v>
      </c>
      <c r="CD360" s="51">
        <f t="shared" si="789"/>
        <v>0</v>
      </c>
      <c r="CE360" s="51">
        <f t="shared" si="789"/>
        <v>0</v>
      </c>
      <c r="CF360" s="51">
        <f t="shared" si="789"/>
        <v>0</v>
      </c>
      <c r="CG360" s="51">
        <f t="shared" si="789"/>
        <v>0</v>
      </c>
      <c r="CH360" s="51">
        <f t="shared" si="789"/>
        <v>0</v>
      </c>
      <c r="CI360" s="51">
        <f t="shared" si="789"/>
        <v>0</v>
      </c>
      <c r="CJ360" s="51">
        <f t="shared" si="789"/>
        <v>0</v>
      </c>
      <c r="CK360" s="51">
        <f t="shared" si="789"/>
        <v>0</v>
      </c>
      <c r="CL360" s="51">
        <f t="shared" si="789"/>
        <v>0</v>
      </c>
      <c r="CM360" s="51">
        <f t="shared" si="789"/>
        <v>0</v>
      </c>
      <c r="CN360" s="51">
        <f t="shared" si="789"/>
        <v>0</v>
      </c>
      <c r="CO360" s="51">
        <f t="shared" si="789"/>
        <v>0</v>
      </c>
      <c r="CP360" s="51">
        <f t="shared" si="789"/>
        <v>0</v>
      </c>
      <c r="CQ360" s="51">
        <f t="shared" si="789"/>
        <v>0</v>
      </c>
      <c r="CR360" s="51">
        <f t="shared" si="789"/>
        <v>0</v>
      </c>
      <c r="CS360" s="51">
        <f t="shared" si="789"/>
        <v>0</v>
      </c>
      <c r="CT360" s="51">
        <f t="shared" si="789"/>
        <v>0</v>
      </c>
      <c r="CU360" s="51">
        <f t="shared" si="789"/>
        <v>0</v>
      </c>
      <c r="CV360" s="51">
        <f t="shared" si="789"/>
        <v>0</v>
      </c>
      <c r="CW360" s="51">
        <f t="shared" si="789"/>
        <v>0</v>
      </c>
      <c r="CX360" s="51">
        <f t="shared" si="789"/>
        <v>0</v>
      </c>
      <c r="CY360" s="51">
        <f t="shared" si="789"/>
        <v>0</v>
      </c>
      <c r="CZ360" s="51">
        <f t="shared" si="789"/>
        <v>0</v>
      </c>
      <c r="DA360" s="51">
        <f t="shared" si="789"/>
        <v>0</v>
      </c>
      <c r="DB360" s="51">
        <f t="shared" si="789"/>
        <v>0</v>
      </c>
      <c r="DC360" s="51">
        <f t="shared" si="789"/>
        <v>0</v>
      </c>
      <c r="DD360" s="51">
        <f t="shared" si="789"/>
        <v>0</v>
      </c>
      <c r="DE360" s="51">
        <f t="shared" si="789"/>
        <v>90000000</v>
      </c>
      <c r="DF360" s="51">
        <f t="shared" si="789"/>
        <v>90000000</v>
      </c>
      <c r="DG360" s="51">
        <f t="shared" si="789"/>
        <v>62520300</v>
      </c>
      <c r="DH360" s="51">
        <f t="shared" si="789"/>
        <v>62520300</v>
      </c>
      <c r="DI360" s="51">
        <f t="shared" si="789"/>
        <v>0</v>
      </c>
      <c r="DJ360" s="51">
        <f t="shared" si="789"/>
        <v>0</v>
      </c>
      <c r="DK360" s="51">
        <f t="shared" si="789"/>
        <v>0</v>
      </c>
      <c r="DL360" s="51">
        <f t="shared" si="789"/>
        <v>0</v>
      </c>
      <c r="DM360" s="51">
        <f t="shared" si="789"/>
        <v>0</v>
      </c>
      <c r="DN360" s="51">
        <f t="shared" si="789"/>
        <v>0</v>
      </c>
      <c r="DO360" s="51">
        <f t="shared" si="789"/>
        <v>27479700</v>
      </c>
      <c r="DP360" s="51">
        <f t="shared" si="789"/>
        <v>27479700</v>
      </c>
      <c r="DQ360" s="51">
        <f t="shared" si="789"/>
        <v>27479700</v>
      </c>
      <c r="DR360" s="51">
        <f t="shared" si="789"/>
        <v>0</v>
      </c>
      <c r="DS360" s="51">
        <f t="shared" si="789"/>
        <v>80000000</v>
      </c>
      <c r="DT360" s="51">
        <f t="shared" si="789"/>
        <v>85000000</v>
      </c>
      <c r="DU360" s="51">
        <f t="shared" si="789"/>
        <v>68253864</v>
      </c>
      <c r="DV360" s="51">
        <f t="shared" si="789"/>
        <v>68253864</v>
      </c>
      <c r="DW360" s="51">
        <f t="shared" si="789"/>
        <v>0</v>
      </c>
      <c r="DX360" s="51">
        <f t="shared" si="789"/>
        <v>0</v>
      </c>
      <c r="DY360" s="51">
        <f t="shared" ref="DY360:EW360" si="790">SUM(DY361:DY362)</f>
        <v>0</v>
      </c>
      <c r="DZ360" s="51">
        <f t="shared" si="790"/>
        <v>0</v>
      </c>
      <c r="EA360" s="51">
        <f t="shared" si="790"/>
        <v>0</v>
      </c>
      <c r="EB360" s="51">
        <f t="shared" si="790"/>
        <v>0</v>
      </c>
      <c r="EC360" s="51">
        <f t="shared" si="790"/>
        <v>0</v>
      </c>
      <c r="ED360" s="51">
        <f t="shared" si="790"/>
        <v>0</v>
      </c>
      <c r="EE360" s="51">
        <f t="shared" si="790"/>
        <v>0</v>
      </c>
      <c r="EF360" s="51">
        <f t="shared" si="790"/>
        <v>0</v>
      </c>
      <c r="EG360" s="51">
        <f t="shared" si="790"/>
        <v>0</v>
      </c>
      <c r="EH360" s="51">
        <f t="shared" si="790"/>
        <v>0</v>
      </c>
      <c r="EI360" s="51">
        <f t="shared" si="790"/>
        <v>0</v>
      </c>
      <c r="EJ360" s="51">
        <f t="shared" si="790"/>
        <v>0</v>
      </c>
      <c r="EK360" s="51">
        <f t="shared" si="790"/>
        <v>0</v>
      </c>
      <c r="EL360" s="51">
        <f t="shared" si="790"/>
        <v>0</v>
      </c>
      <c r="EM360" s="51">
        <f t="shared" si="790"/>
        <v>0</v>
      </c>
      <c r="EN360" s="51">
        <f t="shared" si="790"/>
        <v>0</v>
      </c>
      <c r="EO360" s="51">
        <f t="shared" si="790"/>
        <v>0</v>
      </c>
      <c r="EP360" s="51">
        <f t="shared" si="790"/>
        <v>0</v>
      </c>
      <c r="EQ360" s="51">
        <f t="shared" si="790"/>
        <v>0</v>
      </c>
      <c r="ER360" s="51">
        <f t="shared" si="790"/>
        <v>0</v>
      </c>
      <c r="ES360" s="51">
        <f t="shared" si="790"/>
        <v>0</v>
      </c>
      <c r="ET360" s="51">
        <f t="shared" si="790"/>
        <v>0</v>
      </c>
      <c r="EU360" s="51">
        <f t="shared" si="790"/>
        <v>0</v>
      </c>
      <c r="EV360" s="51">
        <f t="shared" si="790"/>
        <v>0</v>
      </c>
      <c r="EW360" s="51">
        <f t="shared" si="790"/>
        <v>80000000</v>
      </c>
      <c r="EX360" s="51">
        <f t="shared" ref="EX360:GZ360" si="791">SUM(EX361:EX362)</f>
        <v>112479700</v>
      </c>
      <c r="EY360" s="51">
        <f t="shared" si="791"/>
        <v>95733564</v>
      </c>
      <c r="EZ360" s="51">
        <f t="shared" si="791"/>
        <v>95733564</v>
      </c>
      <c r="FA360" s="51">
        <f t="shared" si="791"/>
        <v>0</v>
      </c>
      <c r="FB360" s="51">
        <f t="shared" si="791"/>
        <v>0</v>
      </c>
      <c r="FC360" s="51">
        <f t="shared" si="791"/>
        <v>0</v>
      </c>
      <c r="FD360" s="51">
        <f t="shared" si="791"/>
        <v>0</v>
      </c>
      <c r="FE360" s="51">
        <f t="shared" si="791"/>
        <v>0</v>
      </c>
      <c r="FF360" s="51">
        <f t="shared" si="791"/>
        <v>0</v>
      </c>
      <c r="FG360" s="51">
        <f t="shared" si="791"/>
        <v>0</v>
      </c>
      <c r="FH360" s="51">
        <f t="shared" si="791"/>
        <v>0</v>
      </c>
      <c r="FI360" s="51">
        <f t="shared" si="791"/>
        <v>0</v>
      </c>
      <c r="FJ360" s="51">
        <f t="shared" si="791"/>
        <v>0</v>
      </c>
      <c r="FK360" s="51">
        <f t="shared" si="791"/>
        <v>0</v>
      </c>
      <c r="FL360" s="51">
        <f t="shared" si="791"/>
        <v>80000000</v>
      </c>
      <c r="FM360" s="51">
        <f t="shared" si="791"/>
        <v>84323515</v>
      </c>
      <c r="FN360" s="51">
        <f t="shared" si="791"/>
        <v>24962200</v>
      </c>
      <c r="FO360" s="51">
        <f t="shared" si="791"/>
        <v>12311200</v>
      </c>
      <c r="FP360" s="51">
        <f t="shared" si="791"/>
        <v>0</v>
      </c>
      <c r="FQ360" s="51">
        <f t="shared" si="791"/>
        <v>0</v>
      </c>
      <c r="FR360" s="51">
        <f t="shared" si="791"/>
        <v>0</v>
      </c>
      <c r="FS360" s="51">
        <f t="shared" si="791"/>
        <v>0</v>
      </c>
      <c r="FT360" s="51">
        <f t="shared" si="791"/>
        <v>0</v>
      </c>
      <c r="FU360" s="51">
        <f t="shared" si="791"/>
        <v>0</v>
      </c>
      <c r="FV360" s="51">
        <f t="shared" si="791"/>
        <v>0</v>
      </c>
      <c r="FW360" s="51">
        <f t="shared" si="791"/>
        <v>0</v>
      </c>
      <c r="FX360" s="51">
        <f t="shared" si="791"/>
        <v>0</v>
      </c>
      <c r="FY360" s="51">
        <f t="shared" si="791"/>
        <v>0</v>
      </c>
      <c r="FZ360" s="51">
        <f t="shared" si="791"/>
        <v>0</v>
      </c>
      <c r="GA360" s="51">
        <f t="shared" si="791"/>
        <v>0</v>
      </c>
      <c r="GB360" s="51">
        <f t="shared" si="791"/>
        <v>0</v>
      </c>
      <c r="GC360" s="51">
        <f t="shared" si="791"/>
        <v>0</v>
      </c>
      <c r="GD360" s="51">
        <f t="shared" si="791"/>
        <v>0</v>
      </c>
      <c r="GE360" s="51">
        <f t="shared" si="791"/>
        <v>0</v>
      </c>
      <c r="GF360" s="51">
        <f t="shared" si="791"/>
        <v>0</v>
      </c>
      <c r="GG360" s="51">
        <f t="shared" si="791"/>
        <v>0</v>
      </c>
      <c r="GH360" s="51">
        <f t="shared" si="791"/>
        <v>0</v>
      </c>
      <c r="GI360" s="51">
        <f t="shared" si="791"/>
        <v>0</v>
      </c>
      <c r="GJ360" s="51">
        <f t="shared" si="791"/>
        <v>0</v>
      </c>
      <c r="GK360" s="51">
        <f t="shared" si="791"/>
        <v>0</v>
      </c>
      <c r="GL360" s="51">
        <f t="shared" si="791"/>
        <v>0</v>
      </c>
      <c r="GM360" s="51">
        <f t="shared" si="791"/>
        <v>0</v>
      </c>
      <c r="GN360" s="51">
        <f t="shared" si="791"/>
        <v>0</v>
      </c>
      <c r="GO360" s="51">
        <f t="shared" si="791"/>
        <v>0</v>
      </c>
      <c r="GP360" s="51">
        <f t="shared" si="791"/>
        <v>0</v>
      </c>
      <c r="GQ360" s="51">
        <f t="shared" si="791"/>
        <v>0</v>
      </c>
      <c r="GR360" s="51">
        <f t="shared" si="791"/>
        <v>0</v>
      </c>
      <c r="GS360" s="51">
        <f t="shared" si="791"/>
        <v>0</v>
      </c>
      <c r="GT360" s="51">
        <f t="shared" si="791"/>
        <v>0</v>
      </c>
      <c r="GU360" s="51">
        <f t="shared" si="791"/>
        <v>80000000</v>
      </c>
      <c r="GV360" s="51">
        <f t="shared" si="791"/>
        <v>84323515</v>
      </c>
      <c r="GW360" s="51">
        <f t="shared" si="791"/>
        <v>24962200</v>
      </c>
      <c r="GX360" s="51">
        <f t="shared" si="791"/>
        <v>12311200</v>
      </c>
      <c r="GY360" s="51">
        <f t="shared" si="791"/>
        <v>0</v>
      </c>
      <c r="GZ360" s="51">
        <f t="shared" si="791"/>
        <v>330000000</v>
      </c>
    </row>
    <row r="361" spans="1:208" ht="120.75" customHeight="1" x14ac:dyDescent="0.2">
      <c r="A361" s="326"/>
      <c r="B361" s="326"/>
      <c r="C361" s="717">
        <v>38</v>
      </c>
      <c r="D361" s="1055" t="s">
        <v>800</v>
      </c>
      <c r="E361" s="456">
        <v>0</v>
      </c>
      <c r="F361" s="456">
        <v>2</v>
      </c>
      <c r="G361" s="265">
        <v>241</v>
      </c>
      <c r="H361" s="261" t="s">
        <v>813</v>
      </c>
      <c r="I361" s="275" t="s">
        <v>814</v>
      </c>
      <c r="J361" s="265" t="s">
        <v>803</v>
      </c>
      <c r="K361" s="259">
        <v>12</v>
      </c>
      <c r="L361" s="288" t="s">
        <v>58</v>
      </c>
      <c r="M361" s="288">
        <v>1</v>
      </c>
      <c r="N361" s="288">
        <v>1</v>
      </c>
      <c r="O361" s="306">
        <v>1</v>
      </c>
      <c r="P361" s="553">
        <v>1</v>
      </c>
      <c r="Q361" s="279">
        <v>1</v>
      </c>
      <c r="R361" s="268"/>
      <c r="S361" s="551">
        <v>1</v>
      </c>
      <c r="T361" s="279">
        <v>1</v>
      </c>
      <c r="U361" s="279"/>
      <c r="V361" s="551">
        <v>1</v>
      </c>
      <c r="W361" s="279">
        <v>1</v>
      </c>
      <c r="X361" s="279"/>
      <c r="Y361" s="701">
        <v>0.68</v>
      </c>
      <c r="Z361" s="508">
        <f>BM361/BM360</f>
        <v>0.5625</v>
      </c>
      <c r="AA361" s="264">
        <v>11</v>
      </c>
      <c r="AB361" s="263" t="s">
        <v>229</v>
      </c>
      <c r="AC361" s="57"/>
      <c r="AD361" s="58"/>
      <c r="AE361" s="59"/>
      <c r="AF361" s="59"/>
      <c r="AG361" s="57"/>
      <c r="AH361" s="58"/>
      <c r="AI361" s="58"/>
      <c r="AJ361" s="58"/>
      <c r="AK361" s="57">
        <v>45000000</v>
      </c>
      <c r="AL361" s="55">
        <v>45000000</v>
      </c>
      <c r="AM361" s="58">
        <v>14709500</v>
      </c>
      <c r="AN361" s="58">
        <v>10000000</v>
      </c>
      <c r="AO361" s="57"/>
      <c r="AP361" s="58"/>
      <c r="AQ361" s="58"/>
      <c r="AR361" s="58"/>
      <c r="AS361" s="57"/>
      <c r="AT361" s="58"/>
      <c r="AU361" s="59"/>
      <c r="AV361" s="59"/>
      <c r="AW361" s="57"/>
      <c r="AX361" s="58"/>
      <c r="AY361" s="58"/>
      <c r="AZ361" s="58"/>
      <c r="BA361" s="57"/>
      <c r="BB361" s="58"/>
      <c r="BC361" s="58"/>
      <c r="BD361" s="58"/>
      <c r="BE361" s="57"/>
      <c r="BF361" s="58"/>
      <c r="BG361" s="59"/>
      <c r="BH361" s="59"/>
      <c r="BI361" s="57"/>
      <c r="BJ361" s="58"/>
      <c r="BK361" s="58"/>
      <c r="BL361" s="58"/>
      <c r="BM361" s="53">
        <f>+AC361+AG361+AK361+AO361+AS361+AW361+BA361+BE361+BI361</f>
        <v>45000000</v>
      </c>
      <c r="BN361" s="54">
        <f t="shared" ref="BN361:BP362" si="792">AD361+AH361+AL361+AP361+AT361+AX361+BB361+BF361+BJ361</f>
        <v>45000000</v>
      </c>
      <c r="BO361" s="54">
        <f t="shared" si="792"/>
        <v>14709500</v>
      </c>
      <c r="BP361" s="54">
        <f t="shared" si="792"/>
        <v>10000000</v>
      </c>
      <c r="BQ361" s="83"/>
      <c r="BR361" s="83"/>
      <c r="BS361" s="83"/>
      <c r="BT361" s="83"/>
      <c r="BU361" s="83"/>
      <c r="BV361" s="83"/>
      <c r="BW361" s="83"/>
      <c r="BX361" s="83"/>
      <c r="BY361" s="83"/>
      <c r="BZ361" s="84">
        <v>50625000</v>
      </c>
      <c r="CA361" s="83">
        <v>50625000</v>
      </c>
      <c r="CB361" s="83">
        <v>50625000</v>
      </c>
      <c r="CC361" s="83">
        <v>50625000</v>
      </c>
      <c r="CD361" s="83"/>
      <c r="CE361" s="83"/>
      <c r="CF361" s="83"/>
      <c r="CG361" s="83"/>
      <c r="CH361" s="83"/>
      <c r="CI361" s="83"/>
      <c r="CJ361" s="83"/>
      <c r="CK361" s="83"/>
      <c r="CL361" s="83"/>
      <c r="CM361" s="83"/>
      <c r="CN361" s="83"/>
      <c r="CO361" s="83"/>
      <c r="CP361" s="83"/>
      <c r="CQ361" s="83"/>
      <c r="CR361" s="83"/>
      <c r="CS361" s="83"/>
      <c r="CT361" s="83"/>
      <c r="CU361" s="83"/>
      <c r="CV361" s="83"/>
      <c r="CW361" s="83"/>
      <c r="CX361" s="83"/>
      <c r="CY361" s="83"/>
      <c r="CZ361" s="83"/>
      <c r="DA361" s="83"/>
      <c r="DB361" s="83"/>
      <c r="DC361" s="83"/>
      <c r="DD361" s="83"/>
      <c r="DE361" s="81">
        <f t="shared" ref="DE361:DH362" si="793">BQ361+BU361+BZ361+CE361+CI361+CM361+CQ361+CV361+DA361</f>
        <v>50625000</v>
      </c>
      <c r="DF361" s="95">
        <f t="shared" si="793"/>
        <v>50625000</v>
      </c>
      <c r="DG361" s="95">
        <f t="shared" si="793"/>
        <v>50625000</v>
      </c>
      <c r="DH361" s="95">
        <f t="shared" si="793"/>
        <v>50625000</v>
      </c>
      <c r="DI361" s="95"/>
      <c r="DJ361" s="83"/>
      <c r="DK361" s="82"/>
      <c r="DL361" s="83"/>
      <c r="DM361" s="83"/>
      <c r="DN361" s="83"/>
      <c r="DO361" s="82">
        <v>7479700</v>
      </c>
      <c r="DP361" s="83">
        <v>7479700</v>
      </c>
      <c r="DQ361" s="83">
        <v>7479700</v>
      </c>
      <c r="DR361" s="83"/>
      <c r="DS361" s="83">
        <v>45000000</v>
      </c>
      <c r="DT361" s="83">
        <v>30000000</v>
      </c>
      <c r="DU361" s="83">
        <v>29482525</v>
      </c>
      <c r="DV361" s="83">
        <v>29482525</v>
      </c>
      <c r="DW361" s="83"/>
      <c r="DX361" s="83"/>
      <c r="DY361" s="83"/>
      <c r="DZ361" s="83"/>
      <c r="EA361" s="83"/>
      <c r="EB361" s="83"/>
      <c r="EC361" s="83"/>
      <c r="ED361" s="83"/>
      <c r="EE361" s="83"/>
      <c r="EF361" s="83"/>
      <c r="EG361" s="83"/>
      <c r="EH361" s="83"/>
      <c r="EI361" s="83"/>
      <c r="EJ361" s="83"/>
      <c r="EK361" s="83"/>
      <c r="EL361" s="83"/>
      <c r="EM361" s="83"/>
      <c r="EN361" s="83"/>
      <c r="EO361" s="83"/>
      <c r="EP361" s="83"/>
      <c r="EQ361" s="83"/>
      <c r="ER361" s="83"/>
      <c r="ES361" s="83"/>
      <c r="ET361" s="83"/>
      <c r="EU361" s="83"/>
      <c r="EV361" s="83"/>
      <c r="EW361" s="81">
        <f t="shared" ref="EW361:EX362" si="794">DJ361+DN361+DS361+DX361+EB361+EF361+EJ361+EN361+ES361</f>
        <v>45000000</v>
      </c>
      <c r="EX361" s="86">
        <f t="shared" si="794"/>
        <v>37479700</v>
      </c>
      <c r="EY361" s="86">
        <f t="shared" ref="EY361:EZ362" si="795">DL361+DP361+DU361+DZ361+ED361+EH361+EL361+EP361+EU361</f>
        <v>36962225</v>
      </c>
      <c r="EZ361" s="86">
        <f t="shared" si="795"/>
        <v>36962225</v>
      </c>
      <c r="FA361" s="176"/>
      <c r="FB361" s="83"/>
      <c r="FC361" s="84"/>
      <c r="FD361" s="84"/>
      <c r="FE361" s="84"/>
      <c r="FF361" s="140"/>
      <c r="FG361" s="83"/>
      <c r="FH361" s="83"/>
      <c r="FI361" s="83"/>
      <c r="FJ361" s="83"/>
      <c r="FK361" s="83"/>
      <c r="FL361" s="83">
        <v>45000000</v>
      </c>
      <c r="FM361" s="83">
        <v>36800000</v>
      </c>
      <c r="FN361" s="83">
        <v>24962200</v>
      </c>
      <c r="FO361" s="83">
        <v>12311200</v>
      </c>
      <c r="FP361" s="83"/>
      <c r="FQ361" s="83"/>
      <c r="FR361" s="83"/>
      <c r="FS361" s="83"/>
      <c r="FT361" s="83"/>
      <c r="FU361" s="83"/>
      <c r="FV361" s="83"/>
      <c r="FW361" s="83"/>
      <c r="FX361" s="83"/>
      <c r="FY361" s="83"/>
      <c r="FZ361" s="83"/>
      <c r="GA361" s="83"/>
      <c r="GB361" s="83"/>
      <c r="GC361" s="83"/>
      <c r="GD361" s="83"/>
      <c r="GE361" s="83"/>
      <c r="GF361" s="83"/>
      <c r="GG361" s="83"/>
      <c r="GH361" s="83"/>
      <c r="GI361" s="83"/>
      <c r="GJ361" s="83"/>
      <c r="GK361" s="83"/>
      <c r="GL361" s="83"/>
      <c r="GM361" s="83"/>
      <c r="GN361" s="83"/>
      <c r="GO361" s="83"/>
      <c r="GP361" s="83"/>
      <c r="GQ361" s="83"/>
      <c r="GR361" s="83"/>
      <c r="GS361" s="83"/>
      <c r="GT361" s="83"/>
      <c r="GU361" s="81">
        <f>FB361+FG361+FL361+FQ361+FV361+GA361+GF361+GK361+GP361</f>
        <v>45000000</v>
      </c>
      <c r="GV361" s="81">
        <f t="shared" ref="GV361:GY362" si="796">GQ361+GL361+GG361+GB361+FW361+FR361+FM361+FH361+FC361</f>
        <v>36800000</v>
      </c>
      <c r="GW361" s="81">
        <f t="shared" si="796"/>
        <v>24962200</v>
      </c>
      <c r="GX361" s="81">
        <f t="shared" si="796"/>
        <v>12311200</v>
      </c>
      <c r="GY361" s="673">
        <f t="shared" si="796"/>
        <v>0</v>
      </c>
      <c r="GZ361" s="67">
        <f>BM361+DE361+EW361+GU361</f>
        <v>185625000</v>
      </c>
    </row>
    <row r="362" spans="1:208" ht="80.25" customHeight="1" x14ac:dyDescent="0.2">
      <c r="A362" s="372"/>
      <c r="B362" s="372"/>
      <c r="C362" s="347"/>
      <c r="D362" s="331"/>
      <c r="E362" s="331"/>
      <c r="F362" s="331"/>
      <c r="G362" s="265">
        <v>242</v>
      </c>
      <c r="H362" s="261" t="s">
        <v>815</v>
      </c>
      <c r="I362" s="258" t="s">
        <v>816</v>
      </c>
      <c r="J362" s="265" t="s">
        <v>803</v>
      </c>
      <c r="K362" s="259">
        <v>12</v>
      </c>
      <c r="L362" s="288" t="s">
        <v>58</v>
      </c>
      <c r="M362" s="288">
        <v>1</v>
      </c>
      <c r="N362" s="288">
        <v>1</v>
      </c>
      <c r="O362" s="417">
        <v>1</v>
      </c>
      <c r="P362" s="418">
        <v>1</v>
      </c>
      <c r="Q362" s="456">
        <v>1</v>
      </c>
      <c r="R362" s="268"/>
      <c r="S362" s="457">
        <v>1</v>
      </c>
      <c r="T362" s="456">
        <v>1</v>
      </c>
      <c r="U362" s="456"/>
      <c r="V362" s="457">
        <v>1</v>
      </c>
      <c r="W362" s="456">
        <v>1</v>
      </c>
      <c r="X362" s="456"/>
      <c r="Y362" s="651">
        <v>0.5</v>
      </c>
      <c r="Z362" s="508">
        <f>BM362/BM360</f>
        <v>0.4375</v>
      </c>
      <c r="AA362" s="264">
        <v>11</v>
      </c>
      <c r="AB362" s="263" t="s">
        <v>229</v>
      </c>
      <c r="AC362" s="57"/>
      <c r="AD362" s="58"/>
      <c r="AE362" s="59"/>
      <c r="AF362" s="59"/>
      <c r="AG362" s="57"/>
      <c r="AH362" s="58"/>
      <c r="AI362" s="58"/>
      <c r="AJ362" s="58"/>
      <c r="AK362" s="57">
        <v>35000000</v>
      </c>
      <c r="AL362" s="55">
        <v>35000000</v>
      </c>
      <c r="AM362" s="58">
        <v>28758750</v>
      </c>
      <c r="AN362" s="58">
        <v>28758750</v>
      </c>
      <c r="AO362" s="57"/>
      <c r="AP362" s="58"/>
      <c r="AQ362" s="58"/>
      <c r="AR362" s="58"/>
      <c r="AS362" s="57"/>
      <c r="AT362" s="58"/>
      <c r="AU362" s="59"/>
      <c r="AV362" s="59"/>
      <c r="AW362" s="57"/>
      <c r="AX362" s="58"/>
      <c r="AY362" s="58"/>
      <c r="AZ362" s="58"/>
      <c r="BA362" s="57"/>
      <c r="BB362" s="58"/>
      <c r="BC362" s="58"/>
      <c r="BD362" s="58"/>
      <c r="BE362" s="57"/>
      <c r="BF362" s="58"/>
      <c r="BG362" s="59"/>
      <c r="BH362" s="59"/>
      <c r="BI362" s="57"/>
      <c r="BJ362" s="58"/>
      <c r="BK362" s="58"/>
      <c r="BL362" s="58"/>
      <c r="BM362" s="53">
        <f>+AC362+AG362+AK362+AO362+AS362+AW362+BA362+BE362+BI362</f>
        <v>35000000</v>
      </c>
      <c r="BN362" s="54">
        <f t="shared" si="792"/>
        <v>35000000</v>
      </c>
      <c r="BO362" s="54">
        <f t="shared" si="792"/>
        <v>28758750</v>
      </c>
      <c r="BP362" s="54">
        <f t="shared" si="792"/>
        <v>28758750</v>
      </c>
      <c r="BQ362" s="83"/>
      <c r="BR362" s="83"/>
      <c r="BS362" s="83"/>
      <c r="BT362" s="83"/>
      <c r="BU362" s="83"/>
      <c r="BV362" s="83"/>
      <c r="BW362" s="83"/>
      <c r="BX362" s="83"/>
      <c r="BY362" s="83"/>
      <c r="BZ362" s="84">
        <v>39375000</v>
      </c>
      <c r="CA362" s="83">
        <v>39375000</v>
      </c>
      <c r="CB362" s="83">
        <v>11895300</v>
      </c>
      <c r="CC362" s="83">
        <v>11895300</v>
      </c>
      <c r="CD362" s="83"/>
      <c r="CE362" s="83"/>
      <c r="CF362" s="83"/>
      <c r="CG362" s="83"/>
      <c r="CH362" s="83"/>
      <c r="CI362" s="83"/>
      <c r="CJ362" s="83"/>
      <c r="CK362" s="83"/>
      <c r="CL362" s="83"/>
      <c r="CM362" s="83"/>
      <c r="CN362" s="83"/>
      <c r="CO362" s="83"/>
      <c r="CP362" s="83"/>
      <c r="CQ362" s="83"/>
      <c r="CR362" s="83"/>
      <c r="CS362" s="83"/>
      <c r="CT362" s="83"/>
      <c r="CU362" s="83"/>
      <c r="CV362" s="83"/>
      <c r="CW362" s="83"/>
      <c r="CX362" s="83"/>
      <c r="CY362" s="83"/>
      <c r="CZ362" s="83"/>
      <c r="DA362" s="83"/>
      <c r="DB362" s="83"/>
      <c r="DC362" s="83"/>
      <c r="DD362" s="83"/>
      <c r="DE362" s="81">
        <f t="shared" si="793"/>
        <v>39375000</v>
      </c>
      <c r="DF362" s="95">
        <f t="shared" si="793"/>
        <v>39375000</v>
      </c>
      <c r="DG362" s="95">
        <f t="shared" si="793"/>
        <v>11895300</v>
      </c>
      <c r="DH362" s="95">
        <f t="shared" si="793"/>
        <v>11895300</v>
      </c>
      <c r="DI362" s="95"/>
      <c r="DJ362" s="83"/>
      <c r="DK362" s="82"/>
      <c r="DL362" s="83"/>
      <c r="DM362" s="83"/>
      <c r="DN362" s="83"/>
      <c r="DO362" s="82">
        <v>20000000</v>
      </c>
      <c r="DP362" s="83">
        <v>20000000</v>
      </c>
      <c r="DQ362" s="83">
        <v>20000000</v>
      </c>
      <c r="DR362" s="83"/>
      <c r="DS362" s="83">
        <v>35000000</v>
      </c>
      <c r="DT362" s="83">
        <v>55000000</v>
      </c>
      <c r="DU362" s="83">
        <v>38771339</v>
      </c>
      <c r="DV362" s="83">
        <v>38771339</v>
      </c>
      <c r="DW362" s="83"/>
      <c r="DX362" s="83"/>
      <c r="DY362" s="83"/>
      <c r="DZ362" s="83"/>
      <c r="EA362" s="83"/>
      <c r="EB362" s="83"/>
      <c r="EC362" s="83"/>
      <c r="ED362" s="83"/>
      <c r="EE362" s="83"/>
      <c r="EF362" s="83"/>
      <c r="EG362" s="83"/>
      <c r="EH362" s="83"/>
      <c r="EI362" s="83"/>
      <c r="EJ362" s="83"/>
      <c r="EK362" s="83"/>
      <c r="EL362" s="83"/>
      <c r="EM362" s="83"/>
      <c r="EN362" s="83"/>
      <c r="EO362" s="83"/>
      <c r="EP362" s="83"/>
      <c r="EQ362" s="83"/>
      <c r="ER362" s="83"/>
      <c r="ES362" s="83"/>
      <c r="ET362" s="83"/>
      <c r="EU362" s="83"/>
      <c r="EV362" s="83"/>
      <c r="EW362" s="81">
        <f t="shared" si="794"/>
        <v>35000000</v>
      </c>
      <c r="EX362" s="86">
        <f t="shared" si="794"/>
        <v>75000000</v>
      </c>
      <c r="EY362" s="86">
        <f t="shared" si="795"/>
        <v>58771339</v>
      </c>
      <c r="EZ362" s="86">
        <f t="shared" si="795"/>
        <v>58771339</v>
      </c>
      <c r="FA362" s="176"/>
      <c r="FB362" s="83"/>
      <c r="FC362" s="84"/>
      <c r="FD362" s="84"/>
      <c r="FE362" s="84"/>
      <c r="FF362" s="140"/>
      <c r="FG362" s="83"/>
      <c r="FH362" s="83"/>
      <c r="FI362" s="83"/>
      <c r="FJ362" s="83"/>
      <c r="FK362" s="83"/>
      <c r="FL362" s="83">
        <v>35000000</v>
      </c>
      <c r="FM362" s="83">
        <v>47523515</v>
      </c>
      <c r="FN362" s="83"/>
      <c r="FO362" s="83"/>
      <c r="FP362" s="83"/>
      <c r="FQ362" s="83"/>
      <c r="FR362" s="83"/>
      <c r="FS362" s="83"/>
      <c r="FT362" s="83"/>
      <c r="FU362" s="83"/>
      <c r="FV362" s="83"/>
      <c r="FW362" s="83"/>
      <c r="FX362" s="83"/>
      <c r="FY362" s="83"/>
      <c r="FZ362" s="83"/>
      <c r="GA362" s="83"/>
      <c r="GB362" s="83"/>
      <c r="GC362" s="83"/>
      <c r="GD362" s="83"/>
      <c r="GE362" s="83"/>
      <c r="GF362" s="83"/>
      <c r="GG362" s="83"/>
      <c r="GH362" s="83"/>
      <c r="GI362" s="83"/>
      <c r="GJ362" s="83"/>
      <c r="GK362" s="83"/>
      <c r="GL362" s="83"/>
      <c r="GM362" s="83"/>
      <c r="GN362" s="83"/>
      <c r="GO362" s="83"/>
      <c r="GP362" s="83"/>
      <c r="GQ362" s="83"/>
      <c r="GR362" s="83"/>
      <c r="GS362" s="83"/>
      <c r="GT362" s="83"/>
      <c r="GU362" s="81">
        <f>FB362+FG362+FL362+FQ362+FV362+GA362+GF362+GK362+GP362</f>
        <v>35000000</v>
      </c>
      <c r="GV362" s="81">
        <f t="shared" si="796"/>
        <v>47523515</v>
      </c>
      <c r="GW362" s="81">
        <f t="shared" si="796"/>
        <v>0</v>
      </c>
      <c r="GX362" s="81">
        <f t="shared" si="796"/>
        <v>0</v>
      </c>
      <c r="GY362" s="673">
        <f t="shared" si="796"/>
        <v>0</v>
      </c>
      <c r="GZ362" s="67">
        <f>BM362+DE362+EW362+GU362</f>
        <v>144375000</v>
      </c>
    </row>
    <row r="363" spans="1:208" ht="24.75" customHeight="1" x14ac:dyDescent="0.2">
      <c r="A363" s="320">
        <v>5</v>
      </c>
      <c r="B363" s="321" t="s">
        <v>817</v>
      </c>
      <c r="C363" s="322"/>
      <c r="D363" s="227"/>
      <c r="E363" s="227"/>
      <c r="F363" s="227"/>
      <c r="G363" s="322"/>
      <c r="H363" s="322"/>
      <c r="I363" s="322"/>
      <c r="J363" s="322"/>
      <c r="K363" s="322"/>
      <c r="L363" s="322"/>
      <c r="M363" s="322"/>
      <c r="N363" s="322"/>
      <c r="O363" s="322"/>
      <c r="P363" s="322"/>
      <c r="Q363" s="322"/>
      <c r="R363" s="322"/>
      <c r="S363" s="322"/>
      <c r="T363" s="322"/>
      <c r="U363" s="322"/>
      <c r="V363" s="322"/>
      <c r="W363" s="322"/>
      <c r="X363" s="322"/>
      <c r="Y363" s="622"/>
      <c r="Z363" s="322"/>
      <c r="AA363" s="322"/>
      <c r="AB363" s="322"/>
      <c r="AC363" s="49">
        <f t="shared" ref="AC363:BL363" si="797">AC364+AC373+AC383</f>
        <v>0</v>
      </c>
      <c r="AD363" s="49">
        <f t="shared" si="797"/>
        <v>0</v>
      </c>
      <c r="AE363" s="49">
        <f t="shared" si="797"/>
        <v>0</v>
      </c>
      <c r="AF363" s="49">
        <f t="shared" si="797"/>
        <v>0</v>
      </c>
      <c r="AG363" s="49">
        <f t="shared" si="797"/>
        <v>64260244</v>
      </c>
      <c r="AH363" s="49">
        <f t="shared" si="797"/>
        <v>46963067.460000001</v>
      </c>
      <c r="AI363" s="49">
        <f t="shared" si="797"/>
        <v>12320000</v>
      </c>
      <c r="AJ363" s="49">
        <f t="shared" si="797"/>
        <v>12320000</v>
      </c>
      <c r="AK363" s="49">
        <f t="shared" si="797"/>
        <v>3467251891</v>
      </c>
      <c r="AL363" s="49">
        <f t="shared" si="797"/>
        <v>4088020116</v>
      </c>
      <c r="AM363" s="49">
        <f t="shared" si="797"/>
        <v>2669362509</v>
      </c>
      <c r="AN363" s="49">
        <f t="shared" si="797"/>
        <v>2484900024</v>
      </c>
      <c r="AO363" s="49">
        <f t="shared" si="797"/>
        <v>435000000</v>
      </c>
      <c r="AP363" s="49">
        <f t="shared" si="797"/>
        <v>170000000</v>
      </c>
      <c r="AQ363" s="49">
        <f t="shared" si="797"/>
        <v>164266414</v>
      </c>
      <c r="AR363" s="49">
        <f t="shared" si="797"/>
        <v>125928628</v>
      </c>
      <c r="AS363" s="49">
        <f t="shared" si="797"/>
        <v>0</v>
      </c>
      <c r="AT363" s="49">
        <f t="shared" si="797"/>
        <v>0</v>
      </c>
      <c r="AU363" s="49">
        <f t="shared" si="797"/>
        <v>0</v>
      </c>
      <c r="AV363" s="49">
        <f t="shared" si="797"/>
        <v>0</v>
      </c>
      <c r="AW363" s="49">
        <f t="shared" si="797"/>
        <v>0</v>
      </c>
      <c r="AX363" s="49">
        <f t="shared" si="797"/>
        <v>0</v>
      </c>
      <c r="AY363" s="49">
        <f t="shared" si="797"/>
        <v>0</v>
      </c>
      <c r="AZ363" s="49">
        <f t="shared" si="797"/>
        <v>0</v>
      </c>
      <c r="BA363" s="49">
        <f t="shared" si="797"/>
        <v>0</v>
      </c>
      <c r="BB363" s="49">
        <f t="shared" si="797"/>
        <v>0</v>
      </c>
      <c r="BC363" s="49">
        <f t="shared" si="797"/>
        <v>0</v>
      </c>
      <c r="BD363" s="49">
        <f t="shared" si="797"/>
        <v>0</v>
      </c>
      <c r="BE363" s="49">
        <f t="shared" si="797"/>
        <v>0</v>
      </c>
      <c r="BF363" s="49">
        <f t="shared" si="797"/>
        <v>0</v>
      </c>
      <c r="BG363" s="49">
        <f t="shared" si="797"/>
        <v>0</v>
      </c>
      <c r="BH363" s="49">
        <f t="shared" si="797"/>
        <v>0</v>
      </c>
      <c r="BI363" s="49">
        <f t="shared" si="797"/>
        <v>5097000000</v>
      </c>
      <c r="BJ363" s="49">
        <f t="shared" si="797"/>
        <v>0</v>
      </c>
      <c r="BK363" s="49">
        <f t="shared" si="797"/>
        <v>0</v>
      </c>
      <c r="BL363" s="49">
        <f t="shared" si="797"/>
        <v>0</v>
      </c>
      <c r="BM363" s="49">
        <f t="shared" ref="BM363:DX363" si="798">BM364+BM373+BM383</f>
        <v>9063512135</v>
      </c>
      <c r="BN363" s="49">
        <f t="shared" si="798"/>
        <v>4304983183.46</v>
      </c>
      <c r="BO363" s="49">
        <f t="shared" si="798"/>
        <v>2845948923</v>
      </c>
      <c r="BP363" s="49">
        <f t="shared" si="798"/>
        <v>2623148652</v>
      </c>
      <c r="BQ363" s="49">
        <f t="shared" si="798"/>
        <v>4000000000</v>
      </c>
      <c r="BR363" s="49">
        <f t="shared" si="798"/>
        <v>0</v>
      </c>
      <c r="BS363" s="49">
        <f t="shared" si="798"/>
        <v>0</v>
      </c>
      <c r="BT363" s="49">
        <f t="shared" si="798"/>
        <v>0</v>
      </c>
      <c r="BU363" s="49">
        <f t="shared" si="798"/>
        <v>41200000</v>
      </c>
      <c r="BV363" s="49">
        <f t="shared" si="798"/>
        <v>2786629201</v>
      </c>
      <c r="BW363" s="49">
        <f t="shared" si="798"/>
        <v>959389886</v>
      </c>
      <c r="BX363" s="49">
        <f t="shared" si="798"/>
        <v>945109886</v>
      </c>
      <c r="BY363" s="49">
        <f t="shared" si="798"/>
        <v>0</v>
      </c>
      <c r="BZ363" s="49">
        <f t="shared" si="798"/>
        <v>2784152274</v>
      </c>
      <c r="CA363" s="49">
        <f t="shared" si="798"/>
        <v>5854651089</v>
      </c>
      <c r="CB363" s="49">
        <f t="shared" si="798"/>
        <v>4864502701.2299995</v>
      </c>
      <c r="CC363" s="49">
        <f t="shared" si="798"/>
        <v>4433477021.2299995</v>
      </c>
      <c r="CD363" s="49">
        <f t="shared" si="798"/>
        <v>42000000</v>
      </c>
      <c r="CE363" s="49">
        <f t="shared" si="798"/>
        <v>200000000</v>
      </c>
      <c r="CF363" s="49">
        <f t="shared" si="798"/>
        <v>284641017</v>
      </c>
      <c r="CG363" s="49">
        <f t="shared" si="798"/>
        <v>241082281</v>
      </c>
      <c r="CH363" s="49">
        <f t="shared" si="798"/>
        <v>218243781</v>
      </c>
      <c r="CI363" s="49">
        <f t="shared" si="798"/>
        <v>0</v>
      </c>
      <c r="CJ363" s="49">
        <f t="shared" si="798"/>
        <v>0</v>
      </c>
      <c r="CK363" s="49">
        <f t="shared" si="798"/>
        <v>0</v>
      </c>
      <c r="CL363" s="49">
        <f t="shared" si="798"/>
        <v>0</v>
      </c>
      <c r="CM363" s="49">
        <f t="shared" si="798"/>
        <v>0</v>
      </c>
      <c r="CN363" s="49">
        <f t="shared" si="798"/>
        <v>0</v>
      </c>
      <c r="CO363" s="49">
        <f t="shared" si="798"/>
        <v>0</v>
      </c>
      <c r="CP363" s="49">
        <f t="shared" si="798"/>
        <v>0</v>
      </c>
      <c r="CQ363" s="49">
        <f t="shared" si="798"/>
        <v>0</v>
      </c>
      <c r="CR363" s="49">
        <f t="shared" si="798"/>
        <v>0</v>
      </c>
      <c r="CS363" s="49">
        <f t="shared" si="798"/>
        <v>0</v>
      </c>
      <c r="CT363" s="49">
        <f t="shared" si="798"/>
        <v>0</v>
      </c>
      <c r="CU363" s="49">
        <f t="shared" si="798"/>
        <v>0</v>
      </c>
      <c r="CV363" s="49">
        <f t="shared" si="798"/>
        <v>0</v>
      </c>
      <c r="CW363" s="49">
        <f t="shared" si="798"/>
        <v>0</v>
      </c>
      <c r="CX363" s="49">
        <f t="shared" si="798"/>
        <v>0</v>
      </c>
      <c r="CY363" s="49">
        <f t="shared" si="798"/>
        <v>0</v>
      </c>
      <c r="CZ363" s="49">
        <f t="shared" si="798"/>
        <v>0</v>
      </c>
      <c r="DA363" s="49">
        <f t="shared" si="798"/>
        <v>3000000000</v>
      </c>
      <c r="DB363" s="49">
        <f t="shared" si="798"/>
        <v>0</v>
      </c>
      <c r="DC363" s="49">
        <f t="shared" si="798"/>
        <v>0</v>
      </c>
      <c r="DD363" s="49">
        <f t="shared" si="798"/>
        <v>0</v>
      </c>
      <c r="DE363" s="49">
        <f t="shared" si="798"/>
        <v>10025352274</v>
      </c>
      <c r="DF363" s="49">
        <f t="shared" si="798"/>
        <v>8925921307</v>
      </c>
      <c r="DG363" s="49">
        <f t="shared" si="798"/>
        <v>6064974868.2299995</v>
      </c>
      <c r="DH363" s="49">
        <f t="shared" si="798"/>
        <v>5596830688.2299995</v>
      </c>
      <c r="DI363" s="49">
        <f t="shared" si="798"/>
        <v>42000000</v>
      </c>
      <c r="DJ363" s="49">
        <f t="shared" si="798"/>
        <v>0</v>
      </c>
      <c r="DK363" s="49">
        <f t="shared" si="798"/>
        <v>0</v>
      </c>
      <c r="DL363" s="49">
        <f t="shared" si="798"/>
        <v>0</v>
      </c>
      <c r="DM363" s="49">
        <f t="shared" si="798"/>
        <v>0</v>
      </c>
      <c r="DN363" s="49">
        <f t="shared" si="798"/>
        <v>42436000</v>
      </c>
      <c r="DO363" s="49">
        <f t="shared" si="798"/>
        <v>2183382721</v>
      </c>
      <c r="DP363" s="49">
        <f t="shared" si="798"/>
        <v>1858276891</v>
      </c>
      <c r="DQ363" s="49">
        <f t="shared" si="798"/>
        <v>1279423142</v>
      </c>
      <c r="DR363" s="49">
        <f t="shared" si="798"/>
        <v>0</v>
      </c>
      <c r="DS363" s="49">
        <f t="shared" si="798"/>
        <v>2165304749</v>
      </c>
      <c r="DT363" s="49">
        <f t="shared" si="798"/>
        <v>5095000000</v>
      </c>
      <c r="DU363" s="49">
        <f t="shared" si="798"/>
        <v>4468294247</v>
      </c>
      <c r="DV363" s="49">
        <f t="shared" si="798"/>
        <v>4111120279</v>
      </c>
      <c r="DW363" s="49">
        <f t="shared" si="798"/>
        <v>0</v>
      </c>
      <c r="DX363" s="49">
        <f t="shared" si="798"/>
        <v>200000000</v>
      </c>
      <c r="DY363" s="49">
        <f t="shared" ref="DY363:EW363" si="799">DY364+DY373+DY383</f>
        <v>43558736</v>
      </c>
      <c r="DZ363" s="49">
        <f t="shared" si="799"/>
        <v>41390000</v>
      </c>
      <c r="EA363" s="49">
        <f t="shared" si="799"/>
        <v>41273000</v>
      </c>
      <c r="EB363" s="49">
        <f t="shared" si="799"/>
        <v>0</v>
      </c>
      <c r="EC363" s="49">
        <f t="shared" si="799"/>
        <v>0</v>
      </c>
      <c r="ED363" s="49">
        <f t="shared" si="799"/>
        <v>0</v>
      </c>
      <c r="EE363" s="49">
        <f t="shared" si="799"/>
        <v>0</v>
      </c>
      <c r="EF363" s="49">
        <f t="shared" si="799"/>
        <v>0</v>
      </c>
      <c r="EG363" s="49">
        <f t="shared" si="799"/>
        <v>0</v>
      </c>
      <c r="EH363" s="49">
        <f t="shared" si="799"/>
        <v>0</v>
      </c>
      <c r="EI363" s="49">
        <f t="shared" si="799"/>
        <v>0</v>
      </c>
      <c r="EJ363" s="49">
        <f t="shared" si="799"/>
        <v>0</v>
      </c>
      <c r="EK363" s="49">
        <f t="shared" si="799"/>
        <v>0</v>
      </c>
      <c r="EL363" s="49">
        <f t="shared" si="799"/>
        <v>0</v>
      </c>
      <c r="EM363" s="49">
        <f t="shared" si="799"/>
        <v>0</v>
      </c>
      <c r="EN363" s="49">
        <f t="shared" si="799"/>
        <v>0</v>
      </c>
      <c r="EO363" s="49">
        <f t="shared" si="799"/>
        <v>0</v>
      </c>
      <c r="EP363" s="49">
        <f t="shared" si="799"/>
        <v>0</v>
      </c>
      <c r="EQ363" s="49">
        <f t="shared" si="799"/>
        <v>0</v>
      </c>
      <c r="ER363" s="49">
        <f t="shared" si="799"/>
        <v>0</v>
      </c>
      <c r="ES363" s="49">
        <f t="shared" si="799"/>
        <v>3000000000</v>
      </c>
      <c r="ET363" s="49">
        <f t="shared" si="799"/>
        <v>0</v>
      </c>
      <c r="EU363" s="49">
        <f t="shared" si="799"/>
        <v>0</v>
      </c>
      <c r="EV363" s="49">
        <f t="shared" si="799"/>
        <v>0</v>
      </c>
      <c r="EW363" s="49">
        <f t="shared" si="799"/>
        <v>5407740749</v>
      </c>
      <c r="EX363" s="49">
        <f t="shared" ref="EX363:GZ363" si="800">EX364+EX373+EX383</f>
        <v>7321941457</v>
      </c>
      <c r="EY363" s="49">
        <f t="shared" si="800"/>
        <v>6367961138</v>
      </c>
      <c r="EZ363" s="49">
        <f t="shared" si="800"/>
        <v>5431816421</v>
      </c>
      <c r="FA363" s="49">
        <f t="shared" si="800"/>
        <v>0</v>
      </c>
      <c r="FB363" s="49">
        <f t="shared" si="800"/>
        <v>0</v>
      </c>
      <c r="FC363" s="49">
        <f t="shared" si="800"/>
        <v>5000000000</v>
      </c>
      <c r="FD363" s="49">
        <f t="shared" si="800"/>
        <v>820874579</v>
      </c>
      <c r="FE363" s="49">
        <f t="shared" si="800"/>
        <v>820874579</v>
      </c>
      <c r="FF363" s="49">
        <f t="shared" si="800"/>
        <v>0</v>
      </c>
      <c r="FG363" s="49">
        <f t="shared" si="800"/>
        <v>43709080</v>
      </c>
      <c r="FH363" s="49">
        <f t="shared" si="800"/>
        <v>2499110500</v>
      </c>
      <c r="FI363" s="49">
        <f t="shared" si="800"/>
        <v>1146252573</v>
      </c>
      <c r="FJ363" s="49">
        <f t="shared" si="800"/>
        <v>53827933</v>
      </c>
      <c r="FK363" s="49">
        <f t="shared" si="800"/>
        <v>211334325</v>
      </c>
      <c r="FL363" s="49">
        <f t="shared" si="800"/>
        <v>2060000000</v>
      </c>
      <c r="FM363" s="49">
        <f t="shared" si="800"/>
        <v>4890571996</v>
      </c>
      <c r="FN363" s="49">
        <f t="shared" si="800"/>
        <v>3606950075</v>
      </c>
      <c r="FO363" s="49">
        <f t="shared" si="800"/>
        <v>2158108767.75</v>
      </c>
      <c r="FP363" s="49">
        <f t="shared" si="800"/>
        <v>131808774</v>
      </c>
      <c r="FQ363" s="49">
        <f t="shared" si="800"/>
        <v>200000000</v>
      </c>
      <c r="FR363" s="49">
        <f t="shared" si="800"/>
        <v>250000000</v>
      </c>
      <c r="FS363" s="49">
        <f t="shared" si="800"/>
        <v>0</v>
      </c>
      <c r="FT363" s="49">
        <f t="shared" si="800"/>
        <v>0</v>
      </c>
      <c r="FU363" s="49">
        <f t="shared" si="800"/>
        <v>0</v>
      </c>
      <c r="FV363" s="49">
        <f t="shared" si="800"/>
        <v>0</v>
      </c>
      <c r="FW363" s="49">
        <f t="shared" si="800"/>
        <v>0</v>
      </c>
      <c r="FX363" s="49">
        <f t="shared" si="800"/>
        <v>0</v>
      </c>
      <c r="FY363" s="49">
        <f t="shared" si="800"/>
        <v>0</v>
      </c>
      <c r="FZ363" s="49">
        <f t="shared" si="800"/>
        <v>0</v>
      </c>
      <c r="GA363" s="49">
        <f t="shared" si="800"/>
        <v>0</v>
      </c>
      <c r="GB363" s="49">
        <f t="shared" si="800"/>
        <v>0</v>
      </c>
      <c r="GC363" s="49">
        <f t="shared" si="800"/>
        <v>0</v>
      </c>
      <c r="GD363" s="49">
        <f t="shared" si="800"/>
        <v>0</v>
      </c>
      <c r="GE363" s="49">
        <f t="shared" si="800"/>
        <v>0</v>
      </c>
      <c r="GF363" s="49">
        <f t="shared" si="800"/>
        <v>0</v>
      </c>
      <c r="GG363" s="49">
        <f t="shared" si="800"/>
        <v>0</v>
      </c>
      <c r="GH363" s="49">
        <f t="shared" si="800"/>
        <v>0</v>
      </c>
      <c r="GI363" s="49">
        <f t="shared" si="800"/>
        <v>0</v>
      </c>
      <c r="GJ363" s="49">
        <f t="shared" si="800"/>
        <v>0</v>
      </c>
      <c r="GK363" s="49">
        <f t="shared" si="800"/>
        <v>0</v>
      </c>
      <c r="GL363" s="49">
        <f t="shared" si="800"/>
        <v>0</v>
      </c>
      <c r="GM363" s="49">
        <f t="shared" si="800"/>
        <v>0</v>
      </c>
      <c r="GN363" s="49">
        <f t="shared" si="800"/>
        <v>0</v>
      </c>
      <c r="GO363" s="49">
        <f t="shared" si="800"/>
        <v>0</v>
      </c>
      <c r="GP363" s="49">
        <f t="shared" si="800"/>
        <v>3000000000</v>
      </c>
      <c r="GQ363" s="49">
        <f t="shared" si="800"/>
        <v>0</v>
      </c>
      <c r="GR363" s="49">
        <f t="shared" si="800"/>
        <v>0</v>
      </c>
      <c r="GS363" s="49">
        <f t="shared" si="800"/>
        <v>0</v>
      </c>
      <c r="GT363" s="49">
        <f t="shared" si="800"/>
        <v>0</v>
      </c>
      <c r="GU363" s="49">
        <f t="shared" si="800"/>
        <v>5303709080</v>
      </c>
      <c r="GV363" s="49">
        <f t="shared" si="800"/>
        <v>12639682496</v>
      </c>
      <c r="GW363" s="49">
        <f t="shared" si="800"/>
        <v>5574077227</v>
      </c>
      <c r="GX363" s="49">
        <f t="shared" si="800"/>
        <v>3032811279.75</v>
      </c>
      <c r="GY363" s="49">
        <f t="shared" si="800"/>
        <v>343143099</v>
      </c>
      <c r="GZ363" s="49">
        <f t="shared" si="800"/>
        <v>29800314238</v>
      </c>
    </row>
    <row r="364" spans="1:208" ht="24.75" customHeight="1" x14ac:dyDescent="0.2">
      <c r="A364" s="993"/>
      <c r="B364" s="234">
        <v>26</v>
      </c>
      <c r="C364" s="324" t="s">
        <v>818</v>
      </c>
      <c r="D364" s="239"/>
      <c r="E364" s="239"/>
      <c r="F364" s="237"/>
      <c r="G364" s="238"/>
      <c r="H364" s="238"/>
      <c r="I364" s="238"/>
      <c r="J364" s="238"/>
      <c r="K364" s="238"/>
      <c r="L364" s="238"/>
      <c r="M364" s="238"/>
      <c r="N364" s="238"/>
      <c r="O364" s="238"/>
      <c r="P364" s="238"/>
      <c r="Q364" s="238"/>
      <c r="R364" s="238"/>
      <c r="S364" s="238"/>
      <c r="T364" s="238"/>
      <c r="U364" s="238"/>
      <c r="V364" s="238"/>
      <c r="W364" s="238"/>
      <c r="X364" s="238"/>
      <c r="Y364" s="241"/>
      <c r="Z364" s="238"/>
      <c r="AA364" s="238"/>
      <c r="AB364" s="238"/>
      <c r="AC364" s="50">
        <f t="shared" ref="AC364:CN364" si="801">AC365+AC370</f>
        <v>0</v>
      </c>
      <c r="AD364" s="50">
        <f t="shared" si="801"/>
        <v>0</v>
      </c>
      <c r="AE364" s="50">
        <f t="shared" si="801"/>
        <v>0</v>
      </c>
      <c r="AF364" s="50">
        <f t="shared" si="801"/>
        <v>0</v>
      </c>
      <c r="AG364" s="50">
        <f t="shared" si="801"/>
        <v>0</v>
      </c>
      <c r="AH364" s="50">
        <f t="shared" si="801"/>
        <v>0</v>
      </c>
      <c r="AI364" s="50">
        <f t="shared" si="801"/>
        <v>0</v>
      </c>
      <c r="AJ364" s="50">
        <f t="shared" si="801"/>
        <v>0</v>
      </c>
      <c r="AK364" s="50">
        <f t="shared" si="801"/>
        <v>400000000</v>
      </c>
      <c r="AL364" s="50">
        <f t="shared" si="801"/>
        <v>500000000</v>
      </c>
      <c r="AM364" s="50">
        <f t="shared" si="801"/>
        <v>152501587</v>
      </c>
      <c r="AN364" s="50">
        <f t="shared" si="801"/>
        <v>152501587</v>
      </c>
      <c r="AO364" s="50">
        <f t="shared" si="801"/>
        <v>0</v>
      </c>
      <c r="AP364" s="50">
        <f t="shared" si="801"/>
        <v>0</v>
      </c>
      <c r="AQ364" s="50">
        <f t="shared" si="801"/>
        <v>0</v>
      </c>
      <c r="AR364" s="50">
        <f t="shared" si="801"/>
        <v>0</v>
      </c>
      <c r="AS364" s="50">
        <f t="shared" si="801"/>
        <v>0</v>
      </c>
      <c r="AT364" s="50">
        <f t="shared" si="801"/>
        <v>0</v>
      </c>
      <c r="AU364" s="50">
        <f t="shared" si="801"/>
        <v>0</v>
      </c>
      <c r="AV364" s="50">
        <f t="shared" si="801"/>
        <v>0</v>
      </c>
      <c r="AW364" s="50">
        <f t="shared" si="801"/>
        <v>0</v>
      </c>
      <c r="AX364" s="50">
        <f t="shared" si="801"/>
        <v>0</v>
      </c>
      <c r="AY364" s="50">
        <f t="shared" si="801"/>
        <v>0</v>
      </c>
      <c r="AZ364" s="50">
        <f t="shared" si="801"/>
        <v>0</v>
      </c>
      <c r="BA364" s="50">
        <f t="shared" si="801"/>
        <v>0</v>
      </c>
      <c r="BB364" s="50">
        <f t="shared" si="801"/>
        <v>0</v>
      </c>
      <c r="BC364" s="50">
        <f t="shared" si="801"/>
        <v>0</v>
      </c>
      <c r="BD364" s="50">
        <f t="shared" si="801"/>
        <v>0</v>
      </c>
      <c r="BE364" s="50">
        <f t="shared" si="801"/>
        <v>0</v>
      </c>
      <c r="BF364" s="50">
        <f t="shared" si="801"/>
        <v>0</v>
      </c>
      <c r="BG364" s="50">
        <f t="shared" si="801"/>
        <v>0</v>
      </c>
      <c r="BH364" s="50">
        <f t="shared" si="801"/>
        <v>0</v>
      </c>
      <c r="BI364" s="50">
        <f t="shared" si="801"/>
        <v>0</v>
      </c>
      <c r="BJ364" s="50">
        <f t="shared" si="801"/>
        <v>0</v>
      </c>
      <c r="BK364" s="50">
        <f t="shared" si="801"/>
        <v>0</v>
      </c>
      <c r="BL364" s="50">
        <f t="shared" si="801"/>
        <v>0</v>
      </c>
      <c r="BM364" s="50">
        <f t="shared" si="801"/>
        <v>400000000</v>
      </c>
      <c r="BN364" s="50">
        <f t="shared" si="801"/>
        <v>500000000</v>
      </c>
      <c r="BO364" s="50">
        <f t="shared" si="801"/>
        <v>152501587</v>
      </c>
      <c r="BP364" s="50">
        <f t="shared" si="801"/>
        <v>152501587</v>
      </c>
      <c r="BQ364" s="50">
        <f t="shared" si="801"/>
        <v>0</v>
      </c>
      <c r="BR364" s="50">
        <f t="shared" si="801"/>
        <v>0</v>
      </c>
      <c r="BS364" s="50">
        <f t="shared" si="801"/>
        <v>0</v>
      </c>
      <c r="BT364" s="50">
        <f t="shared" si="801"/>
        <v>0</v>
      </c>
      <c r="BU364" s="50">
        <f t="shared" si="801"/>
        <v>0</v>
      </c>
      <c r="BV364" s="50">
        <f t="shared" si="801"/>
        <v>400000000</v>
      </c>
      <c r="BW364" s="50">
        <f t="shared" si="801"/>
        <v>258706251</v>
      </c>
      <c r="BX364" s="50">
        <f t="shared" si="801"/>
        <v>244426251</v>
      </c>
      <c r="BY364" s="50">
        <f t="shared" si="801"/>
        <v>0</v>
      </c>
      <c r="BZ364" s="50">
        <f t="shared" si="801"/>
        <v>430000000</v>
      </c>
      <c r="CA364" s="50">
        <f t="shared" si="801"/>
        <v>1179534666</v>
      </c>
      <c r="CB364" s="50">
        <f t="shared" si="801"/>
        <v>518666026</v>
      </c>
      <c r="CC364" s="50">
        <f t="shared" si="801"/>
        <v>499870326</v>
      </c>
      <c r="CD364" s="50">
        <f t="shared" si="801"/>
        <v>0</v>
      </c>
      <c r="CE364" s="50">
        <f t="shared" si="801"/>
        <v>0</v>
      </c>
      <c r="CF364" s="50">
        <f t="shared" si="801"/>
        <v>0</v>
      </c>
      <c r="CG364" s="50">
        <f t="shared" si="801"/>
        <v>0</v>
      </c>
      <c r="CH364" s="50">
        <f t="shared" si="801"/>
        <v>0</v>
      </c>
      <c r="CI364" s="50">
        <f t="shared" si="801"/>
        <v>0</v>
      </c>
      <c r="CJ364" s="50">
        <f t="shared" si="801"/>
        <v>0</v>
      </c>
      <c r="CK364" s="50">
        <f t="shared" si="801"/>
        <v>0</v>
      </c>
      <c r="CL364" s="50">
        <f t="shared" si="801"/>
        <v>0</v>
      </c>
      <c r="CM364" s="50">
        <f t="shared" si="801"/>
        <v>0</v>
      </c>
      <c r="CN364" s="50">
        <f t="shared" si="801"/>
        <v>0</v>
      </c>
      <c r="CO364" s="50">
        <f t="shared" ref="CO364:EV364" si="802">CO365+CO370</f>
        <v>0</v>
      </c>
      <c r="CP364" s="50">
        <f t="shared" si="802"/>
        <v>0</v>
      </c>
      <c r="CQ364" s="50">
        <f t="shared" si="802"/>
        <v>0</v>
      </c>
      <c r="CR364" s="50">
        <f t="shared" si="802"/>
        <v>0</v>
      </c>
      <c r="CS364" s="50">
        <f t="shared" si="802"/>
        <v>0</v>
      </c>
      <c r="CT364" s="50">
        <f t="shared" si="802"/>
        <v>0</v>
      </c>
      <c r="CU364" s="50">
        <f t="shared" si="802"/>
        <v>0</v>
      </c>
      <c r="CV364" s="50">
        <f t="shared" si="802"/>
        <v>0</v>
      </c>
      <c r="CW364" s="50">
        <f t="shared" si="802"/>
        <v>0</v>
      </c>
      <c r="CX364" s="50">
        <f t="shared" si="802"/>
        <v>0</v>
      </c>
      <c r="CY364" s="50">
        <f t="shared" si="802"/>
        <v>0</v>
      </c>
      <c r="CZ364" s="50">
        <f t="shared" si="802"/>
        <v>0</v>
      </c>
      <c r="DA364" s="50">
        <f t="shared" si="802"/>
        <v>0</v>
      </c>
      <c r="DB364" s="50">
        <f t="shared" si="802"/>
        <v>0</v>
      </c>
      <c r="DC364" s="50">
        <f t="shared" si="802"/>
        <v>0</v>
      </c>
      <c r="DD364" s="50">
        <f t="shared" si="802"/>
        <v>0</v>
      </c>
      <c r="DE364" s="50">
        <f t="shared" si="802"/>
        <v>430000000</v>
      </c>
      <c r="DF364" s="50">
        <f t="shared" si="802"/>
        <v>1579534666</v>
      </c>
      <c r="DG364" s="50">
        <f t="shared" si="802"/>
        <v>777372277</v>
      </c>
      <c r="DH364" s="50">
        <f t="shared" si="802"/>
        <v>744296577</v>
      </c>
      <c r="DI364" s="50">
        <f t="shared" si="802"/>
        <v>0</v>
      </c>
      <c r="DJ364" s="50">
        <f t="shared" si="802"/>
        <v>0</v>
      </c>
      <c r="DK364" s="50">
        <f t="shared" si="802"/>
        <v>0</v>
      </c>
      <c r="DL364" s="50">
        <f t="shared" si="802"/>
        <v>0</v>
      </c>
      <c r="DM364" s="50">
        <f t="shared" si="802"/>
        <v>0</v>
      </c>
      <c r="DN364" s="50">
        <f t="shared" si="802"/>
        <v>0</v>
      </c>
      <c r="DO364" s="50">
        <f t="shared" si="802"/>
        <v>60000000</v>
      </c>
      <c r="DP364" s="50">
        <f t="shared" si="802"/>
        <v>60000000</v>
      </c>
      <c r="DQ364" s="50">
        <f t="shared" si="802"/>
        <v>57000000</v>
      </c>
      <c r="DR364" s="50">
        <f t="shared" si="802"/>
        <v>0</v>
      </c>
      <c r="DS364" s="50">
        <f t="shared" si="802"/>
        <v>350000000</v>
      </c>
      <c r="DT364" s="50">
        <f t="shared" si="802"/>
        <v>796000000</v>
      </c>
      <c r="DU364" s="50">
        <f t="shared" si="802"/>
        <v>599743321</v>
      </c>
      <c r="DV364" s="50">
        <f t="shared" si="802"/>
        <v>593140421</v>
      </c>
      <c r="DW364" s="50">
        <f t="shared" si="802"/>
        <v>0</v>
      </c>
      <c r="DX364" s="50">
        <f t="shared" si="802"/>
        <v>0</v>
      </c>
      <c r="DY364" s="50">
        <f t="shared" si="802"/>
        <v>0</v>
      </c>
      <c r="DZ364" s="50">
        <f t="shared" si="802"/>
        <v>0</v>
      </c>
      <c r="EA364" s="50">
        <f t="shared" si="802"/>
        <v>0</v>
      </c>
      <c r="EB364" s="50">
        <f t="shared" si="802"/>
        <v>0</v>
      </c>
      <c r="EC364" s="50">
        <f t="shared" si="802"/>
        <v>0</v>
      </c>
      <c r="ED364" s="50">
        <f t="shared" si="802"/>
        <v>0</v>
      </c>
      <c r="EE364" s="50">
        <f t="shared" si="802"/>
        <v>0</v>
      </c>
      <c r="EF364" s="50">
        <f t="shared" si="802"/>
        <v>0</v>
      </c>
      <c r="EG364" s="50">
        <f t="shared" si="802"/>
        <v>0</v>
      </c>
      <c r="EH364" s="50">
        <f t="shared" si="802"/>
        <v>0</v>
      </c>
      <c r="EI364" s="50">
        <f t="shared" si="802"/>
        <v>0</v>
      </c>
      <c r="EJ364" s="50">
        <f t="shared" si="802"/>
        <v>0</v>
      </c>
      <c r="EK364" s="50">
        <f t="shared" si="802"/>
        <v>0</v>
      </c>
      <c r="EL364" s="50">
        <f t="shared" si="802"/>
        <v>0</v>
      </c>
      <c r="EM364" s="50">
        <f t="shared" si="802"/>
        <v>0</v>
      </c>
      <c r="EN364" s="50">
        <f t="shared" si="802"/>
        <v>0</v>
      </c>
      <c r="EO364" s="50">
        <f t="shared" si="802"/>
        <v>0</v>
      </c>
      <c r="EP364" s="50">
        <f t="shared" si="802"/>
        <v>0</v>
      </c>
      <c r="EQ364" s="50">
        <f t="shared" si="802"/>
        <v>0</v>
      </c>
      <c r="ER364" s="50">
        <f t="shared" si="802"/>
        <v>0</v>
      </c>
      <c r="ES364" s="50">
        <f t="shared" si="802"/>
        <v>0</v>
      </c>
      <c r="ET364" s="50">
        <f t="shared" si="802"/>
        <v>0</v>
      </c>
      <c r="EU364" s="50">
        <f t="shared" si="802"/>
        <v>0</v>
      </c>
      <c r="EV364" s="50">
        <f t="shared" si="802"/>
        <v>0</v>
      </c>
      <c r="EW364" s="50">
        <f t="shared" ref="EW364" si="803">EW365+EW370</f>
        <v>350000000</v>
      </c>
      <c r="EX364" s="50">
        <f t="shared" ref="EX364:GZ364" si="804">EX365+EX370</f>
        <v>856000000</v>
      </c>
      <c r="EY364" s="50">
        <f t="shared" si="804"/>
        <v>659743321</v>
      </c>
      <c r="EZ364" s="50">
        <f t="shared" si="804"/>
        <v>650140421</v>
      </c>
      <c r="FA364" s="50">
        <f t="shared" si="804"/>
        <v>0</v>
      </c>
      <c r="FB364" s="50">
        <f t="shared" si="804"/>
        <v>0</v>
      </c>
      <c r="FC364" s="50">
        <f t="shared" si="804"/>
        <v>0</v>
      </c>
      <c r="FD364" s="50">
        <f t="shared" si="804"/>
        <v>0</v>
      </c>
      <c r="FE364" s="50">
        <f t="shared" si="804"/>
        <v>0</v>
      </c>
      <c r="FF364" s="50">
        <f t="shared" si="804"/>
        <v>0</v>
      </c>
      <c r="FG364" s="50">
        <f t="shared" si="804"/>
        <v>0</v>
      </c>
      <c r="FH364" s="50">
        <f t="shared" si="804"/>
        <v>80000000</v>
      </c>
      <c r="FI364" s="50">
        <f t="shared" si="804"/>
        <v>36701733</v>
      </c>
      <c r="FJ364" s="50">
        <f t="shared" si="804"/>
        <v>0</v>
      </c>
      <c r="FK364" s="50">
        <f t="shared" si="804"/>
        <v>0</v>
      </c>
      <c r="FL364" s="50">
        <f t="shared" si="804"/>
        <v>330000000</v>
      </c>
      <c r="FM364" s="50">
        <f t="shared" si="804"/>
        <v>607235128</v>
      </c>
      <c r="FN364" s="50">
        <f t="shared" si="804"/>
        <v>504373465</v>
      </c>
      <c r="FO364" s="50">
        <f t="shared" si="804"/>
        <v>250904632</v>
      </c>
      <c r="FP364" s="50">
        <f t="shared" si="804"/>
        <v>1690000</v>
      </c>
      <c r="FQ364" s="50">
        <f t="shared" si="804"/>
        <v>0</v>
      </c>
      <c r="FR364" s="50">
        <f t="shared" si="804"/>
        <v>0</v>
      </c>
      <c r="FS364" s="50">
        <f t="shared" si="804"/>
        <v>0</v>
      </c>
      <c r="FT364" s="50">
        <f t="shared" si="804"/>
        <v>0</v>
      </c>
      <c r="FU364" s="50">
        <f t="shared" si="804"/>
        <v>0</v>
      </c>
      <c r="FV364" s="50">
        <f t="shared" si="804"/>
        <v>0</v>
      </c>
      <c r="FW364" s="50">
        <f t="shared" si="804"/>
        <v>0</v>
      </c>
      <c r="FX364" s="50">
        <f t="shared" si="804"/>
        <v>0</v>
      </c>
      <c r="FY364" s="50">
        <f t="shared" si="804"/>
        <v>0</v>
      </c>
      <c r="FZ364" s="50">
        <f t="shared" si="804"/>
        <v>0</v>
      </c>
      <c r="GA364" s="50">
        <f t="shared" si="804"/>
        <v>0</v>
      </c>
      <c r="GB364" s="50">
        <f t="shared" si="804"/>
        <v>0</v>
      </c>
      <c r="GC364" s="50">
        <f t="shared" si="804"/>
        <v>0</v>
      </c>
      <c r="GD364" s="50">
        <f t="shared" si="804"/>
        <v>0</v>
      </c>
      <c r="GE364" s="50">
        <f t="shared" si="804"/>
        <v>0</v>
      </c>
      <c r="GF364" s="50">
        <f t="shared" si="804"/>
        <v>0</v>
      </c>
      <c r="GG364" s="50">
        <f t="shared" si="804"/>
        <v>0</v>
      </c>
      <c r="GH364" s="50">
        <f t="shared" si="804"/>
        <v>0</v>
      </c>
      <c r="GI364" s="50">
        <f t="shared" si="804"/>
        <v>0</v>
      </c>
      <c r="GJ364" s="50">
        <f t="shared" si="804"/>
        <v>0</v>
      </c>
      <c r="GK364" s="50">
        <f t="shared" si="804"/>
        <v>0</v>
      </c>
      <c r="GL364" s="50">
        <f t="shared" si="804"/>
        <v>0</v>
      </c>
      <c r="GM364" s="50">
        <f t="shared" si="804"/>
        <v>0</v>
      </c>
      <c r="GN364" s="50">
        <f t="shared" si="804"/>
        <v>0</v>
      </c>
      <c r="GO364" s="50">
        <f t="shared" si="804"/>
        <v>0</v>
      </c>
      <c r="GP364" s="50">
        <f t="shared" si="804"/>
        <v>0</v>
      </c>
      <c r="GQ364" s="50">
        <f t="shared" si="804"/>
        <v>0</v>
      </c>
      <c r="GR364" s="50">
        <f t="shared" si="804"/>
        <v>0</v>
      </c>
      <c r="GS364" s="50">
        <f t="shared" si="804"/>
        <v>0</v>
      </c>
      <c r="GT364" s="50">
        <f t="shared" si="804"/>
        <v>0</v>
      </c>
      <c r="GU364" s="50">
        <f t="shared" si="804"/>
        <v>330000000</v>
      </c>
      <c r="GV364" s="50">
        <f t="shared" si="804"/>
        <v>687235128</v>
      </c>
      <c r="GW364" s="50">
        <f t="shared" si="804"/>
        <v>541075198</v>
      </c>
      <c r="GX364" s="50">
        <f t="shared" si="804"/>
        <v>250904632</v>
      </c>
      <c r="GY364" s="50">
        <f t="shared" si="804"/>
        <v>1690000</v>
      </c>
      <c r="GZ364" s="50">
        <f t="shared" si="804"/>
        <v>1510000000</v>
      </c>
    </row>
    <row r="365" spans="1:208" ht="24.75" customHeight="1" x14ac:dyDescent="0.2">
      <c r="A365" s="326"/>
      <c r="B365" s="993"/>
      <c r="C365" s="246">
        <v>83</v>
      </c>
      <c r="D365" s="247" t="s">
        <v>819</v>
      </c>
      <c r="E365" s="250"/>
      <c r="F365" s="250"/>
      <c r="G365" s="249"/>
      <c r="H365" s="249"/>
      <c r="I365" s="249"/>
      <c r="J365" s="249"/>
      <c r="K365" s="249"/>
      <c r="L365" s="249"/>
      <c r="M365" s="249"/>
      <c r="N365" s="249"/>
      <c r="O365" s="249"/>
      <c r="P365" s="249"/>
      <c r="Q365" s="249"/>
      <c r="R365" s="249"/>
      <c r="S365" s="249"/>
      <c r="T365" s="249"/>
      <c r="U365" s="249"/>
      <c r="V365" s="249"/>
      <c r="W365" s="249"/>
      <c r="X365" s="249"/>
      <c r="Y365" s="296"/>
      <c r="Z365" s="249"/>
      <c r="AA365" s="249"/>
      <c r="AB365" s="249"/>
      <c r="AC365" s="51">
        <f t="shared" ref="AC365:BL365" si="805">SUM(AC366:AC369)</f>
        <v>0</v>
      </c>
      <c r="AD365" s="51">
        <f t="shared" si="805"/>
        <v>0</v>
      </c>
      <c r="AE365" s="51">
        <f t="shared" si="805"/>
        <v>0</v>
      </c>
      <c r="AF365" s="51">
        <f t="shared" si="805"/>
        <v>0</v>
      </c>
      <c r="AG365" s="51">
        <f t="shared" si="805"/>
        <v>0</v>
      </c>
      <c r="AH365" s="51">
        <f t="shared" si="805"/>
        <v>0</v>
      </c>
      <c r="AI365" s="51">
        <f t="shared" si="805"/>
        <v>0</v>
      </c>
      <c r="AJ365" s="51">
        <f t="shared" si="805"/>
        <v>0</v>
      </c>
      <c r="AK365" s="51">
        <f t="shared" si="805"/>
        <v>350000000</v>
      </c>
      <c r="AL365" s="51">
        <f t="shared" si="805"/>
        <v>450000000</v>
      </c>
      <c r="AM365" s="51">
        <f t="shared" si="805"/>
        <v>109350000</v>
      </c>
      <c r="AN365" s="51">
        <f t="shared" si="805"/>
        <v>109350000</v>
      </c>
      <c r="AO365" s="51">
        <f t="shared" si="805"/>
        <v>0</v>
      </c>
      <c r="AP365" s="51">
        <f t="shared" si="805"/>
        <v>0</v>
      </c>
      <c r="AQ365" s="51">
        <f t="shared" si="805"/>
        <v>0</v>
      </c>
      <c r="AR365" s="51">
        <f t="shared" si="805"/>
        <v>0</v>
      </c>
      <c r="AS365" s="51">
        <f t="shared" si="805"/>
        <v>0</v>
      </c>
      <c r="AT365" s="51">
        <f t="shared" si="805"/>
        <v>0</v>
      </c>
      <c r="AU365" s="51">
        <f t="shared" si="805"/>
        <v>0</v>
      </c>
      <c r="AV365" s="51">
        <f t="shared" si="805"/>
        <v>0</v>
      </c>
      <c r="AW365" s="51">
        <f t="shared" si="805"/>
        <v>0</v>
      </c>
      <c r="AX365" s="51">
        <f t="shared" si="805"/>
        <v>0</v>
      </c>
      <c r="AY365" s="51">
        <f t="shared" si="805"/>
        <v>0</v>
      </c>
      <c r="AZ365" s="51">
        <f t="shared" si="805"/>
        <v>0</v>
      </c>
      <c r="BA365" s="51">
        <f t="shared" si="805"/>
        <v>0</v>
      </c>
      <c r="BB365" s="51">
        <f t="shared" si="805"/>
        <v>0</v>
      </c>
      <c r="BC365" s="51">
        <f t="shared" si="805"/>
        <v>0</v>
      </c>
      <c r="BD365" s="51">
        <f t="shared" si="805"/>
        <v>0</v>
      </c>
      <c r="BE365" s="51">
        <f t="shared" si="805"/>
        <v>0</v>
      </c>
      <c r="BF365" s="51">
        <f t="shared" si="805"/>
        <v>0</v>
      </c>
      <c r="BG365" s="51">
        <f t="shared" si="805"/>
        <v>0</v>
      </c>
      <c r="BH365" s="51">
        <f t="shared" si="805"/>
        <v>0</v>
      </c>
      <c r="BI365" s="51">
        <f t="shared" si="805"/>
        <v>0</v>
      </c>
      <c r="BJ365" s="51">
        <f t="shared" si="805"/>
        <v>0</v>
      </c>
      <c r="BK365" s="51">
        <f t="shared" si="805"/>
        <v>0</v>
      </c>
      <c r="BL365" s="51">
        <f t="shared" si="805"/>
        <v>0</v>
      </c>
      <c r="BM365" s="51">
        <f t="shared" ref="BM365:DX365" si="806">SUM(BM366:BM369)</f>
        <v>350000000</v>
      </c>
      <c r="BN365" s="51">
        <f t="shared" si="806"/>
        <v>450000000</v>
      </c>
      <c r="BO365" s="51">
        <f t="shared" si="806"/>
        <v>109350000</v>
      </c>
      <c r="BP365" s="51">
        <f t="shared" si="806"/>
        <v>109350000</v>
      </c>
      <c r="BQ365" s="51">
        <f t="shared" si="806"/>
        <v>0</v>
      </c>
      <c r="BR365" s="51">
        <f t="shared" si="806"/>
        <v>0</v>
      </c>
      <c r="BS365" s="51">
        <f t="shared" si="806"/>
        <v>0</v>
      </c>
      <c r="BT365" s="51">
        <f t="shared" si="806"/>
        <v>0</v>
      </c>
      <c r="BU365" s="51">
        <f t="shared" si="806"/>
        <v>0</v>
      </c>
      <c r="BV365" s="51">
        <f t="shared" si="806"/>
        <v>400000000</v>
      </c>
      <c r="BW365" s="51">
        <f t="shared" si="806"/>
        <v>258706251</v>
      </c>
      <c r="BX365" s="51">
        <f t="shared" si="806"/>
        <v>244426251</v>
      </c>
      <c r="BY365" s="51">
        <f t="shared" si="806"/>
        <v>0</v>
      </c>
      <c r="BZ365" s="51">
        <f t="shared" si="806"/>
        <v>350000000</v>
      </c>
      <c r="CA365" s="51">
        <f t="shared" si="806"/>
        <v>1099534666</v>
      </c>
      <c r="CB365" s="51">
        <f t="shared" si="806"/>
        <v>467812696</v>
      </c>
      <c r="CC365" s="51">
        <f t="shared" si="806"/>
        <v>458147996</v>
      </c>
      <c r="CD365" s="51">
        <f t="shared" si="806"/>
        <v>0</v>
      </c>
      <c r="CE365" s="51">
        <f t="shared" si="806"/>
        <v>0</v>
      </c>
      <c r="CF365" s="51">
        <f t="shared" si="806"/>
        <v>0</v>
      </c>
      <c r="CG365" s="51">
        <f t="shared" si="806"/>
        <v>0</v>
      </c>
      <c r="CH365" s="51">
        <f t="shared" si="806"/>
        <v>0</v>
      </c>
      <c r="CI365" s="51">
        <f t="shared" si="806"/>
        <v>0</v>
      </c>
      <c r="CJ365" s="51">
        <f t="shared" si="806"/>
        <v>0</v>
      </c>
      <c r="CK365" s="51">
        <f t="shared" si="806"/>
        <v>0</v>
      </c>
      <c r="CL365" s="51">
        <f t="shared" si="806"/>
        <v>0</v>
      </c>
      <c r="CM365" s="51">
        <f t="shared" si="806"/>
        <v>0</v>
      </c>
      <c r="CN365" s="51">
        <f t="shared" si="806"/>
        <v>0</v>
      </c>
      <c r="CO365" s="51">
        <f t="shared" si="806"/>
        <v>0</v>
      </c>
      <c r="CP365" s="51">
        <f t="shared" si="806"/>
        <v>0</v>
      </c>
      <c r="CQ365" s="51">
        <f t="shared" si="806"/>
        <v>0</v>
      </c>
      <c r="CR365" s="51">
        <f t="shared" si="806"/>
        <v>0</v>
      </c>
      <c r="CS365" s="51">
        <f t="shared" si="806"/>
        <v>0</v>
      </c>
      <c r="CT365" s="51">
        <f t="shared" si="806"/>
        <v>0</v>
      </c>
      <c r="CU365" s="51">
        <f t="shared" si="806"/>
        <v>0</v>
      </c>
      <c r="CV365" s="51">
        <f t="shared" si="806"/>
        <v>0</v>
      </c>
      <c r="CW365" s="51">
        <f t="shared" si="806"/>
        <v>0</v>
      </c>
      <c r="CX365" s="51">
        <f t="shared" si="806"/>
        <v>0</v>
      </c>
      <c r="CY365" s="51">
        <f t="shared" si="806"/>
        <v>0</v>
      </c>
      <c r="CZ365" s="51">
        <f t="shared" si="806"/>
        <v>0</v>
      </c>
      <c r="DA365" s="51">
        <f t="shared" si="806"/>
        <v>0</v>
      </c>
      <c r="DB365" s="51">
        <f t="shared" si="806"/>
        <v>0</v>
      </c>
      <c r="DC365" s="51">
        <f t="shared" si="806"/>
        <v>0</v>
      </c>
      <c r="DD365" s="51">
        <f t="shared" si="806"/>
        <v>0</v>
      </c>
      <c r="DE365" s="51">
        <f t="shared" si="806"/>
        <v>350000000</v>
      </c>
      <c r="DF365" s="51">
        <f t="shared" si="806"/>
        <v>1499534666</v>
      </c>
      <c r="DG365" s="51">
        <f t="shared" si="806"/>
        <v>726518947</v>
      </c>
      <c r="DH365" s="51">
        <f t="shared" si="806"/>
        <v>702574247</v>
      </c>
      <c r="DI365" s="51">
        <f t="shared" si="806"/>
        <v>0</v>
      </c>
      <c r="DJ365" s="51">
        <f t="shared" si="806"/>
        <v>0</v>
      </c>
      <c r="DK365" s="51">
        <f t="shared" si="806"/>
        <v>0</v>
      </c>
      <c r="DL365" s="51">
        <f t="shared" si="806"/>
        <v>0</v>
      </c>
      <c r="DM365" s="51">
        <f t="shared" si="806"/>
        <v>0</v>
      </c>
      <c r="DN365" s="51">
        <f t="shared" si="806"/>
        <v>0</v>
      </c>
      <c r="DO365" s="51">
        <f t="shared" si="806"/>
        <v>60000000</v>
      </c>
      <c r="DP365" s="51">
        <f t="shared" si="806"/>
        <v>60000000</v>
      </c>
      <c r="DQ365" s="51">
        <f t="shared" si="806"/>
        <v>57000000</v>
      </c>
      <c r="DR365" s="51">
        <f t="shared" si="806"/>
        <v>0</v>
      </c>
      <c r="DS365" s="51">
        <f t="shared" si="806"/>
        <v>300000000</v>
      </c>
      <c r="DT365" s="51">
        <f t="shared" si="806"/>
        <v>717000000</v>
      </c>
      <c r="DU365" s="51">
        <f t="shared" si="806"/>
        <v>527956651</v>
      </c>
      <c r="DV365" s="51">
        <f t="shared" si="806"/>
        <v>522203751</v>
      </c>
      <c r="DW365" s="51">
        <f t="shared" si="806"/>
        <v>0</v>
      </c>
      <c r="DX365" s="51">
        <f t="shared" si="806"/>
        <v>0</v>
      </c>
      <c r="DY365" s="51">
        <f t="shared" ref="DY365:EW365" si="807">SUM(DY366:DY369)</f>
        <v>0</v>
      </c>
      <c r="DZ365" s="51">
        <f t="shared" si="807"/>
        <v>0</v>
      </c>
      <c r="EA365" s="51">
        <f t="shared" si="807"/>
        <v>0</v>
      </c>
      <c r="EB365" s="51">
        <f t="shared" si="807"/>
        <v>0</v>
      </c>
      <c r="EC365" s="51">
        <f t="shared" si="807"/>
        <v>0</v>
      </c>
      <c r="ED365" s="51">
        <f t="shared" si="807"/>
        <v>0</v>
      </c>
      <c r="EE365" s="51">
        <f t="shared" si="807"/>
        <v>0</v>
      </c>
      <c r="EF365" s="51">
        <f t="shared" si="807"/>
        <v>0</v>
      </c>
      <c r="EG365" s="51">
        <f t="shared" si="807"/>
        <v>0</v>
      </c>
      <c r="EH365" s="51">
        <f t="shared" si="807"/>
        <v>0</v>
      </c>
      <c r="EI365" s="51">
        <f t="shared" si="807"/>
        <v>0</v>
      </c>
      <c r="EJ365" s="51">
        <f t="shared" si="807"/>
        <v>0</v>
      </c>
      <c r="EK365" s="51">
        <f t="shared" si="807"/>
        <v>0</v>
      </c>
      <c r="EL365" s="51">
        <f t="shared" si="807"/>
        <v>0</v>
      </c>
      <c r="EM365" s="51">
        <f t="shared" si="807"/>
        <v>0</v>
      </c>
      <c r="EN365" s="51">
        <f t="shared" si="807"/>
        <v>0</v>
      </c>
      <c r="EO365" s="51">
        <f t="shared" si="807"/>
        <v>0</v>
      </c>
      <c r="EP365" s="51">
        <f t="shared" si="807"/>
        <v>0</v>
      </c>
      <c r="EQ365" s="51">
        <f t="shared" si="807"/>
        <v>0</v>
      </c>
      <c r="ER365" s="51">
        <f t="shared" si="807"/>
        <v>0</v>
      </c>
      <c r="ES365" s="51">
        <f t="shared" si="807"/>
        <v>0</v>
      </c>
      <c r="ET365" s="51">
        <f t="shared" si="807"/>
        <v>0</v>
      </c>
      <c r="EU365" s="51">
        <f t="shared" si="807"/>
        <v>0</v>
      </c>
      <c r="EV365" s="51">
        <f t="shared" si="807"/>
        <v>0</v>
      </c>
      <c r="EW365" s="51">
        <f t="shared" si="807"/>
        <v>300000000</v>
      </c>
      <c r="EX365" s="51">
        <f t="shared" ref="EX365:GZ365" si="808">SUM(EX366:EX369)</f>
        <v>777000000</v>
      </c>
      <c r="EY365" s="51">
        <f t="shared" si="808"/>
        <v>587956651</v>
      </c>
      <c r="EZ365" s="51">
        <f t="shared" si="808"/>
        <v>579203751</v>
      </c>
      <c r="FA365" s="51">
        <f t="shared" si="808"/>
        <v>0</v>
      </c>
      <c r="FB365" s="51">
        <f t="shared" si="808"/>
        <v>0</v>
      </c>
      <c r="FC365" s="51">
        <f t="shared" si="808"/>
        <v>0</v>
      </c>
      <c r="FD365" s="51">
        <f t="shared" si="808"/>
        <v>0</v>
      </c>
      <c r="FE365" s="51">
        <f t="shared" si="808"/>
        <v>0</v>
      </c>
      <c r="FF365" s="51">
        <f t="shared" si="808"/>
        <v>0</v>
      </c>
      <c r="FG365" s="51">
        <f t="shared" si="808"/>
        <v>0</v>
      </c>
      <c r="FH365" s="51">
        <f t="shared" si="808"/>
        <v>50000000</v>
      </c>
      <c r="FI365" s="51">
        <f t="shared" si="808"/>
        <v>21701733</v>
      </c>
      <c r="FJ365" s="51">
        <f t="shared" si="808"/>
        <v>0</v>
      </c>
      <c r="FK365" s="51">
        <f t="shared" si="808"/>
        <v>0</v>
      </c>
      <c r="FL365" s="51">
        <f t="shared" si="808"/>
        <v>280000000</v>
      </c>
      <c r="FM365" s="51">
        <f t="shared" si="808"/>
        <v>529048128</v>
      </c>
      <c r="FN365" s="51">
        <f t="shared" si="808"/>
        <v>431907532</v>
      </c>
      <c r="FO365" s="51">
        <f t="shared" si="808"/>
        <v>228046300</v>
      </c>
      <c r="FP365" s="51">
        <f t="shared" si="808"/>
        <v>1690000</v>
      </c>
      <c r="FQ365" s="51">
        <f t="shared" si="808"/>
        <v>0</v>
      </c>
      <c r="FR365" s="51">
        <f t="shared" si="808"/>
        <v>0</v>
      </c>
      <c r="FS365" s="51">
        <f t="shared" si="808"/>
        <v>0</v>
      </c>
      <c r="FT365" s="51">
        <f t="shared" si="808"/>
        <v>0</v>
      </c>
      <c r="FU365" s="51">
        <f t="shared" si="808"/>
        <v>0</v>
      </c>
      <c r="FV365" s="51">
        <f t="shared" si="808"/>
        <v>0</v>
      </c>
      <c r="FW365" s="51">
        <f t="shared" si="808"/>
        <v>0</v>
      </c>
      <c r="FX365" s="51">
        <f t="shared" si="808"/>
        <v>0</v>
      </c>
      <c r="FY365" s="51">
        <f t="shared" si="808"/>
        <v>0</v>
      </c>
      <c r="FZ365" s="51">
        <f t="shared" si="808"/>
        <v>0</v>
      </c>
      <c r="GA365" s="51">
        <f t="shared" si="808"/>
        <v>0</v>
      </c>
      <c r="GB365" s="51">
        <f t="shared" si="808"/>
        <v>0</v>
      </c>
      <c r="GC365" s="51">
        <f t="shared" si="808"/>
        <v>0</v>
      </c>
      <c r="GD365" s="51">
        <f t="shared" si="808"/>
        <v>0</v>
      </c>
      <c r="GE365" s="51">
        <f t="shared" si="808"/>
        <v>0</v>
      </c>
      <c r="GF365" s="51">
        <f t="shared" si="808"/>
        <v>0</v>
      </c>
      <c r="GG365" s="51">
        <f t="shared" si="808"/>
        <v>0</v>
      </c>
      <c r="GH365" s="51">
        <f t="shared" si="808"/>
        <v>0</v>
      </c>
      <c r="GI365" s="51">
        <f t="shared" si="808"/>
        <v>0</v>
      </c>
      <c r="GJ365" s="51">
        <f t="shared" si="808"/>
        <v>0</v>
      </c>
      <c r="GK365" s="51">
        <f t="shared" si="808"/>
        <v>0</v>
      </c>
      <c r="GL365" s="51">
        <f t="shared" si="808"/>
        <v>0</v>
      </c>
      <c r="GM365" s="51">
        <f t="shared" si="808"/>
        <v>0</v>
      </c>
      <c r="GN365" s="51">
        <f t="shared" si="808"/>
        <v>0</v>
      </c>
      <c r="GO365" s="51">
        <f t="shared" si="808"/>
        <v>0</v>
      </c>
      <c r="GP365" s="51">
        <f t="shared" si="808"/>
        <v>0</v>
      </c>
      <c r="GQ365" s="51">
        <f t="shared" si="808"/>
        <v>0</v>
      </c>
      <c r="GR365" s="51">
        <f t="shared" si="808"/>
        <v>0</v>
      </c>
      <c r="GS365" s="51">
        <f t="shared" si="808"/>
        <v>0</v>
      </c>
      <c r="GT365" s="51">
        <f t="shared" si="808"/>
        <v>0</v>
      </c>
      <c r="GU365" s="51">
        <f t="shared" si="808"/>
        <v>280000000</v>
      </c>
      <c r="GV365" s="51">
        <f t="shared" si="808"/>
        <v>579048128</v>
      </c>
      <c r="GW365" s="51">
        <f t="shared" si="808"/>
        <v>453609265</v>
      </c>
      <c r="GX365" s="51">
        <f t="shared" si="808"/>
        <v>228046300</v>
      </c>
      <c r="GY365" s="51">
        <f t="shared" si="808"/>
        <v>1690000</v>
      </c>
      <c r="GZ365" s="51">
        <f t="shared" si="808"/>
        <v>1280000000</v>
      </c>
    </row>
    <row r="366" spans="1:208" ht="93.75" customHeight="1" x14ac:dyDescent="0.2">
      <c r="A366" s="326"/>
      <c r="B366" s="326"/>
      <c r="C366" s="456">
        <v>37</v>
      </c>
      <c r="D366" s="258" t="s">
        <v>536</v>
      </c>
      <c r="E366" s="619" t="s">
        <v>537</v>
      </c>
      <c r="F366" s="439">
        <v>0.6</v>
      </c>
      <c r="G366" s="265">
        <v>243</v>
      </c>
      <c r="H366" s="358" t="s">
        <v>820</v>
      </c>
      <c r="I366" s="275" t="s">
        <v>821</v>
      </c>
      <c r="J366" s="262" t="s">
        <v>822</v>
      </c>
      <c r="K366" s="262">
        <v>17</v>
      </c>
      <c r="L366" s="304" t="s">
        <v>73</v>
      </c>
      <c r="M366" s="288" t="s">
        <v>53</v>
      </c>
      <c r="N366" s="288">
        <v>20</v>
      </c>
      <c r="O366" s="259">
        <v>2</v>
      </c>
      <c r="P366" s="394">
        <v>2</v>
      </c>
      <c r="Q366" s="288">
        <v>6</v>
      </c>
      <c r="R366" s="554"/>
      <c r="S366" s="389">
        <v>6</v>
      </c>
      <c r="T366" s="288">
        <v>6</v>
      </c>
      <c r="U366" s="288"/>
      <c r="V366" s="389">
        <v>6</v>
      </c>
      <c r="W366" s="288">
        <v>6</v>
      </c>
      <c r="X366" s="304"/>
      <c r="Y366" s="631">
        <v>6</v>
      </c>
      <c r="Z366" s="443">
        <f>BM366/$BM$365</f>
        <v>0.2857142857142857</v>
      </c>
      <c r="AA366" s="264">
        <v>16</v>
      </c>
      <c r="AB366" s="263" t="s">
        <v>376</v>
      </c>
      <c r="AC366" s="57"/>
      <c r="AD366" s="58"/>
      <c r="AE366" s="59"/>
      <c r="AF366" s="59"/>
      <c r="AG366" s="57"/>
      <c r="AH366" s="58"/>
      <c r="AI366" s="58"/>
      <c r="AJ366" s="58"/>
      <c r="AK366" s="57">
        <f>48000000+52000000</f>
        <v>100000000</v>
      </c>
      <c r="AL366" s="55">
        <v>100000000</v>
      </c>
      <c r="AM366" s="55">
        <v>82950000</v>
      </c>
      <c r="AN366" s="55">
        <v>82950000</v>
      </c>
      <c r="AO366" s="57"/>
      <c r="AP366" s="58"/>
      <c r="AQ366" s="58"/>
      <c r="AR366" s="58"/>
      <c r="AS366" s="57"/>
      <c r="AT366" s="58"/>
      <c r="AU366" s="59"/>
      <c r="AV366" s="59"/>
      <c r="AW366" s="57"/>
      <c r="AX366" s="58"/>
      <c r="AY366" s="58"/>
      <c r="AZ366" s="58"/>
      <c r="BA366" s="57"/>
      <c r="BB366" s="58"/>
      <c r="BC366" s="58"/>
      <c r="BD366" s="58"/>
      <c r="BE366" s="57"/>
      <c r="BF366" s="58"/>
      <c r="BG366" s="59"/>
      <c r="BH366" s="59"/>
      <c r="BI366" s="57"/>
      <c r="BJ366" s="58"/>
      <c r="BK366" s="58"/>
      <c r="BL366" s="58"/>
      <c r="BM366" s="53">
        <f>+AC366+AG366+AK366+AO366+AS366+AW366+BA366+BE366+BI366</f>
        <v>100000000</v>
      </c>
      <c r="BN366" s="54">
        <f t="shared" ref="BN366:BP369" si="809">AD366+AH366+AL366+AP366+AT366+AX366+BB366+BF366+BJ366</f>
        <v>100000000</v>
      </c>
      <c r="BO366" s="54">
        <f t="shared" si="809"/>
        <v>82950000</v>
      </c>
      <c r="BP366" s="54">
        <f t="shared" si="809"/>
        <v>82950000</v>
      </c>
      <c r="BQ366" s="83"/>
      <c r="BR366" s="83"/>
      <c r="BS366" s="83"/>
      <c r="BT366" s="83"/>
      <c r="BU366" s="83"/>
      <c r="BV366" s="83"/>
      <c r="BW366" s="83"/>
      <c r="BX366" s="83"/>
      <c r="BY366" s="83"/>
      <c r="BZ366" s="83">
        <v>100000000</v>
      </c>
      <c r="CA366" s="83">
        <v>100000000</v>
      </c>
      <c r="CB366" s="83">
        <v>90287997</v>
      </c>
      <c r="CC366" s="83">
        <v>90287997</v>
      </c>
      <c r="CD366" s="83"/>
      <c r="CE366" s="83"/>
      <c r="CF366" s="83"/>
      <c r="CG366" s="83"/>
      <c r="CH366" s="83"/>
      <c r="CI366" s="83"/>
      <c r="CJ366" s="83"/>
      <c r="CK366" s="83"/>
      <c r="CL366" s="83"/>
      <c r="CM366" s="83"/>
      <c r="CN366" s="83"/>
      <c r="CO366" s="83"/>
      <c r="CP366" s="83"/>
      <c r="CQ366" s="83"/>
      <c r="CR366" s="83"/>
      <c r="CS366" s="83"/>
      <c r="CT366" s="83"/>
      <c r="CU366" s="83"/>
      <c r="CV366" s="83"/>
      <c r="CW366" s="83"/>
      <c r="CX366" s="83"/>
      <c r="CY366" s="83"/>
      <c r="CZ366" s="83"/>
      <c r="DA366" s="83"/>
      <c r="DB366" s="83"/>
      <c r="DC366" s="83"/>
      <c r="DD366" s="83"/>
      <c r="DE366" s="81">
        <f t="shared" ref="DE366:DH369" si="810">BQ366+BU366+BZ366+CE366+CI366+CM366+CQ366+CV366+DA366</f>
        <v>100000000</v>
      </c>
      <c r="DF366" s="95">
        <f t="shared" si="810"/>
        <v>100000000</v>
      </c>
      <c r="DG366" s="95">
        <f t="shared" si="810"/>
        <v>90287997</v>
      </c>
      <c r="DH366" s="95">
        <f t="shared" si="810"/>
        <v>90287997</v>
      </c>
      <c r="DI366" s="95"/>
      <c r="DJ366" s="83"/>
      <c r="DK366" s="82"/>
      <c r="DL366" s="83"/>
      <c r="DM366" s="83"/>
      <c r="DN366" s="83"/>
      <c r="DO366" s="555"/>
      <c r="DP366" s="555"/>
      <c r="DQ366" s="555"/>
      <c r="DR366" s="556"/>
      <c r="DS366" s="83">
        <v>85700000</v>
      </c>
      <c r="DT366" s="83">
        <v>72000000</v>
      </c>
      <c r="DU366" s="83">
        <v>68400000</v>
      </c>
      <c r="DV366" s="83">
        <v>68400000</v>
      </c>
      <c r="DW366" s="83"/>
      <c r="DX366" s="83"/>
      <c r="DY366" s="83"/>
      <c r="DZ366" s="83"/>
      <c r="EA366" s="83"/>
      <c r="EB366" s="83"/>
      <c r="EC366" s="83"/>
      <c r="ED366" s="83"/>
      <c r="EE366" s="83"/>
      <c r="EF366" s="83"/>
      <c r="EG366" s="83"/>
      <c r="EH366" s="83"/>
      <c r="EI366" s="83"/>
      <c r="EJ366" s="83"/>
      <c r="EK366" s="83"/>
      <c r="EL366" s="83"/>
      <c r="EM366" s="83"/>
      <c r="EN366" s="83"/>
      <c r="EO366" s="83"/>
      <c r="EP366" s="83"/>
      <c r="EQ366" s="83"/>
      <c r="ER366" s="83"/>
      <c r="ES366" s="83"/>
      <c r="ET366" s="83"/>
      <c r="EU366" s="83"/>
      <c r="EV366" s="83"/>
      <c r="EW366" s="81">
        <f t="shared" ref="EW366:EX369" si="811">DJ366+DN366+DS366+DX366+EB366+EF366+EJ366+EN366+ES366</f>
        <v>85700000</v>
      </c>
      <c r="EX366" s="86">
        <f t="shared" si="811"/>
        <v>72000000</v>
      </c>
      <c r="EY366" s="86">
        <f t="shared" ref="EY366:EZ369" si="812">DL366+DP366+DU366+DZ366+ED366+EH366+EL366+EP366+EU366</f>
        <v>68400000</v>
      </c>
      <c r="EZ366" s="86">
        <f t="shared" si="812"/>
        <v>68400000</v>
      </c>
      <c r="FA366" s="176"/>
      <c r="FB366" s="83"/>
      <c r="FC366" s="84"/>
      <c r="FD366" s="84"/>
      <c r="FE366" s="84"/>
      <c r="FF366" s="140"/>
      <c r="FG366" s="83"/>
      <c r="FH366" s="83"/>
      <c r="FI366" s="83"/>
      <c r="FJ366" s="83"/>
      <c r="FK366" s="83"/>
      <c r="FL366" s="83">
        <v>80000000</v>
      </c>
      <c r="FM366" s="83">
        <v>71548128</v>
      </c>
      <c r="FN366" s="83">
        <v>64440000</v>
      </c>
      <c r="FO366" s="83">
        <v>39380000</v>
      </c>
      <c r="FP366" s="83"/>
      <c r="FQ366" s="83"/>
      <c r="FR366" s="83"/>
      <c r="FS366" s="83"/>
      <c r="FT366" s="83"/>
      <c r="FU366" s="83"/>
      <c r="FV366" s="83"/>
      <c r="FW366" s="83"/>
      <c r="FX366" s="83"/>
      <c r="FY366" s="83"/>
      <c r="FZ366" s="83"/>
      <c r="GA366" s="83"/>
      <c r="GB366" s="83"/>
      <c r="GC366" s="83"/>
      <c r="GD366" s="83"/>
      <c r="GE366" s="83"/>
      <c r="GF366" s="83"/>
      <c r="GG366" s="83"/>
      <c r="GH366" s="83"/>
      <c r="GI366" s="83"/>
      <c r="GJ366" s="83"/>
      <c r="GK366" s="83"/>
      <c r="GL366" s="83"/>
      <c r="GM366" s="83"/>
      <c r="GN366" s="83"/>
      <c r="GO366" s="83"/>
      <c r="GP366" s="83"/>
      <c r="GQ366" s="83"/>
      <c r="GR366" s="83"/>
      <c r="GS366" s="83"/>
      <c r="GT366" s="83"/>
      <c r="GU366" s="81">
        <f t="shared" ref="GU366:GY369" si="813">FB366+FG366+FL366+FQ366+FV366+GA366+GF366+GK366+GP366</f>
        <v>80000000</v>
      </c>
      <c r="GV366" s="81">
        <f t="shared" si="813"/>
        <v>71548128</v>
      </c>
      <c r="GW366" s="81">
        <f t="shared" si="813"/>
        <v>64440000</v>
      </c>
      <c r="GX366" s="81">
        <f t="shared" si="813"/>
        <v>39380000</v>
      </c>
      <c r="GY366" s="673">
        <f t="shared" si="813"/>
        <v>0</v>
      </c>
      <c r="GZ366" s="67">
        <f>BM366+DE366+EW366+GU366</f>
        <v>365700000</v>
      </c>
    </row>
    <row r="367" spans="1:208" ht="93.75" customHeight="1" x14ac:dyDescent="0.2">
      <c r="A367" s="326"/>
      <c r="B367" s="326"/>
      <c r="C367" s="279">
        <v>37</v>
      </c>
      <c r="D367" s="721" t="s">
        <v>823</v>
      </c>
      <c r="E367" s="417" t="s">
        <v>537</v>
      </c>
      <c r="F367" s="1038">
        <v>0.6</v>
      </c>
      <c r="G367" s="265">
        <v>244</v>
      </c>
      <c r="H367" s="358" t="s">
        <v>824</v>
      </c>
      <c r="I367" s="258" t="s">
        <v>825</v>
      </c>
      <c r="J367" s="262" t="s">
        <v>822</v>
      </c>
      <c r="K367" s="262">
        <v>17</v>
      </c>
      <c r="L367" s="415" t="s">
        <v>73</v>
      </c>
      <c r="M367" s="259" t="s">
        <v>53</v>
      </c>
      <c r="N367" s="259">
        <v>40</v>
      </c>
      <c r="O367" s="259">
        <v>4</v>
      </c>
      <c r="P367" s="387">
        <v>4</v>
      </c>
      <c r="Q367" s="259">
        <v>12</v>
      </c>
      <c r="R367" s="268"/>
      <c r="S367" s="387">
        <v>12</v>
      </c>
      <c r="T367" s="259">
        <v>12</v>
      </c>
      <c r="U367" s="259"/>
      <c r="V367" s="387">
        <v>12</v>
      </c>
      <c r="W367" s="259">
        <v>12</v>
      </c>
      <c r="X367" s="415"/>
      <c r="Y367" s="636">
        <v>4</v>
      </c>
      <c r="Z367" s="443">
        <f>BM367/$BM$365</f>
        <v>0.11428571428571428</v>
      </c>
      <c r="AA367" s="264">
        <v>16</v>
      </c>
      <c r="AB367" s="263" t="s">
        <v>376</v>
      </c>
      <c r="AC367" s="57"/>
      <c r="AD367" s="58"/>
      <c r="AE367" s="59"/>
      <c r="AF367" s="59"/>
      <c r="AG367" s="57"/>
      <c r="AH367" s="58"/>
      <c r="AI367" s="58"/>
      <c r="AJ367" s="58"/>
      <c r="AK367" s="57">
        <v>40000000</v>
      </c>
      <c r="AL367" s="55">
        <v>140000000</v>
      </c>
      <c r="AM367" s="55">
        <v>6400000</v>
      </c>
      <c r="AN367" s="55">
        <v>6400000</v>
      </c>
      <c r="AO367" s="57"/>
      <c r="AP367" s="58"/>
      <c r="AQ367" s="58"/>
      <c r="AR367" s="58"/>
      <c r="AS367" s="57"/>
      <c r="AT367" s="58"/>
      <c r="AU367" s="59"/>
      <c r="AV367" s="59"/>
      <c r="AW367" s="57"/>
      <c r="AX367" s="58"/>
      <c r="AY367" s="58"/>
      <c r="AZ367" s="58"/>
      <c r="BA367" s="57"/>
      <c r="BB367" s="58"/>
      <c r="BC367" s="58"/>
      <c r="BD367" s="58"/>
      <c r="BE367" s="57"/>
      <c r="BF367" s="58"/>
      <c r="BG367" s="59"/>
      <c r="BH367" s="59"/>
      <c r="BI367" s="57"/>
      <c r="BJ367" s="58"/>
      <c r="BK367" s="58"/>
      <c r="BL367" s="58"/>
      <c r="BM367" s="53">
        <f>+AC367+AG367+AK367+AO367+AS367+AW367+BA367+BE367+BI367</f>
        <v>40000000</v>
      </c>
      <c r="BN367" s="54">
        <f t="shared" si="809"/>
        <v>140000000</v>
      </c>
      <c r="BO367" s="54">
        <f t="shared" si="809"/>
        <v>6400000</v>
      </c>
      <c r="BP367" s="54">
        <f t="shared" si="809"/>
        <v>6400000</v>
      </c>
      <c r="BQ367" s="83"/>
      <c r="BR367" s="83"/>
      <c r="BS367" s="83"/>
      <c r="BT367" s="83"/>
      <c r="BU367" s="83"/>
      <c r="BV367" s="83">
        <v>365000000</v>
      </c>
      <c r="BW367" s="83">
        <v>223706251</v>
      </c>
      <c r="BX367" s="83">
        <v>209426251</v>
      </c>
      <c r="BY367" s="83"/>
      <c r="BZ367" s="83">
        <v>40000000</v>
      </c>
      <c r="CA367" s="83">
        <v>789534666</v>
      </c>
      <c r="CB367" s="83">
        <v>221464000</v>
      </c>
      <c r="CC367" s="83">
        <v>212140700</v>
      </c>
      <c r="CD367" s="83"/>
      <c r="CE367" s="83"/>
      <c r="CF367" s="83"/>
      <c r="CG367" s="83"/>
      <c r="CH367" s="83"/>
      <c r="CI367" s="83"/>
      <c r="CJ367" s="83"/>
      <c r="CK367" s="83"/>
      <c r="CL367" s="83"/>
      <c r="CM367" s="83"/>
      <c r="CN367" s="83"/>
      <c r="CO367" s="83"/>
      <c r="CP367" s="83"/>
      <c r="CQ367" s="83"/>
      <c r="CR367" s="83"/>
      <c r="CS367" s="83"/>
      <c r="CT367" s="83"/>
      <c r="CU367" s="83"/>
      <c r="CV367" s="83"/>
      <c r="CW367" s="83"/>
      <c r="CX367" s="83"/>
      <c r="CY367" s="83"/>
      <c r="CZ367" s="83"/>
      <c r="DA367" s="83"/>
      <c r="DB367" s="83"/>
      <c r="DC367" s="83"/>
      <c r="DD367" s="83"/>
      <c r="DE367" s="81">
        <f t="shared" si="810"/>
        <v>40000000</v>
      </c>
      <c r="DF367" s="95">
        <f t="shared" si="810"/>
        <v>1154534666</v>
      </c>
      <c r="DG367" s="95">
        <f t="shared" si="810"/>
        <v>445170251</v>
      </c>
      <c r="DH367" s="95">
        <f t="shared" si="810"/>
        <v>421566951</v>
      </c>
      <c r="DI367" s="95"/>
      <c r="DJ367" s="83"/>
      <c r="DK367" s="82"/>
      <c r="DL367" s="83"/>
      <c r="DM367" s="83"/>
      <c r="DN367" s="83"/>
      <c r="DO367" s="83">
        <v>60000000</v>
      </c>
      <c r="DP367" s="83">
        <v>60000000</v>
      </c>
      <c r="DQ367" s="83">
        <v>57000000</v>
      </c>
      <c r="DR367" s="83"/>
      <c r="DS367" s="83">
        <v>34250000</v>
      </c>
      <c r="DT367" s="83">
        <v>567000000</v>
      </c>
      <c r="DU367" s="83">
        <v>432579274</v>
      </c>
      <c r="DV367" s="83">
        <v>426826374</v>
      </c>
      <c r="DW367" s="83"/>
      <c r="DX367" s="83"/>
      <c r="DY367" s="83"/>
      <c r="DZ367" s="83"/>
      <c r="EA367" s="83"/>
      <c r="EB367" s="83"/>
      <c r="EC367" s="83"/>
      <c r="ED367" s="83"/>
      <c r="EE367" s="83"/>
      <c r="EF367" s="83"/>
      <c r="EG367" s="83"/>
      <c r="EH367" s="83"/>
      <c r="EI367" s="83"/>
      <c r="EJ367" s="83"/>
      <c r="EK367" s="83"/>
      <c r="EL367" s="83"/>
      <c r="EM367" s="83"/>
      <c r="EN367" s="83"/>
      <c r="EO367" s="83"/>
      <c r="EP367" s="83"/>
      <c r="EQ367" s="83"/>
      <c r="ER367" s="83"/>
      <c r="ES367" s="83"/>
      <c r="ET367" s="83"/>
      <c r="EU367" s="83"/>
      <c r="EV367" s="83"/>
      <c r="EW367" s="81">
        <f t="shared" si="811"/>
        <v>34250000</v>
      </c>
      <c r="EX367" s="86">
        <f t="shared" si="811"/>
        <v>627000000</v>
      </c>
      <c r="EY367" s="86">
        <f t="shared" si="812"/>
        <v>492579274</v>
      </c>
      <c r="EZ367" s="86">
        <f t="shared" si="812"/>
        <v>483826374</v>
      </c>
      <c r="FA367" s="176"/>
      <c r="FB367" s="83"/>
      <c r="FC367" s="84"/>
      <c r="FD367" s="84"/>
      <c r="FE367" s="84"/>
      <c r="FF367" s="140"/>
      <c r="FG367" s="83"/>
      <c r="FH367" s="83">
        <v>50000000</v>
      </c>
      <c r="FI367" s="83">
        <v>21701733</v>
      </c>
      <c r="FJ367" s="83"/>
      <c r="FK367" s="83"/>
      <c r="FL367" s="83">
        <v>32000000</v>
      </c>
      <c r="FM367" s="83">
        <v>400000000</v>
      </c>
      <c r="FN367" s="83">
        <v>321616732</v>
      </c>
      <c r="FO367" s="83">
        <v>161805500</v>
      </c>
      <c r="FP367" s="83">
        <v>1690000</v>
      </c>
      <c r="FQ367" s="83"/>
      <c r="FR367" s="83"/>
      <c r="FS367" s="83"/>
      <c r="FT367" s="83"/>
      <c r="FU367" s="83"/>
      <c r="FV367" s="83"/>
      <c r="FW367" s="83"/>
      <c r="FX367" s="83"/>
      <c r="FY367" s="83"/>
      <c r="FZ367" s="83"/>
      <c r="GA367" s="83"/>
      <c r="GB367" s="83"/>
      <c r="GC367" s="83"/>
      <c r="GD367" s="83"/>
      <c r="GE367" s="83"/>
      <c r="GF367" s="83"/>
      <c r="GG367" s="83"/>
      <c r="GH367" s="83"/>
      <c r="GI367" s="83"/>
      <c r="GJ367" s="83"/>
      <c r="GK367" s="83"/>
      <c r="GL367" s="83"/>
      <c r="GM367" s="83"/>
      <c r="GN367" s="83"/>
      <c r="GO367" s="83"/>
      <c r="GP367" s="83"/>
      <c r="GQ367" s="83"/>
      <c r="GR367" s="83"/>
      <c r="GS367" s="83"/>
      <c r="GT367" s="83"/>
      <c r="GU367" s="81">
        <f t="shared" si="813"/>
        <v>32000000</v>
      </c>
      <c r="GV367" s="81">
        <f t="shared" si="813"/>
        <v>450000000</v>
      </c>
      <c r="GW367" s="81">
        <f t="shared" si="813"/>
        <v>343318465</v>
      </c>
      <c r="GX367" s="81">
        <f t="shared" si="813"/>
        <v>161805500</v>
      </c>
      <c r="GY367" s="673">
        <f t="shared" si="813"/>
        <v>1690000</v>
      </c>
      <c r="GZ367" s="67">
        <f>BM367+DE367+EW367+GU367</f>
        <v>146250000</v>
      </c>
    </row>
    <row r="368" spans="1:208" ht="69.75" customHeight="1" x14ac:dyDescent="0.2">
      <c r="A368" s="326"/>
      <c r="B368" s="326"/>
      <c r="C368" s="279"/>
      <c r="D368" s="722"/>
      <c r="E368" s="306"/>
      <c r="F368" s="533"/>
      <c r="G368" s="265">
        <v>245</v>
      </c>
      <c r="H368" s="358" t="s">
        <v>826</v>
      </c>
      <c r="I368" s="275" t="s">
        <v>827</v>
      </c>
      <c r="J368" s="262" t="s">
        <v>822</v>
      </c>
      <c r="K368" s="262">
        <v>17</v>
      </c>
      <c r="L368" s="415" t="s">
        <v>58</v>
      </c>
      <c r="M368" s="259" t="s">
        <v>53</v>
      </c>
      <c r="N368" s="259">
        <v>1</v>
      </c>
      <c r="O368" s="259">
        <v>1</v>
      </c>
      <c r="P368" s="387">
        <v>0</v>
      </c>
      <c r="Q368" s="288">
        <v>1</v>
      </c>
      <c r="R368" s="268"/>
      <c r="S368" s="389">
        <v>1</v>
      </c>
      <c r="T368" s="288">
        <v>1</v>
      </c>
      <c r="U368" s="288"/>
      <c r="V368" s="389">
        <v>1</v>
      </c>
      <c r="W368" s="288">
        <v>1</v>
      </c>
      <c r="X368" s="304"/>
      <c r="Y368" s="631">
        <v>0.3</v>
      </c>
      <c r="Z368" s="443">
        <f>BM368/$BM$365</f>
        <v>0.51428571428571423</v>
      </c>
      <c r="AA368" s="264">
        <v>16</v>
      </c>
      <c r="AB368" s="263" t="s">
        <v>376</v>
      </c>
      <c r="AC368" s="57"/>
      <c r="AD368" s="58"/>
      <c r="AE368" s="59"/>
      <c r="AF368" s="59"/>
      <c r="AG368" s="57"/>
      <c r="AH368" s="58"/>
      <c r="AI368" s="58"/>
      <c r="AJ368" s="58"/>
      <c r="AK368" s="57">
        <v>180000000</v>
      </c>
      <c r="AL368" s="55">
        <v>180000000</v>
      </c>
      <c r="AM368" s="55"/>
      <c r="AN368" s="55"/>
      <c r="AO368" s="57"/>
      <c r="AP368" s="58"/>
      <c r="AQ368" s="58"/>
      <c r="AR368" s="58"/>
      <c r="AS368" s="57"/>
      <c r="AT368" s="58"/>
      <c r="AU368" s="59"/>
      <c r="AV368" s="59"/>
      <c r="AW368" s="57"/>
      <c r="AX368" s="58"/>
      <c r="AY368" s="58"/>
      <c r="AZ368" s="58"/>
      <c r="BA368" s="57"/>
      <c r="BB368" s="58"/>
      <c r="BC368" s="58"/>
      <c r="BD368" s="58"/>
      <c r="BE368" s="57"/>
      <c r="BF368" s="58"/>
      <c r="BG368" s="59"/>
      <c r="BH368" s="59"/>
      <c r="BI368" s="57"/>
      <c r="BJ368" s="58"/>
      <c r="BK368" s="58"/>
      <c r="BL368" s="58"/>
      <c r="BM368" s="53">
        <f>+AC368+AG368+AK368+AO368+AS368+AW368+BA368+BE368+BI368</f>
        <v>180000000</v>
      </c>
      <c r="BN368" s="54">
        <f t="shared" si="809"/>
        <v>180000000</v>
      </c>
      <c r="BO368" s="54">
        <f t="shared" si="809"/>
        <v>0</v>
      </c>
      <c r="BP368" s="54">
        <f t="shared" si="809"/>
        <v>0</v>
      </c>
      <c r="BQ368" s="83"/>
      <c r="BR368" s="83"/>
      <c r="BS368" s="83"/>
      <c r="BT368" s="83"/>
      <c r="BU368" s="83"/>
      <c r="BV368" s="557">
        <v>35000000</v>
      </c>
      <c r="BW368" s="558">
        <v>35000000</v>
      </c>
      <c r="BX368" s="558">
        <v>35000000</v>
      </c>
      <c r="BY368" s="559"/>
      <c r="BZ368" s="83">
        <v>179999999.99999997</v>
      </c>
      <c r="CA368" s="83">
        <v>180000000</v>
      </c>
      <c r="CB368" s="83">
        <v>128640699</v>
      </c>
      <c r="CC368" s="83">
        <v>128640699</v>
      </c>
      <c r="CD368" s="83"/>
      <c r="CE368" s="83"/>
      <c r="CF368" s="83"/>
      <c r="CG368" s="83"/>
      <c r="CH368" s="83"/>
      <c r="CI368" s="83"/>
      <c r="CJ368" s="83"/>
      <c r="CK368" s="83"/>
      <c r="CL368" s="83"/>
      <c r="CM368" s="83"/>
      <c r="CN368" s="83"/>
      <c r="CO368" s="83"/>
      <c r="CP368" s="83"/>
      <c r="CQ368" s="83"/>
      <c r="CR368" s="83"/>
      <c r="CS368" s="83"/>
      <c r="CT368" s="83"/>
      <c r="CU368" s="83"/>
      <c r="CV368" s="83"/>
      <c r="CW368" s="83"/>
      <c r="CX368" s="83"/>
      <c r="CY368" s="83"/>
      <c r="CZ368" s="83"/>
      <c r="DA368" s="83"/>
      <c r="DB368" s="83"/>
      <c r="DC368" s="83"/>
      <c r="DD368" s="83"/>
      <c r="DE368" s="81">
        <f t="shared" si="810"/>
        <v>179999999.99999997</v>
      </c>
      <c r="DF368" s="95">
        <f t="shared" si="810"/>
        <v>215000000</v>
      </c>
      <c r="DG368" s="95">
        <f t="shared" si="810"/>
        <v>163640699</v>
      </c>
      <c r="DH368" s="95">
        <f t="shared" si="810"/>
        <v>163640699</v>
      </c>
      <c r="DI368" s="95"/>
      <c r="DJ368" s="83"/>
      <c r="DK368" s="82"/>
      <c r="DL368" s="83"/>
      <c r="DM368" s="83"/>
      <c r="DN368" s="83"/>
      <c r="DO368" s="83"/>
      <c r="DP368" s="83"/>
      <c r="DQ368" s="83"/>
      <c r="DR368" s="83"/>
      <c r="DS368" s="83">
        <v>154250000</v>
      </c>
      <c r="DT368" s="83">
        <v>60000000</v>
      </c>
      <c r="DU368" s="83">
        <v>10885377</v>
      </c>
      <c r="DV368" s="83">
        <v>10885377</v>
      </c>
      <c r="DW368" s="83"/>
      <c r="DX368" s="83"/>
      <c r="DY368" s="83"/>
      <c r="DZ368" s="83"/>
      <c r="EA368" s="83"/>
      <c r="EB368" s="83"/>
      <c r="EC368" s="83"/>
      <c r="ED368" s="83"/>
      <c r="EE368" s="83"/>
      <c r="EF368" s="83"/>
      <c r="EG368" s="83"/>
      <c r="EH368" s="83"/>
      <c r="EI368" s="83"/>
      <c r="EJ368" s="83"/>
      <c r="EK368" s="83"/>
      <c r="EL368" s="83"/>
      <c r="EM368" s="83"/>
      <c r="EN368" s="83"/>
      <c r="EO368" s="83"/>
      <c r="EP368" s="83"/>
      <c r="EQ368" s="83"/>
      <c r="ER368" s="83"/>
      <c r="ES368" s="83"/>
      <c r="ET368" s="83"/>
      <c r="EU368" s="83"/>
      <c r="EV368" s="83"/>
      <c r="EW368" s="81">
        <f t="shared" si="811"/>
        <v>154250000</v>
      </c>
      <c r="EX368" s="86">
        <f t="shared" si="811"/>
        <v>60000000</v>
      </c>
      <c r="EY368" s="86">
        <f t="shared" si="812"/>
        <v>10885377</v>
      </c>
      <c r="EZ368" s="86">
        <f t="shared" si="812"/>
        <v>10885377</v>
      </c>
      <c r="FA368" s="176"/>
      <c r="FB368" s="83"/>
      <c r="FC368" s="84"/>
      <c r="FD368" s="84"/>
      <c r="FE368" s="84"/>
      <c r="FF368" s="140"/>
      <c r="FG368" s="83"/>
      <c r="FH368" s="83"/>
      <c r="FI368" s="83"/>
      <c r="FJ368" s="83"/>
      <c r="FK368" s="83"/>
      <c r="FL368" s="83">
        <v>144000000</v>
      </c>
      <c r="FM368" s="83">
        <v>40000000</v>
      </c>
      <c r="FN368" s="83">
        <v>31860800</v>
      </c>
      <c r="FO368" s="83">
        <v>12870800</v>
      </c>
      <c r="FP368" s="83"/>
      <c r="FQ368" s="83"/>
      <c r="FR368" s="83"/>
      <c r="FS368" s="83"/>
      <c r="FT368" s="83"/>
      <c r="FU368" s="83"/>
      <c r="FV368" s="83"/>
      <c r="FW368" s="83"/>
      <c r="FX368" s="83"/>
      <c r="FY368" s="83"/>
      <c r="FZ368" s="83"/>
      <c r="GA368" s="83"/>
      <c r="GB368" s="83"/>
      <c r="GC368" s="83"/>
      <c r="GD368" s="83"/>
      <c r="GE368" s="83"/>
      <c r="GF368" s="83"/>
      <c r="GG368" s="83"/>
      <c r="GH368" s="83"/>
      <c r="GI368" s="83"/>
      <c r="GJ368" s="83"/>
      <c r="GK368" s="83"/>
      <c r="GL368" s="83"/>
      <c r="GM368" s="83"/>
      <c r="GN368" s="83"/>
      <c r="GO368" s="83"/>
      <c r="GP368" s="83"/>
      <c r="GQ368" s="83"/>
      <c r="GR368" s="83"/>
      <c r="GS368" s="83"/>
      <c r="GT368" s="83"/>
      <c r="GU368" s="81">
        <f t="shared" si="813"/>
        <v>144000000</v>
      </c>
      <c r="GV368" s="81">
        <f t="shared" si="813"/>
        <v>40000000</v>
      </c>
      <c r="GW368" s="81">
        <f t="shared" si="813"/>
        <v>31860800</v>
      </c>
      <c r="GX368" s="81">
        <f t="shared" si="813"/>
        <v>12870800</v>
      </c>
      <c r="GY368" s="673">
        <f t="shared" si="813"/>
        <v>0</v>
      </c>
      <c r="GZ368" s="67">
        <f>BM368+DE368+EW368+GU368</f>
        <v>658250000</v>
      </c>
    </row>
    <row r="369" spans="1:208" s="711" customFormat="1" ht="93.75" customHeight="1" x14ac:dyDescent="0.2">
      <c r="A369" s="703"/>
      <c r="B369" s="703"/>
      <c r="C369" s="715"/>
      <c r="D369" s="826"/>
      <c r="E369" s="715"/>
      <c r="F369" s="838"/>
      <c r="G369" s="682">
        <v>246</v>
      </c>
      <c r="H369" s="939" t="s">
        <v>828</v>
      </c>
      <c r="I369" s="821" t="s">
        <v>829</v>
      </c>
      <c r="J369" s="813" t="s">
        <v>822</v>
      </c>
      <c r="K369" s="892">
        <v>17</v>
      </c>
      <c r="L369" s="892" t="s">
        <v>58</v>
      </c>
      <c r="M369" s="621" t="s">
        <v>53</v>
      </c>
      <c r="N369" s="621">
        <v>13</v>
      </c>
      <c r="O369" s="621">
        <v>13</v>
      </c>
      <c r="P369" s="940">
        <v>13</v>
      </c>
      <c r="Q369" s="621">
        <v>13</v>
      </c>
      <c r="R369" s="814"/>
      <c r="S369" s="893">
        <v>13</v>
      </c>
      <c r="T369" s="621">
        <v>13</v>
      </c>
      <c r="U369" s="621"/>
      <c r="V369" s="893">
        <v>13</v>
      </c>
      <c r="W369" s="621">
        <v>13</v>
      </c>
      <c r="X369" s="892"/>
      <c r="Y369" s="639">
        <v>13</v>
      </c>
      <c r="Z369" s="852">
        <f>BM369/$BM$365</f>
        <v>8.5714285714285715E-2</v>
      </c>
      <c r="AA369" s="682">
        <v>16</v>
      </c>
      <c r="AB369" s="813" t="s">
        <v>376</v>
      </c>
      <c r="AC369" s="830"/>
      <c r="AD369" s="831"/>
      <c r="AE369" s="818"/>
      <c r="AF369" s="818"/>
      <c r="AG369" s="830"/>
      <c r="AH369" s="831"/>
      <c r="AI369" s="831"/>
      <c r="AJ369" s="831"/>
      <c r="AK369" s="830">
        <v>30000000</v>
      </c>
      <c r="AL369" s="831">
        <v>30000000</v>
      </c>
      <c r="AM369" s="831">
        <v>20000000</v>
      </c>
      <c r="AN369" s="831">
        <v>20000000</v>
      </c>
      <c r="AO369" s="830"/>
      <c r="AP369" s="831"/>
      <c r="AQ369" s="831"/>
      <c r="AR369" s="831"/>
      <c r="AS369" s="830"/>
      <c r="AT369" s="831"/>
      <c r="AU369" s="818"/>
      <c r="AV369" s="818"/>
      <c r="AW369" s="830"/>
      <c r="AX369" s="831"/>
      <c r="AY369" s="831"/>
      <c r="AZ369" s="831"/>
      <c r="BA369" s="830"/>
      <c r="BB369" s="831"/>
      <c r="BC369" s="831"/>
      <c r="BD369" s="831"/>
      <c r="BE369" s="830"/>
      <c r="BF369" s="831"/>
      <c r="BG369" s="818"/>
      <c r="BH369" s="818"/>
      <c r="BI369" s="830"/>
      <c r="BJ369" s="831"/>
      <c r="BK369" s="831"/>
      <c r="BL369" s="831"/>
      <c r="BM369" s="817">
        <f>+AC369+AG369+AK369+AO369+AS369+AW369+BA369+BE369+BI369</f>
        <v>30000000</v>
      </c>
      <c r="BN369" s="818">
        <f t="shared" si="809"/>
        <v>30000000</v>
      </c>
      <c r="BO369" s="818">
        <f t="shared" si="809"/>
        <v>20000000</v>
      </c>
      <c r="BP369" s="818">
        <f t="shared" si="809"/>
        <v>20000000</v>
      </c>
      <c r="BQ369" s="667"/>
      <c r="BR369" s="667"/>
      <c r="BS369" s="667"/>
      <c r="BT369" s="667"/>
      <c r="BU369" s="667"/>
      <c r="BV369" s="667"/>
      <c r="BW369" s="667"/>
      <c r="BX369" s="667"/>
      <c r="BY369" s="667"/>
      <c r="BZ369" s="667">
        <v>30000000</v>
      </c>
      <c r="CA369" s="667">
        <v>30000000</v>
      </c>
      <c r="CB369" s="667">
        <v>27420000</v>
      </c>
      <c r="CC369" s="667">
        <v>27078600</v>
      </c>
      <c r="CD369" s="667"/>
      <c r="CE369" s="667"/>
      <c r="CF369" s="667"/>
      <c r="CG369" s="667"/>
      <c r="CH369" s="667"/>
      <c r="CI369" s="667"/>
      <c r="CJ369" s="667"/>
      <c r="CK369" s="667"/>
      <c r="CL369" s="667"/>
      <c r="CM369" s="667"/>
      <c r="CN369" s="667"/>
      <c r="CO369" s="667"/>
      <c r="CP369" s="667"/>
      <c r="CQ369" s="667"/>
      <c r="CR369" s="667"/>
      <c r="CS369" s="667"/>
      <c r="CT369" s="667"/>
      <c r="CU369" s="667"/>
      <c r="CV369" s="667"/>
      <c r="CW369" s="667"/>
      <c r="CX369" s="667"/>
      <c r="CY369" s="667"/>
      <c r="CZ369" s="667"/>
      <c r="DA369" s="667"/>
      <c r="DB369" s="667"/>
      <c r="DC369" s="667"/>
      <c r="DD369" s="667"/>
      <c r="DE369" s="708">
        <f t="shared" si="810"/>
        <v>30000000</v>
      </c>
      <c r="DF369" s="708">
        <f t="shared" si="810"/>
        <v>30000000</v>
      </c>
      <c r="DG369" s="708">
        <f t="shared" si="810"/>
        <v>27420000</v>
      </c>
      <c r="DH369" s="708">
        <f t="shared" si="810"/>
        <v>27078600</v>
      </c>
      <c r="DI369" s="708"/>
      <c r="DJ369" s="667"/>
      <c r="DK369" s="667"/>
      <c r="DL369" s="667"/>
      <c r="DM369" s="667"/>
      <c r="DN369" s="667"/>
      <c r="DO369" s="667"/>
      <c r="DP369" s="667"/>
      <c r="DQ369" s="667"/>
      <c r="DR369" s="667"/>
      <c r="DS369" s="667">
        <f>25700000+100000</f>
        <v>25800000</v>
      </c>
      <c r="DT369" s="667">
        <v>18000000</v>
      </c>
      <c r="DU369" s="667">
        <v>16092000</v>
      </c>
      <c r="DV369" s="667">
        <v>16092000</v>
      </c>
      <c r="DW369" s="667"/>
      <c r="DX369" s="667"/>
      <c r="DY369" s="667"/>
      <c r="DZ369" s="667"/>
      <c r="EA369" s="667"/>
      <c r="EB369" s="667"/>
      <c r="EC369" s="667"/>
      <c r="ED369" s="667"/>
      <c r="EE369" s="667"/>
      <c r="EF369" s="667"/>
      <c r="EG369" s="667"/>
      <c r="EH369" s="667"/>
      <c r="EI369" s="667"/>
      <c r="EJ369" s="667"/>
      <c r="EK369" s="667"/>
      <c r="EL369" s="667"/>
      <c r="EM369" s="667"/>
      <c r="EN369" s="667"/>
      <c r="EO369" s="667"/>
      <c r="EP369" s="667"/>
      <c r="EQ369" s="667"/>
      <c r="ER369" s="667"/>
      <c r="ES369" s="667"/>
      <c r="ET369" s="667"/>
      <c r="EU369" s="667"/>
      <c r="EV369" s="667"/>
      <c r="EW369" s="708">
        <f t="shared" si="811"/>
        <v>25800000</v>
      </c>
      <c r="EX369" s="819">
        <f t="shared" si="811"/>
        <v>18000000</v>
      </c>
      <c r="EY369" s="819">
        <f t="shared" si="812"/>
        <v>16092000</v>
      </c>
      <c r="EZ369" s="819">
        <f t="shared" si="812"/>
        <v>16092000</v>
      </c>
      <c r="FA369" s="820"/>
      <c r="FB369" s="667"/>
      <c r="FC369" s="706"/>
      <c r="FD369" s="706"/>
      <c r="FE369" s="706"/>
      <c r="FF369" s="707"/>
      <c r="FG369" s="667"/>
      <c r="FH369" s="667"/>
      <c r="FI369" s="667"/>
      <c r="FJ369" s="667"/>
      <c r="FK369" s="667"/>
      <c r="FL369" s="667">
        <v>24000000</v>
      </c>
      <c r="FM369" s="667">
        <v>17500000</v>
      </c>
      <c r="FN369" s="667">
        <v>13990000</v>
      </c>
      <c r="FO369" s="667">
        <v>13990000</v>
      </c>
      <c r="FP369" s="667"/>
      <c r="FQ369" s="667"/>
      <c r="FR369" s="667"/>
      <c r="FS369" s="667"/>
      <c r="FT369" s="667"/>
      <c r="FU369" s="667"/>
      <c r="FV369" s="667"/>
      <c r="FW369" s="667"/>
      <c r="FX369" s="667"/>
      <c r="FY369" s="667"/>
      <c r="FZ369" s="667"/>
      <c r="GA369" s="667"/>
      <c r="GB369" s="667"/>
      <c r="GC369" s="667"/>
      <c r="GD369" s="667"/>
      <c r="GE369" s="667"/>
      <c r="GF369" s="667"/>
      <c r="GG369" s="667"/>
      <c r="GH369" s="667"/>
      <c r="GI369" s="667"/>
      <c r="GJ369" s="667"/>
      <c r="GK369" s="667"/>
      <c r="GL369" s="667"/>
      <c r="GM369" s="667"/>
      <c r="GN369" s="667"/>
      <c r="GO369" s="667"/>
      <c r="GP369" s="667"/>
      <c r="GQ369" s="667"/>
      <c r="GR369" s="667"/>
      <c r="GS369" s="667"/>
      <c r="GT369" s="667"/>
      <c r="GU369" s="708">
        <f t="shared" si="813"/>
        <v>24000000</v>
      </c>
      <c r="GV369" s="708">
        <f t="shared" si="813"/>
        <v>17500000</v>
      </c>
      <c r="GW369" s="708">
        <f t="shared" si="813"/>
        <v>13990000</v>
      </c>
      <c r="GX369" s="708">
        <f t="shared" si="813"/>
        <v>13990000</v>
      </c>
      <c r="GY369" s="709">
        <f t="shared" si="813"/>
        <v>0</v>
      </c>
      <c r="GZ369" s="710">
        <f>BM369+DE369+EW369+GU369</f>
        <v>109800000</v>
      </c>
    </row>
    <row r="370" spans="1:208" ht="24.75" customHeight="1" x14ac:dyDescent="0.2">
      <c r="A370" s="326"/>
      <c r="B370" s="326"/>
      <c r="C370" s="246">
        <v>84</v>
      </c>
      <c r="D370" s="247" t="s">
        <v>830</v>
      </c>
      <c r="E370" s="250"/>
      <c r="F370" s="250"/>
      <c r="G370" s="251"/>
      <c r="H370" s="251"/>
      <c r="I370" s="251"/>
      <c r="J370" s="251"/>
      <c r="K370" s="251"/>
      <c r="L370" s="251"/>
      <c r="M370" s="251"/>
      <c r="N370" s="251"/>
      <c r="O370" s="251"/>
      <c r="P370" s="251"/>
      <c r="Q370" s="251"/>
      <c r="R370" s="251"/>
      <c r="S370" s="251"/>
      <c r="T370" s="251"/>
      <c r="U370" s="251"/>
      <c r="V370" s="251"/>
      <c r="W370" s="251"/>
      <c r="X370" s="251"/>
      <c r="Y370" s="252"/>
      <c r="Z370" s="251"/>
      <c r="AA370" s="251"/>
      <c r="AB370" s="251"/>
      <c r="AC370" s="51">
        <f t="shared" ref="AC370:BL370" si="814">SUM(AC371:AC372)</f>
        <v>0</v>
      </c>
      <c r="AD370" s="51">
        <f t="shared" si="814"/>
        <v>0</v>
      </c>
      <c r="AE370" s="51">
        <f t="shared" si="814"/>
        <v>0</v>
      </c>
      <c r="AF370" s="51">
        <f t="shared" si="814"/>
        <v>0</v>
      </c>
      <c r="AG370" s="51">
        <f t="shared" si="814"/>
        <v>0</v>
      </c>
      <c r="AH370" s="51">
        <f t="shared" si="814"/>
        <v>0</v>
      </c>
      <c r="AI370" s="51">
        <f t="shared" si="814"/>
        <v>0</v>
      </c>
      <c r="AJ370" s="51">
        <f t="shared" si="814"/>
        <v>0</v>
      </c>
      <c r="AK370" s="51">
        <f t="shared" si="814"/>
        <v>50000000</v>
      </c>
      <c r="AL370" s="51">
        <f t="shared" si="814"/>
        <v>50000000</v>
      </c>
      <c r="AM370" s="51">
        <f t="shared" si="814"/>
        <v>43151587</v>
      </c>
      <c r="AN370" s="51">
        <f t="shared" si="814"/>
        <v>43151587</v>
      </c>
      <c r="AO370" s="51">
        <f t="shared" si="814"/>
        <v>0</v>
      </c>
      <c r="AP370" s="51">
        <f t="shared" si="814"/>
        <v>0</v>
      </c>
      <c r="AQ370" s="51">
        <f t="shared" si="814"/>
        <v>0</v>
      </c>
      <c r="AR370" s="51">
        <f t="shared" si="814"/>
        <v>0</v>
      </c>
      <c r="AS370" s="51">
        <f t="shared" si="814"/>
        <v>0</v>
      </c>
      <c r="AT370" s="51">
        <f t="shared" si="814"/>
        <v>0</v>
      </c>
      <c r="AU370" s="51">
        <f t="shared" si="814"/>
        <v>0</v>
      </c>
      <c r="AV370" s="51">
        <f t="shared" si="814"/>
        <v>0</v>
      </c>
      <c r="AW370" s="51">
        <f t="shared" si="814"/>
        <v>0</v>
      </c>
      <c r="AX370" s="51">
        <f t="shared" si="814"/>
        <v>0</v>
      </c>
      <c r="AY370" s="51">
        <f t="shared" si="814"/>
        <v>0</v>
      </c>
      <c r="AZ370" s="51">
        <f t="shared" si="814"/>
        <v>0</v>
      </c>
      <c r="BA370" s="51">
        <f t="shared" si="814"/>
        <v>0</v>
      </c>
      <c r="BB370" s="51">
        <f t="shared" si="814"/>
        <v>0</v>
      </c>
      <c r="BC370" s="51">
        <f t="shared" si="814"/>
        <v>0</v>
      </c>
      <c r="BD370" s="51">
        <f t="shared" si="814"/>
        <v>0</v>
      </c>
      <c r="BE370" s="51">
        <f t="shared" si="814"/>
        <v>0</v>
      </c>
      <c r="BF370" s="51">
        <f t="shared" si="814"/>
        <v>0</v>
      </c>
      <c r="BG370" s="51">
        <f t="shared" si="814"/>
        <v>0</v>
      </c>
      <c r="BH370" s="51">
        <f t="shared" si="814"/>
        <v>0</v>
      </c>
      <c r="BI370" s="51">
        <f t="shared" si="814"/>
        <v>0</v>
      </c>
      <c r="BJ370" s="51">
        <f t="shared" si="814"/>
        <v>0</v>
      </c>
      <c r="BK370" s="51">
        <f t="shared" si="814"/>
        <v>0</v>
      </c>
      <c r="BL370" s="51">
        <f t="shared" si="814"/>
        <v>0</v>
      </c>
      <c r="BM370" s="51">
        <f t="shared" ref="BM370:DX370" si="815">SUM(BM371:BM372)</f>
        <v>50000000</v>
      </c>
      <c r="BN370" s="51">
        <f t="shared" si="815"/>
        <v>50000000</v>
      </c>
      <c r="BO370" s="51">
        <f t="shared" si="815"/>
        <v>43151587</v>
      </c>
      <c r="BP370" s="51">
        <f t="shared" si="815"/>
        <v>43151587</v>
      </c>
      <c r="BQ370" s="51">
        <f t="shared" si="815"/>
        <v>0</v>
      </c>
      <c r="BR370" s="51">
        <f t="shared" si="815"/>
        <v>0</v>
      </c>
      <c r="BS370" s="51">
        <f t="shared" si="815"/>
        <v>0</v>
      </c>
      <c r="BT370" s="51">
        <f t="shared" si="815"/>
        <v>0</v>
      </c>
      <c r="BU370" s="51">
        <f t="shared" si="815"/>
        <v>0</v>
      </c>
      <c r="BV370" s="51">
        <f t="shared" si="815"/>
        <v>0</v>
      </c>
      <c r="BW370" s="51">
        <f t="shared" si="815"/>
        <v>0</v>
      </c>
      <c r="BX370" s="51">
        <f t="shared" si="815"/>
        <v>0</v>
      </c>
      <c r="BY370" s="51">
        <f t="shared" si="815"/>
        <v>0</v>
      </c>
      <c r="BZ370" s="51">
        <f t="shared" si="815"/>
        <v>80000000</v>
      </c>
      <c r="CA370" s="51">
        <f t="shared" si="815"/>
        <v>80000000</v>
      </c>
      <c r="CB370" s="51">
        <f t="shared" si="815"/>
        <v>50853330</v>
      </c>
      <c r="CC370" s="51">
        <f t="shared" si="815"/>
        <v>41722330</v>
      </c>
      <c r="CD370" s="51">
        <f t="shared" si="815"/>
        <v>0</v>
      </c>
      <c r="CE370" s="51">
        <f t="shared" si="815"/>
        <v>0</v>
      </c>
      <c r="CF370" s="51">
        <f t="shared" si="815"/>
        <v>0</v>
      </c>
      <c r="CG370" s="51">
        <f t="shared" si="815"/>
        <v>0</v>
      </c>
      <c r="CH370" s="51">
        <f t="shared" si="815"/>
        <v>0</v>
      </c>
      <c r="CI370" s="51">
        <f t="shared" si="815"/>
        <v>0</v>
      </c>
      <c r="CJ370" s="51">
        <f t="shared" si="815"/>
        <v>0</v>
      </c>
      <c r="CK370" s="51">
        <f t="shared" si="815"/>
        <v>0</v>
      </c>
      <c r="CL370" s="51">
        <f t="shared" si="815"/>
        <v>0</v>
      </c>
      <c r="CM370" s="51">
        <f t="shared" si="815"/>
        <v>0</v>
      </c>
      <c r="CN370" s="51">
        <f t="shared" si="815"/>
        <v>0</v>
      </c>
      <c r="CO370" s="51">
        <f t="shared" si="815"/>
        <v>0</v>
      </c>
      <c r="CP370" s="51">
        <f t="shared" si="815"/>
        <v>0</v>
      </c>
      <c r="CQ370" s="51">
        <f t="shared" si="815"/>
        <v>0</v>
      </c>
      <c r="CR370" s="51">
        <f t="shared" si="815"/>
        <v>0</v>
      </c>
      <c r="CS370" s="51">
        <f t="shared" si="815"/>
        <v>0</v>
      </c>
      <c r="CT370" s="51">
        <f t="shared" si="815"/>
        <v>0</v>
      </c>
      <c r="CU370" s="51">
        <f t="shared" si="815"/>
        <v>0</v>
      </c>
      <c r="CV370" s="51">
        <f t="shared" si="815"/>
        <v>0</v>
      </c>
      <c r="CW370" s="51">
        <f t="shared" si="815"/>
        <v>0</v>
      </c>
      <c r="CX370" s="51">
        <f t="shared" si="815"/>
        <v>0</v>
      </c>
      <c r="CY370" s="51">
        <f t="shared" si="815"/>
        <v>0</v>
      </c>
      <c r="CZ370" s="51">
        <f t="shared" si="815"/>
        <v>0</v>
      </c>
      <c r="DA370" s="51">
        <f t="shared" si="815"/>
        <v>0</v>
      </c>
      <c r="DB370" s="51">
        <f t="shared" si="815"/>
        <v>0</v>
      </c>
      <c r="DC370" s="51">
        <f t="shared" si="815"/>
        <v>0</v>
      </c>
      <c r="DD370" s="51">
        <f t="shared" si="815"/>
        <v>0</v>
      </c>
      <c r="DE370" s="51">
        <f t="shared" si="815"/>
        <v>80000000</v>
      </c>
      <c r="DF370" s="51">
        <f t="shared" si="815"/>
        <v>80000000</v>
      </c>
      <c r="DG370" s="51">
        <f t="shared" si="815"/>
        <v>50853330</v>
      </c>
      <c r="DH370" s="51">
        <f t="shared" si="815"/>
        <v>41722330</v>
      </c>
      <c r="DI370" s="51">
        <f t="shared" si="815"/>
        <v>0</v>
      </c>
      <c r="DJ370" s="51">
        <f t="shared" si="815"/>
        <v>0</v>
      </c>
      <c r="DK370" s="51">
        <f t="shared" si="815"/>
        <v>0</v>
      </c>
      <c r="DL370" s="51">
        <f t="shared" si="815"/>
        <v>0</v>
      </c>
      <c r="DM370" s="51">
        <f t="shared" si="815"/>
        <v>0</v>
      </c>
      <c r="DN370" s="51">
        <f t="shared" si="815"/>
        <v>0</v>
      </c>
      <c r="DO370" s="51">
        <f t="shared" si="815"/>
        <v>0</v>
      </c>
      <c r="DP370" s="51">
        <f t="shared" si="815"/>
        <v>0</v>
      </c>
      <c r="DQ370" s="51">
        <f t="shared" si="815"/>
        <v>0</v>
      </c>
      <c r="DR370" s="51">
        <f t="shared" si="815"/>
        <v>0</v>
      </c>
      <c r="DS370" s="51">
        <f t="shared" si="815"/>
        <v>50000000</v>
      </c>
      <c r="DT370" s="51">
        <f t="shared" si="815"/>
        <v>79000000</v>
      </c>
      <c r="DU370" s="51">
        <f t="shared" si="815"/>
        <v>71786670</v>
      </c>
      <c r="DV370" s="51">
        <f t="shared" si="815"/>
        <v>70936670</v>
      </c>
      <c r="DW370" s="51">
        <f t="shared" si="815"/>
        <v>0</v>
      </c>
      <c r="DX370" s="51">
        <f t="shared" si="815"/>
        <v>0</v>
      </c>
      <c r="DY370" s="51">
        <f t="shared" ref="DY370:EW370" si="816">SUM(DY371:DY372)</f>
        <v>0</v>
      </c>
      <c r="DZ370" s="51">
        <f t="shared" si="816"/>
        <v>0</v>
      </c>
      <c r="EA370" s="51">
        <f t="shared" si="816"/>
        <v>0</v>
      </c>
      <c r="EB370" s="51">
        <f t="shared" si="816"/>
        <v>0</v>
      </c>
      <c r="EC370" s="51">
        <f t="shared" si="816"/>
        <v>0</v>
      </c>
      <c r="ED370" s="51">
        <f t="shared" si="816"/>
        <v>0</v>
      </c>
      <c r="EE370" s="51">
        <f t="shared" si="816"/>
        <v>0</v>
      </c>
      <c r="EF370" s="51">
        <f t="shared" si="816"/>
        <v>0</v>
      </c>
      <c r="EG370" s="51">
        <f t="shared" si="816"/>
        <v>0</v>
      </c>
      <c r="EH370" s="51">
        <f t="shared" si="816"/>
        <v>0</v>
      </c>
      <c r="EI370" s="51">
        <f t="shared" si="816"/>
        <v>0</v>
      </c>
      <c r="EJ370" s="51">
        <f t="shared" si="816"/>
        <v>0</v>
      </c>
      <c r="EK370" s="51">
        <f t="shared" si="816"/>
        <v>0</v>
      </c>
      <c r="EL370" s="51">
        <f t="shared" si="816"/>
        <v>0</v>
      </c>
      <c r="EM370" s="51">
        <f t="shared" si="816"/>
        <v>0</v>
      </c>
      <c r="EN370" s="51">
        <f t="shared" si="816"/>
        <v>0</v>
      </c>
      <c r="EO370" s="51">
        <f t="shared" si="816"/>
        <v>0</v>
      </c>
      <c r="EP370" s="51">
        <f t="shared" si="816"/>
        <v>0</v>
      </c>
      <c r="EQ370" s="51">
        <f t="shared" si="816"/>
        <v>0</v>
      </c>
      <c r="ER370" s="51">
        <f t="shared" si="816"/>
        <v>0</v>
      </c>
      <c r="ES370" s="51">
        <f t="shared" si="816"/>
        <v>0</v>
      </c>
      <c r="ET370" s="51">
        <f t="shared" si="816"/>
        <v>0</v>
      </c>
      <c r="EU370" s="51">
        <f t="shared" si="816"/>
        <v>0</v>
      </c>
      <c r="EV370" s="51">
        <f t="shared" si="816"/>
        <v>0</v>
      </c>
      <c r="EW370" s="51">
        <f t="shared" si="816"/>
        <v>50000000</v>
      </c>
      <c r="EX370" s="51">
        <f t="shared" ref="EX370:GZ370" si="817">SUM(EX371:EX372)</f>
        <v>79000000</v>
      </c>
      <c r="EY370" s="51">
        <f t="shared" si="817"/>
        <v>71786670</v>
      </c>
      <c r="EZ370" s="51">
        <f t="shared" si="817"/>
        <v>70936670</v>
      </c>
      <c r="FA370" s="51">
        <f t="shared" si="817"/>
        <v>0</v>
      </c>
      <c r="FB370" s="51">
        <f t="shared" si="817"/>
        <v>0</v>
      </c>
      <c r="FC370" s="51">
        <f t="shared" si="817"/>
        <v>0</v>
      </c>
      <c r="FD370" s="51">
        <f t="shared" si="817"/>
        <v>0</v>
      </c>
      <c r="FE370" s="51">
        <f t="shared" si="817"/>
        <v>0</v>
      </c>
      <c r="FF370" s="51">
        <f t="shared" si="817"/>
        <v>0</v>
      </c>
      <c r="FG370" s="51">
        <f t="shared" si="817"/>
        <v>0</v>
      </c>
      <c r="FH370" s="51">
        <f t="shared" si="817"/>
        <v>30000000</v>
      </c>
      <c r="FI370" s="51">
        <f t="shared" si="817"/>
        <v>15000000</v>
      </c>
      <c r="FJ370" s="51">
        <f t="shared" si="817"/>
        <v>0</v>
      </c>
      <c r="FK370" s="51">
        <f t="shared" si="817"/>
        <v>0</v>
      </c>
      <c r="FL370" s="51">
        <f t="shared" si="817"/>
        <v>50000000</v>
      </c>
      <c r="FM370" s="51">
        <f t="shared" si="817"/>
        <v>78187000</v>
      </c>
      <c r="FN370" s="51">
        <f t="shared" si="817"/>
        <v>72465933</v>
      </c>
      <c r="FO370" s="51">
        <f t="shared" si="817"/>
        <v>22858332</v>
      </c>
      <c r="FP370" s="51">
        <f t="shared" si="817"/>
        <v>0</v>
      </c>
      <c r="FQ370" s="51">
        <f t="shared" si="817"/>
        <v>0</v>
      </c>
      <c r="FR370" s="51">
        <f t="shared" si="817"/>
        <v>0</v>
      </c>
      <c r="FS370" s="51">
        <f t="shared" si="817"/>
        <v>0</v>
      </c>
      <c r="FT370" s="51">
        <f t="shared" si="817"/>
        <v>0</v>
      </c>
      <c r="FU370" s="51">
        <f t="shared" si="817"/>
        <v>0</v>
      </c>
      <c r="FV370" s="51">
        <f t="shared" si="817"/>
        <v>0</v>
      </c>
      <c r="FW370" s="51">
        <f t="shared" si="817"/>
        <v>0</v>
      </c>
      <c r="FX370" s="51">
        <f t="shared" si="817"/>
        <v>0</v>
      </c>
      <c r="FY370" s="51">
        <f t="shared" si="817"/>
        <v>0</v>
      </c>
      <c r="FZ370" s="51">
        <f t="shared" si="817"/>
        <v>0</v>
      </c>
      <c r="GA370" s="51">
        <f t="shared" si="817"/>
        <v>0</v>
      </c>
      <c r="GB370" s="51">
        <f t="shared" si="817"/>
        <v>0</v>
      </c>
      <c r="GC370" s="51">
        <f t="shared" si="817"/>
        <v>0</v>
      </c>
      <c r="GD370" s="51">
        <f t="shared" si="817"/>
        <v>0</v>
      </c>
      <c r="GE370" s="51">
        <f t="shared" si="817"/>
        <v>0</v>
      </c>
      <c r="GF370" s="51">
        <f t="shared" si="817"/>
        <v>0</v>
      </c>
      <c r="GG370" s="51">
        <f t="shared" si="817"/>
        <v>0</v>
      </c>
      <c r="GH370" s="51">
        <f t="shared" si="817"/>
        <v>0</v>
      </c>
      <c r="GI370" s="51">
        <f t="shared" si="817"/>
        <v>0</v>
      </c>
      <c r="GJ370" s="51">
        <f t="shared" si="817"/>
        <v>0</v>
      </c>
      <c r="GK370" s="51">
        <f t="shared" si="817"/>
        <v>0</v>
      </c>
      <c r="GL370" s="51">
        <f t="shared" si="817"/>
        <v>0</v>
      </c>
      <c r="GM370" s="51">
        <f t="shared" si="817"/>
        <v>0</v>
      </c>
      <c r="GN370" s="51">
        <f t="shared" si="817"/>
        <v>0</v>
      </c>
      <c r="GO370" s="51">
        <f t="shared" si="817"/>
        <v>0</v>
      </c>
      <c r="GP370" s="51">
        <f t="shared" si="817"/>
        <v>0</v>
      </c>
      <c r="GQ370" s="51">
        <f t="shared" si="817"/>
        <v>0</v>
      </c>
      <c r="GR370" s="51">
        <f t="shared" si="817"/>
        <v>0</v>
      </c>
      <c r="GS370" s="51">
        <f t="shared" si="817"/>
        <v>0</v>
      </c>
      <c r="GT370" s="51">
        <f t="shared" si="817"/>
        <v>0</v>
      </c>
      <c r="GU370" s="51">
        <f t="shared" si="817"/>
        <v>50000000</v>
      </c>
      <c r="GV370" s="51">
        <f t="shared" si="817"/>
        <v>108187000</v>
      </c>
      <c r="GW370" s="51">
        <f t="shared" si="817"/>
        <v>87465933</v>
      </c>
      <c r="GX370" s="51">
        <f t="shared" si="817"/>
        <v>22858332</v>
      </c>
      <c r="GY370" s="51">
        <f t="shared" si="817"/>
        <v>0</v>
      </c>
      <c r="GZ370" s="51">
        <f t="shared" si="817"/>
        <v>230000000</v>
      </c>
    </row>
    <row r="371" spans="1:208" ht="65.25" customHeight="1" x14ac:dyDescent="0.2">
      <c r="A371" s="326"/>
      <c r="B371" s="326"/>
      <c r="C371" s="456">
        <v>37</v>
      </c>
      <c r="D371" s="721" t="s">
        <v>831</v>
      </c>
      <c r="E371" s="417" t="s">
        <v>537</v>
      </c>
      <c r="F371" s="1038">
        <v>0.6</v>
      </c>
      <c r="G371" s="265">
        <v>247</v>
      </c>
      <c r="H371" s="261" t="s">
        <v>832</v>
      </c>
      <c r="I371" s="275" t="s">
        <v>833</v>
      </c>
      <c r="J371" s="265" t="s">
        <v>834</v>
      </c>
      <c r="K371" s="259">
        <v>16</v>
      </c>
      <c r="L371" s="462" t="s">
        <v>58</v>
      </c>
      <c r="M371" s="288" t="s">
        <v>53</v>
      </c>
      <c r="N371" s="288">
        <v>1</v>
      </c>
      <c r="O371" s="461">
        <v>1</v>
      </c>
      <c r="P371" s="394">
        <v>1</v>
      </c>
      <c r="Q371" s="462">
        <v>1</v>
      </c>
      <c r="R371" s="268"/>
      <c r="S371" s="388">
        <v>1</v>
      </c>
      <c r="T371" s="462">
        <v>1</v>
      </c>
      <c r="U371" s="462"/>
      <c r="V371" s="394">
        <v>1</v>
      </c>
      <c r="W371" s="462">
        <v>1</v>
      </c>
      <c r="X371" s="462"/>
      <c r="Y371" s="702">
        <v>0.65</v>
      </c>
      <c r="Z371" s="508">
        <f>BM371/BM370</f>
        <v>0.5</v>
      </c>
      <c r="AA371" s="264">
        <v>16</v>
      </c>
      <c r="AB371" s="263" t="s">
        <v>376</v>
      </c>
      <c r="AC371" s="57"/>
      <c r="AD371" s="58"/>
      <c r="AE371" s="59"/>
      <c r="AF371" s="59"/>
      <c r="AG371" s="57"/>
      <c r="AH371" s="58"/>
      <c r="AI371" s="58"/>
      <c r="AJ371" s="58"/>
      <c r="AK371" s="57">
        <v>25000000</v>
      </c>
      <c r="AL371" s="55">
        <v>25000000</v>
      </c>
      <c r="AM371" s="58">
        <v>23151587</v>
      </c>
      <c r="AN371" s="58">
        <v>23151587</v>
      </c>
      <c r="AO371" s="57"/>
      <c r="AP371" s="58"/>
      <c r="AQ371" s="58"/>
      <c r="AR371" s="58"/>
      <c r="AS371" s="57"/>
      <c r="AT371" s="58"/>
      <c r="AU371" s="59"/>
      <c r="AV371" s="59"/>
      <c r="AW371" s="57"/>
      <c r="AX371" s="58"/>
      <c r="AY371" s="58"/>
      <c r="AZ371" s="58"/>
      <c r="BA371" s="57"/>
      <c r="BB371" s="58"/>
      <c r="BC371" s="58"/>
      <c r="BD371" s="58"/>
      <c r="BE371" s="57"/>
      <c r="BF371" s="58"/>
      <c r="BG371" s="59"/>
      <c r="BH371" s="59"/>
      <c r="BI371" s="57"/>
      <c r="BJ371" s="58"/>
      <c r="BK371" s="58"/>
      <c r="BL371" s="58"/>
      <c r="BM371" s="53">
        <f>+AC371+AG371+AK371+AO371+AS371+AW371+BA371+BE371+BI371</f>
        <v>25000000</v>
      </c>
      <c r="BN371" s="54">
        <f t="shared" ref="BN371:BP372" si="818">AD371+AH371+AL371+AP371+AT371+AX371+BB371+BF371+BJ371</f>
        <v>25000000</v>
      </c>
      <c r="BO371" s="54">
        <f t="shared" si="818"/>
        <v>23151587</v>
      </c>
      <c r="BP371" s="54">
        <f t="shared" si="818"/>
        <v>23151587</v>
      </c>
      <c r="BQ371" s="83"/>
      <c r="BR371" s="83"/>
      <c r="BS371" s="83"/>
      <c r="BT371" s="83"/>
      <c r="BU371" s="83"/>
      <c r="BV371" s="83"/>
      <c r="BW371" s="83"/>
      <c r="BX371" s="83"/>
      <c r="BY371" s="83"/>
      <c r="BZ371" s="84">
        <v>40000000</v>
      </c>
      <c r="CA371" s="83">
        <v>40000000</v>
      </c>
      <c r="CB371" s="83">
        <v>38853330</v>
      </c>
      <c r="CC371" s="83">
        <v>38398330</v>
      </c>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C371" s="83"/>
      <c r="DD371" s="83"/>
      <c r="DE371" s="81">
        <f t="shared" ref="DE371:DH372" si="819">BQ371+BU371+BZ371+CE371+CI371+CM371+CQ371+CV371+DA371</f>
        <v>40000000</v>
      </c>
      <c r="DF371" s="95">
        <f t="shared" si="819"/>
        <v>40000000</v>
      </c>
      <c r="DG371" s="95">
        <f t="shared" si="819"/>
        <v>38853330</v>
      </c>
      <c r="DH371" s="95">
        <f t="shared" si="819"/>
        <v>38398330</v>
      </c>
      <c r="DI371" s="95"/>
      <c r="DJ371" s="83"/>
      <c r="DK371" s="82"/>
      <c r="DL371" s="83"/>
      <c r="DM371" s="83"/>
      <c r="DN371" s="83"/>
      <c r="DO371" s="83"/>
      <c r="DP371" s="83"/>
      <c r="DQ371" s="83"/>
      <c r="DR371" s="83"/>
      <c r="DS371" s="83">
        <v>25000000</v>
      </c>
      <c r="DT371" s="83">
        <v>50000000</v>
      </c>
      <c r="DU371" s="83">
        <v>45786670</v>
      </c>
      <c r="DV371" s="83">
        <v>45786670</v>
      </c>
      <c r="DW371" s="83"/>
      <c r="DX371" s="83"/>
      <c r="DY371" s="83"/>
      <c r="DZ371" s="83"/>
      <c r="EA371" s="83"/>
      <c r="EB371" s="83"/>
      <c r="EC371" s="83"/>
      <c r="ED371" s="83"/>
      <c r="EE371" s="83"/>
      <c r="EF371" s="83"/>
      <c r="EG371" s="83"/>
      <c r="EH371" s="83"/>
      <c r="EI371" s="83"/>
      <c r="EJ371" s="83"/>
      <c r="EK371" s="83"/>
      <c r="EL371" s="83"/>
      <c r="EM371" s="83"/>
      <c r="EN371" s="83"/>
      <c r="EO371" s="83"/>
      <c r="EP371" s="83"/>
      <c r="EQ371" s="83"/>
      <c r="ER371" s="83"/>
      <c r="ES371" s="83"/>
      <c r="ET371" s="83"/>
      <c r="EU371" s="83"/>
      <c r="EV371" s="83"/>
      <c r="EW371" s="81">
        <f t="shared" ref="EW371:EX372" si="820">DJ371+DN371+DS371+DX371+EB371+EF371+EJ371+EN371+ES371</f>
        <v>25000000</v>
      </c>
      <c r="EX371" s="86">
        <f t="shared" si="820"/>
        <v>50000000</v>
      </c>
      <c r="EY371" s="86">
        <f t="shared" ref="EY371:EZ372" si="821">DL371+DP371+DU371+DZ371+ED371+EH371+EL371+EP371+EU371</f>
        <v>45786670</v>
      </c>
      <c r="EZ371" s="86">
        <f t="shared" si="821"/>
        <v>45786670</v>
      </c>
      <c r="FA371" s="176"/>
      <c r="FB371" s="83"/>
      <c r="FC371" s="84"/>
      <c r="FD371" s="84"/>
      <c r="FE371" s="84"/>
      <c r="FF371" s="140"/>
      <c r="FG371" s="83"/>
      <c r="FH371" s="83"/>
      <c r="FI371" s="83"/>
      <c r="FJ371" s="83"/>
      <c r="FK371" s="83"/>
      <c r="FL371" s="83">
        <v>25000000</v>
      </c>
      <c r="FM371" s="83">
        <v>49687000</v>
      </c>
      <c r="FN371" s="83">
        <v>46965933</v>
      </c>
      <c r="FO371" s="83">
        <v>22858332</v>
      </c>
      <c r="FP371" s="83"/>
      <c r="FQ371" s="83"/>
      <c r="FR371" s="83"/>
      <c r="FS371" s="83"/>
      <c r="FT371" s="83"/>
      <c r="FU371" s="83"/>
      <c r="FV371" s="83"/>
      <c r="FW371" s="83"/>
      <c r="FX371" s="83"/>
      <c r="FY371" s="83"/>
      <c r="FZ371" s="83"/>
      <c r="GA371" s="83"/>
      <c r="GB371" s="83"/>
      <c r="GC371" s="83"/>
      <c r="GD371" s="83"/>
      <c r="GE371" s="83"/>
      <c r="GF371" s="83"/>
      <c r="GG371" s="83"/>
      <c r="GH371" s="83"/>
      <c r="GI371" s="83"/>
      <c r="GJ371" s="83"/>
      <c r="GK371" s="83"/>
      <c r="GL371" s="83"/>
      <c r="GM371" s="83"/>
      <c r="GN371" s="83"/>
      <c r="GO371" s="83"/>
      <c r="GP371" s="83"/>
      <c r="GQ371" s="83"/>
      <c r="GR371" s="83"/>
      <c r="GS371" s="83"/>
      <c r="GT371" s="83"/>
      <c r="GU371" s="81">
        <f>FB371+FG371+FL371+FQ371+FV371+GA371+GF371+GK371+GP371</f>
        <v>25000000</v>
      </c>
      <c r="GV371" s="81">
        <f>GQ371+GL371+GG371+GB371+FW371+FR371+FM371+FH371+FC371</f>
        <v>49687000</v>
      </c>
      <c r="GW371" s="81">
        <f>GR371+GM371+GH371+GC371+FX371+FS371+FN371+FI371+FD371</f>
        <v>46965933</v>
      </c>
      <c r="GX371" s="81">
        <f>GS371+GN371+GI371+GD371+FY371+FT371+FO371+FJ371+FE371</f>
        <v>22858332</v>
      </c>
      <c r="GY371" s="673">
        <f>GT371+GO371+GJ371+GE371+FZ371+FU371+FP371+FK371+FF371</f>
        <v>0</v>
      </c>
      <c r="GZ371" s="67">
        <f>BM371+DE371+EW371+GU371</f>
        <v>115000000</v>
      </c>
    </row>
    <row r="372" spans="1:208" ht="65.25" customHeight="1" x14ac:dyDescent="0.2">
      <c r="A372" s="326"/>
      <c r="B372" s="372"/>
      <c r="C372" s="277"/>
      <c r="D372" s="723"/>
      <c r="E372" s="284"/>
      <c r="F372" s="380"/>
      <c r="G372" s="265">
        <v>248</v>
      </c>
      <c r="H372" s="358" t="s">
        <v>835</v>
      </c>
      <c r="I372" s="275" t="s">
        <v>836</v>
      </c>
      <c r="J372" s="262" t="s">
        <v>822</v>
      </c>
      <c r="K372" s="415">
        <v>17</v>
      </c>
      <c r="L372" s="288" t="s">
        <v>58</v>
      </c>
      <c r="M372" s="288" t="s">
        <v>53</v>
      </c>
      <c r="N372" s="288">
        <v>12</v>
      </c>
      <c r="O372" s="259">
        <v>12</v>
      </c>
      <c r="P372" s="394">
        <v>12</v>
      </c>
      <c r="Q372" s="288">
        <v>12</v>
      </c>
      <c r="R372" s="268"/>
      <c r="S372" s="389">
        <v>12</v>
      </c>
      <c r="T372" s="288">
        <v>12</v>
      </c>
      <c r="U372" s="288"/>
      <c r="V372" s="389">
        <v>12</v>
      </c>
      <c r="W372" s="288">
        <v>12</v>
      </c>
      <c r="X372" s="288"/>
      <c r="Y372" s="389">
        <v>12</v>
      </c>
      <c r="Z372" s="508">
        <f>BM372/BM370</f>
        <v>0.5</v>
      </c>
      <c r="AA372" s="265">
        <v>17</v>
      </c>
      <c r="AB372" s="262" t="s">
        <v>837</v>
      </c>
      <c r="AC372" s="57"/>
      <c r="AD372" s="58"/>
      <c r="AE372" s="59"/>
      <c r="AF372" s="59"/>
      <c r="AG372" s="57"/>
      <c r="AH372" s="58"/>
      <c r="AI372" s="58"/>
      <c r="AJ372" s="58"/>
      <c r="AK372" s="57">
        <v>25000000</v>
      </c>
      <c r="AL372" s="55">
        <v>25000000</v>
      </c>
      <c r="AM372" s="55">
        <v>20000000</v>
      </c>
      <c r="AN372" s="55">
        <v>20000000</v>
      </c>
      <c r="AO372" s="57"/>
      <c r="AP372" s="58"/>
      <c r="AQ372" s="58"/>
      <c r="AR372" s="58"/>
      <c r="AS372" s="57"/>
      <c r="AT372" s="58"/>
      <c r="AU372" s="59"/>
      <c r="AV372" s="59"/>
      <c r="AW372" s="57"/>
      <c r="AX372" s="58"/>
      <c r="AY372" s="58"/>
      <c r="AZ372" s="58"/>
      <c r="BA372" s="57"/>
      <c r="BB372" s="58"/>
      <c r="BC372" s="58"/>
      <c r="BD372" s="58"/>
      <c r="BE372" s="57"/>
      <c r="BF372" s="58"/>
      <c r="BG372" s="59"/>
      <c r="BH372" s="59"/>
      <c r="BI372" s="57"/>
      <c r="BJ372" s="58"/>
      <c r="BK372" s="58"/>
      <c r="BL372" s="58"/>
      <c r="BM372" s="53">
        <f>+AC372+AG372+AK372+AO372+AS372+AW372+BA372+BE372+BI372</f>
        <v>25000000</v>
      </c>
      <c r="BN372" s="54">
        <f t="shared" si="818"/>
        <v>25000000</v>
      </c>
      <c r="BO372" s="54">
        <f t="shared" si="818"/>
        <v>20000000</v>
      </c>
      <c r="BP372" s="54">
        <f t="shared" si="818"/>
        <v>20000000</v>
      </c>
      <c r="BQ372" s="83"/>
      <c r="BR372" s="83"/>
      <c r="BS372" s="83"/>
      <c r="BT372" s="83"/>
      <c r="BU372" s="83"/>
      <c r="BV372" s="83"/>
      <c r="BW372" s="83"/>
      <c r="BX372" s="83"/>
      <c r="BY372" s="83"/>
      <c r="BZ372" s="84">
        <v>40000000</v>
      </c>
      <c r="CA372" s="82">
        <v>40000000</v>
      </c>
      <c r="CB372" s="82">
        <v>12000000</v>
      </c>
      <c r="CC372" s="82">
        <v>3324000</v>
      </c>
      <c r="CD372" s="82"/>
      <c r="CE372" s="83"/>
      <c r="CF372" s="83"/>
      <c r="CG372" s="83"/>
      <c r="CH372" s="83"/>
      <c r="CI372" s="83"/>
      <c r="CJ372" s="83"/>
      <c r="CK372" s="83"/>
      <c r="CL372" s="83"/>
      <c r="CM372" s="83"/>
      <c r="CN372" s="83"/>
      <c r="CO372" s="83"/>
      <c r="CP372" s="83"/>
      <c r="CQ372" s="83"/>
      <c r="CR372" s="83"/>
      <c r="CS372" s="83"/>
      <c r="CT372" s="83"/>
      <c r="CU372" s="83"/>
      <c r="CV372" s="83"/>
      <c r="CW372" s="83"/>
      <c r="CX372" s="83"/>
      <c r="CY372" s="83"/>
      <c r="CZ372" s="83"/>
      <c r="DA372" s="83"/>
      <c r="DB372" s="83"/>
      <c r="DC372" s="83"/>
      <c r="DD372" s="83"/>
      <c r="DE372" s="81">
        <f t="shared" si="819"/>
        <v>40000000</v>
      </c>
      <c r="DF372" s="95">
        <f t="shared" si="819"/>
        <v>40000000</v>
      </c>
      <c r="DG372" s="95">
        <f t="shared" si="819"/>
        <v>12000000</v>
      </c>
      <c r="DH372" s="95">
        <f t="shared" si="819"/>
        <v>3324000</v>
      </c>
      <c r="DI372" s="95"/>
      <c r="DJ372" s="83"/>
      <c r="DK372" s="82"/>
      <c r="DL372" s="83"/>
      <c r="DM372" s="83"/>
      <c r="DN372" s="83"/>
      <c r="DO372" s="83"/>
      <c r="DP372" s="83"/>
      <c r="DQ372" s="83"/>
      <c r="DR372" s="83"/>
      <c r="DS372" s="83">
        <v>25000000</v>
      </c>
      <c r="DT372" s="83">
        <v>29000000</v>
      </c>
      <c r="DU372" s="83">
        <v>26000000</v>
      </c>
      <c r="DV372" s="83">
        <v>25150000</v>
      </c>
      <c r="DW372" s="83"/>
      <c r="DX372" s="83"/>
      <c r="DY372" s="83"/>
      <c r="DZ372" s="83"/>
      <c r="EA372" s="83"/>
      <c r="EB372" s="83"/>
      <c r="EC372" s="83"/>
      <c r="ED372" s="83"/>
      <c r="EE372" s="83"/>
      <c r="EF372" s="83"/>
      <c r="EG372" s="83"/>
      <c r="EH372" s="83"/>
      <c r="EI372" s="83"/>
      <c r="EJ372" s="83"/>
      <c r="EK372" s="83"/>
      <c r="EL372" s="83"/>
      <c r="EM372" s="83"/>
      <c r="EN372" s="83"/>
      <c r="EO372" s="83"/>
      <c r="EP372" s="83"/>
      <c r="EQ372" s="83"/>
      <c r="ER372" s="83"/>
      <c r="ES372" s="83"/>
      <c r="ET372" s="83"/>
      <c r="EU372" s="83"/>
      <c r="EV372" s="83"/>
      <c r="EW372" s="81">
        <f t="shared" si="820"/>
        <v>25000000</v>
      </c>
      <c r="EX372" s="86">
        <f t="shared" si="820"/>
        <v>29000000</v>
      </c>
      <c r="EY372" s="86">
        <f t="shared" si="821"/>
        <v>26000000</v>
      </c>
      <c r="EZ372" s="86">
        <f t="shared" si="821"/>
        <v>25150000</v>
      </c>
      <c r="FA372" s="176"/>
      <c r="FB372" s="83"/>
      <c r="FC372" s="84"/>
      <c r="FD372" s="84"/>
      <c r="FE372" s="84"/>
      <c r="FF372" s="140"/>
      <c r="FG372" s="83"/>
      <c r="FH372" s="83">
        <v>30000000</v>
      </c>
      <c r="FI372" s="83">
        <v>15000000</v>
      </c>
      <c r="FJ372" s="83"/>
      <c r="FK372" s="83"/>
      <c r="FL372" s="83">
        <v>25000000</v>
      </c>
      <c r="FM372" s="83">
        <v>28500000</v>
      </c>
      <c r="FN372" s="83">
        <v>25500000</v>
      </c>
      <c r="FO372" s="83"/>
      <c r="FP372" s="83"/>
      <c r="FQ372" s="83"/>
      <c r="FR372" s="83"/>
      <c r="FS372" s="83"/>
      <c r="FT372" s="83"/>
      <c r="FU372" s="83"/>
      <c r="FV372" s="83"/>
      <c r="FW372" s="83"/>
      <c r="FX372" s="83"/>
      <c r="FY372" s="83"/>
      <c r="FZ372" s="83"/>
      <c r="GA372" s="83"/>
      <c r="GB372" s="83"/>
      <c r="GC372" s="83"/>
      <c r="GD372" s="83"/>
      <c r="GE372" s="83"/>
      <c r="GF372" s="83"/>
      <c r="GG372" s="83"/>
      <c r="GH372" s="83"/>
      <c r="GI372" s="83"/>
      <c r="GJ372" s="83"/>
      <c r="GK372" s="83"/>
      <c r="GL372" s="83"/>
      <c r="GM372" s="83"/>
      <c r="GN372" s="83"/>
      <c r="GO372" s="83"/>
      <c r="GP372" s="83"/>
      <c r="GQ372" s="83"/>
      <c r="GR372" s="83"/>
      <c r="GS372" s="83"/>
      <c r="GT372" s="83"/>
      <c r="GU372" s="81">
        <f>FB372+FG372+FL372+FQ372+FV372+GA372+GF372+GK372+GP372</f>
        <v>25000000</v>
      </c>
      <c r="GV372" s="81">
        <f>FC372+FH372+FM372+FR372+FW372+GB372+GG372+GL372+GQ372</f>
        <v>58500000</v>
      </c>
      <c r="GW372" s="81">
        <f>FD372+FI372+FN372+FS372+FX372+GC372+GH372+GM372+GR372</f>
        <v>40500000</v>
      </c>
      <c r="GX372" s="81">
        <f>FE372+FJ372+FO372+FT372+FY372+GD372+GI372+GN372+GS372</f>
        <v>0</v>
      </c>
      <c r="GY372" s="673">
        <f>FF372+FK372+FP372+FU372+FZ372+GE372+GJ372+GO372+GT372</f>
        <v>0</v>
      </c>
      <c r="GZ372" s="67">
        <f>BM372+DE372+EW372+GU372</f>
        <v>115000000</v>
      </c>
    </row>
    <row r="373" spans="1:208" ht="24.75" customHeight="1" x14ac:dyDescent="0.2">
      <c r="A373" s="326"/>
      <c r="B373" s="234">
        <v>27</v>
      </c>
      <c r="C373" s="324" t="s">
        <v>838</v>
      </c>
      <c r="D373" s="237"/>
      <c r="E373" s="237"/>
      <c r="F373" s="237"/>
      <c r="G373" s="238"/>
      <c r="H373" s="238"/>
      <c r="I373" s="238"/>
      <c r="J373" s="238"/>
      <c r="K373" s="238"/>
      <c r="L373" s="238"/>
      <c r="M373" s="238"/>
      <c r="N373" s="238"/>
      <c r="O373" s="238"/>
      <c r="P373" s="238"/>
      <c r="Q373" s="238"/>
      <c r="R373" s="238"/>
      <c r="S373" s="238"/>
      <c r="T373" s="238"/>
      <c r="U373" s="238"/>
      <c r="V373" s="238"/>
      <c r="W373" s="238"/>
      <c r="X373" s="238"/>
      <c r="Y373" s="241"/>
      <c r="Z373" s="238"/>
      <c r="AA373" s="238"/>
      <c r="AB373" s="238"/>
      <c r="AC373" s="50">
        <f t="shared" ref="AC373:CN373" si="822">AC374+AC381</f>
        <v>0</v>
      </c>
      <c r="AD373" s="50">
        <f t="shared" si="822"/>
        <v>0</v>
      </c>
      <c r="AE373" s="50">
        <f t="shared" si="822"/>
        <v>0</v>
      </c>
      <c r="AF373" s="50">
        <f t="shared" si="822"/>
        <v>0</v>
      </c>
      <c r="AG373" s="50">
        <f t="shared" si="822"/>
        <v>0</v>
      </c>
      <c r="AH373" s="50">
        <f t="shared" si="822"/>
        <v>0</v>
      </c>
      <c r="AI373" s="50">
        <f t="shared" si="822"/>
        <v>0</v>
      </c>
      <c r="AJ373" s="50">
        <f t="shared" si="822"/>
        <v>0</v>
      </c>
      <c r="AK373" s="50">
        <f t="shared" si="822"/>
        <v>580000000</v>
      </c>
      <c r="AL373" s="50">
        <f t="shared" si="822"/>
        <v>580000000</v>
      </c>
      <c r="AM373" s="50">
        <f t="shared" si="822"/>
        <v>290939305</v>
      </c>
      <c r="AN373" s="50">
        <f t="shared" si="822"/>
        <v>219949305</v>
      </c>
      <c r="AO373" s="50">
        <f t="shared" si="822"/>
        <v>0</v>
      </c>
      <c r="AP373" s="50">
        <f t="shared" si="822"/>
        <v>0</v>
      </c>
      <c r="AQ373" s="50">
        <f t="shared" si="822"/>
        <v>0</v>
      </c>
      <c r="AR373" s="50">
        <f t="shared" si="822"/>
        <v>0</v>
      </c>
      <c r="AS373" s="50">
        <f t="shared" si="822"/>
        <v>0</v>
      </c>
      <c r="AT373" s="50">
        <f t="shared" si="822"/>
        <v>0</v>
      </c>
      <c r="AU373" s="50">
        <f t="shared" si="822"/>
        <v>0</v>
      </c>
      <c r="AV373" s="50">
        <f t="shared" si="822"/>
        <v>0</v>
      </c>
      <c r="AW373" s="50">
        <f t="shared" si="822"/>
        <v>0</v>
      </c>
      <c r="AX373" s="50">
        <f t="shared" si="822"/>
        <v>0</v>
      </c>
      <c r="AY373" s="50">
        <f t="shared" si="822"/>
        <v>0</v>
      </c>
      <c r="AZ373" s="50">
        <f t="shared" si="822"/>
        <v>0</v>
      </c>
      <c r="BA373" s="50">
        <f t="shared" si="822"/>
        <v>0</v>
      </c>
      <c r="BB373" s="50">
        <f t="shared" si="822"/>
        <v>0</v>
      </c>
      <c r="BC373" s="50">
        <f t="shared" si="822"/>
        <v>0</v>
      </c>
      <c r="BD373" s="50">
        <f t="shared" si="822"/>
        <v>0</v>
      </c>
      <c r="BE373" s="50">
        <f t="shared" si="822"/>
        <v>0</v>
      </c>
      <c r="BF373" s="50">
        <f t="shared" si="822"/>
        <v>0</v>
      </c>
      <c r="BG373" s="50">
        <f t="shared" si="822"/>
        <v>0</v>
      </c>
      <c r="BH373" s="50">
        <f t="shared" si="822"/>
        <v>0</v>
      </c>
      <c r="BI373" s="50">
        <f t="shared" si="822"/>
        <v>1000000000</v>
      </c>
      <c r="BJ373" s="50">
        <f t="shared" si="822"/>
        <v>0</v>
      </c>
      <c r="BK373" s="50">
        <f t="shared" si="822"/>
        <v>0</v>
      </c>
      <c r="BL373" s="50">
        <f t="shared" si="822"/>
        <v>0</v>
      </c>
      <c r="BM373" s="50">
        <f t="shared" si="822"/>
        <v>1580000000</v>
      </c>
      <c r="BN373" s="50">
        <f t="shared" si="822"/>
        <v>580000000</v>
      </c>
      <c r="BO373" s="50">
        <f t="shared" si="822"/>
        <v>290939305</v>
      </c>
      <c r="BP373" s="50">
        <f t="shared" si="822"/>
        <v>219949305</v>
      </c>
      <c r="BQ373" s="50">
        <f t="shared" si="822"/>
        <v>0</v>
      </c>
      <c r="BR373" s="50">
        <f t="shared" si="822"/>
        <v>0</v>
      </c>
      <c r="BS373" s="50">
        <f t="shared" si="822"/>
        <v>0</v>
      </c>
      <c r="BT373" s="50">
        <f t="shared" si="822"/>
        <v>0</v>
      </c>
      <c r="BU373" s="50">
        <f t="shared" si="822"/>
        <v>0</v>
      </c>
      <c r="BV373" s="50">
        <f t="shared" si="822"/>
        <v>245500000</v>
      </c>
      <c r="BW373" s="50">
        <f t="shared" si="822"/>
        <v>219905210</v>
      </c>
      <c r="BX373" s="50">
        <f t="shared" si="822"/>
        <v>219905210</v>
      </c>
      <c r="BY373" s="50">
        <f t="shared" si="822"/>
        <v>0</v>
      </c>
      <c r="BZ373" s="50">
        <f t="shared" si="822"/>
        <v>580000000</v>
      </c>
      <c r="CA373" s="50">
        <f t="shared" si="822"/>
        <v>500000000</v>
      </c>
      <c r="CB373" s="50">
        <f t="shared" si="822"/>
        <v>459812968</v>
      </c>
      <c r="CC373" s="50">
        <f t="shared" si="822"/>
        <v>456107118</v>
      </c>
      <c r="CD373" s="50">
        <f t="shared" si="822"/>
        <v>42000000</v>
      </c>
      <c r="CE373" s="50">
        <f t="shared" si="822"/>
        <v>0</v>
      </c>
      <c r="CF373" s="50">
        <f t="shared" si="822"/>
        <v>0</v>
      </c>
      <c r="CG373" s="50">
        <f t="shared" si="822"/>
        <v>0</v>
      </c>
      <c r="CH373" s="50">
        <f t="shared" si="822"/>
        <v>0</v>
      </c>
      <c r="CI373" s="50">
        <f t="shared" si="822"/>
        <v>0</v>
      </c>
      <c r="CJ373" s="50">
        <f t="shared" si="822"/>
        <v>0</v>
      </c>
      <c r="CK373" s="50">
        <f t="shared" si="822"/>
        <v>0</v>
      </c>
      <c r="CL373" s="50">
        <f t="shared" si="822"/>
        <v>0</v>
      </c>
      <c r="CM373" s="50">
        <f t="shared" si="822"/>
        <v>0</v>
      </c>
      <c r="CN373" s="50">
        <f t="shared" si="822"/>
        <v>0</v>
      </c>
      <c r="CO373" s="50">
        <f t="shared" ref="CO373:EV373" si="823">CO374+CO381</f>
        <v>0</v>
      </c>
      <c r="CP373" s="50">
        <f t="shared" si="823"/>
        <v>0</v>
      </c>
      <c r="CQ373" s="50">
        <f t="shared" si="823"/>
        <v>0</v>
      </c>
      <c r="CR373" s="50">
        <f t="shared" si="823"/>
        <v>0</v>
      </c>
      <c r="CS373" s="50">
        <f t="shared" si="823"/>
        <v>0</v>
      </c>
      <c r="CT373" s="50">
        <f t="shared" si="823"/>
        <v>0</v>
      </c>
      <c r="CU373" s="50">
        <f t="shared" si="823"/>
        <v>0</v>
      </c>
      <c r="CV373" s="50">
        <f t="shared" si="823"/>
        <v>0</v>
      </c>
      <c r="CW373" s="50">
        <f t="shared" si="823"/>
        <v>0</v>
      </c>
      <c r="CX373" s="50">
        <f t="shared" si="823"/>
        <v>0</v>
      </c>
      <c r="CY373" s="50">
        <f t="shared" si="823"/>
        <v>0</v>
      </c>
      <c r="CZ373" s="50">
        <f t="shared" si="823"/>
        <v>0</v>
      </c>
      <c r="DA373" s="50">
        <f t="shared" si="823"/>
        <v>1000000000</v>
      </c>
      <c r="DB373" s="50">
        <f t="shared" si="823"/>
        <v>0</v>
      </c>
      <c r="DC373" s="50">
        <f t="shared" si="823"/>
        <v>0</v>
      </c>
      <c r="DD373" s="50">
        <f t="shared" si="823"/>
        <v>0</v>
      </c>
      <c r="DE373" s="50">
        <f t="shared" si="823"/>
        <v>1580000000</v>
      </c>
      <c r="DF373" s="50">
        <f t="shared" si="823"/>
        <v>745500000</v>
      </c>
      <c r="DG373" s="50">
        <f t="shared" si="823"/>
        <v>679718178</v>
      </c>
      <c r="DH373" s="50">
        <f t="shared" si="823"/>
        <v>676012328</v>
      </c>
      <c r="DI373" s="50">
        <f t="shared" si="823"/>
        <v>42000000</v>
      </c>
      <c r="DJ373" s="50">
        <f t="shared" si="823"/>
        <v>0</v>
      </c>
      <c r="DK373" s="50">
        <f t="shared" si="823"/>
        <v>0</v>
      </c>
      <c r="DL373" s="50">
        <f t="shared" si="823"/>
        <v>0</v>
      </c>
      <c r="DM373" s="50">
        <f t="shared" si="823"/>
        <v>0</v>
      </c>
      <c r="DN373" s="50">
        <f t="shared" si="823"/>
        <v>0</v>
      </c>
      <c r="DO373" s="50">
        <f t="shared" si="823"/>
        <v>240000000</v>
      </c>
      <c r="DP373" s="50">
        <f t="shared" si="823"/>
        <v>62284215</v>
      </c>
      <c r="DQ373" s="50">
        <f t="shared" si="823"/>
        <v>58521344</v>
      </c>
      <c r="DR373" s="50">
        <f t="shared" si="823"/>
        <v>0</v>
      </c>
      <c r="DS373" s="50">
        <f t="shared" si="823"/>
        <v>580000000</v>
      </c>
      <c r="DT373" s="50">
        <f t="shared" si="823"/>
        <v>513000000</v>
      </c>
      <c r="DU373" s="50">
        <f t="shared" si="823"/>
        <v>460186074</v>
      </c>
      <c r="DV373" s="50">
        <f t="shared" si="823"/>
        <v>398372282</v>
      </c>
      <c r="DW373" s="50">
        <f t="shared" si="823"/>
        <v>0</v>
      </c>
      <c r="DX373" s="50">
        <f t="shared" si="823"/>
        <v>0</v>
      </c>
      <c r="DY373" s="50">
        <f t="shared" si="823"/>
        <v>0</v>
      </c>
      <c r="DZ373" s="50">
        <f t="shared" si="823"/>
        <v>0</v>
      </c>
      <c r="EA373" s="50">
        <f t="shared" si="823"/>
        <v>0</v>
      </c>
      <c r="EB373" s="50">
        <f t="shared" si="823"/>
        <v>0</v>
      </c>
      <c r="EC373" s="50">
        <f t="shared" si="823"/>
        <v>0</v>
      </c>
      <c r="ED373" s="50">
        <f t="shared" si="823"/>
        <v>0</v>
      </c>
      <c r="EE373" s="50">
        <f t="shared" si="823"/>
        <v>0</v>
      </c>
      <c r="EF373" s="50">
        <f t="shared" si="823"/>
        <v>0</v>
      </c>
      <c r="EG373" s="50">
        <f t="shared" si="823"/>
        <v>0</v>
      </c>
      <c r="EH373" s="50">
        <f t="shared" si="823"/>
        <v>0</v>
      </c>
      <c r="EI373" s="50">
        <f t="shared" si="823"/>
        <v>0</v>
      </c>
      <c r="EJ373" s="50">
        <f t="shared" si="823"/>
        <v>0</v>
      </c>
      <c r="EK373" s="50">
        <f t="shared" si="823"/>
        <v>0</v>
      </c>
      <c r="EL373" s="50">
        <f t="shared" si="823"/>
        <v>0</v>
      </c>
      <c r="EM373" s="50">
        <f t="shared" si="823"/>
        <v>0</v>
      </c>
      <c r="EN373" s="50">
        <f t="shared" si="823"/>
        <v>0</v>
      </c>
      <c r="EO373" s="50">
        <f t="shared" si="823"/>
        <v>0</v>
      </c>
      <c r="EP373" s="50">
        <f t="shared" si="823"/>
        <v>0</v>
      </c>
      <c r="EQ373" s="50">
        <f t="shared" si="823"/>
        <v>0</v>
      </c>
      <c r="ER373" s="50">
        <f t="shared" si="823"/>
        <v>0</v>
      </c>
      <c r="ES373" s="50">
        <f t="shared" si="823"/>
        <v>1000000000</v>
      </c>
      <c r="ET373" s="50">
        <f t="shared" si="823"/>
        <v>0</v>
      </c>
      <c r="EU373" s="50">
        <f t="shared" si="823"/>
        <v>0</v>
      </c>
      <c r="EV373" s="50">
        <f t="shared" si="823"/>
        <v>0</v>
      </c>
      <c r="EW373" s="50">
        <f t="shared" ref="EW373" si="824">EW374+EW381</f>
        <v>1580000000</v>
      </c>
      <c r="EX373" s="50">
        <f t="shared" ref="EX373:GZ373" si="825">EX374+EX381</f>
        <v>753000000</v>
      </c>
      <c r="EY373" s="50">
        <f t="shared" si="825"/>
        <v>522470289</v>
      </c>
      <c r="EZ373" s="50">
        <f t="shared" si="825"/>
        <v>456893626</v>
      </c>
      <c r="FA373" s="50">
        <f t="shared" si="825"/>
        <v>0</v>
      </c>
      <c r="FB373" s="50">
        <f t="shared" si="825"/>
        <v>0</v>
      </c>
      <c r="FC373" s="50">
        <f t="shared" si="825"/>
        <v>0</v>
      </c>
      <c r="FD373" s="50">
        <f t="shared" si="825"/>
        <v>0</v>
      </c>
      <c r="FE373" s="50">
        <f t="shared" si="825"/>
        <v>0</v>
      </c>
      <c r="FF373" s="50">
        <f t="shared" si="825"/>
        <v>0</v>
      </c>
      <c r="FG373" s="50">
        <f t="shared" si="825"/>
        <v>0</v>
      </c>
      <c r="FH373" s="50">
        <f t="shared" si="825"/>
        <v>309110500</v>
      </c>
      <c r="FI373" s="50">
        <f t="shared" si="825"/>
        <v>203983469</v>
      </c>
      <c r="FJ373" s="50">
        <f t="shared" si="825"/>
        <v>49827933</v>
      </c>
      <c r="FK373" s="50">
        <f t="shared" si="825"/>
        <v>3762871</v>
      </c>
      <c r="FL373" s="50">
        <f t="shared" si="825"/>
        <v>580000000</v>
      </c>
      <c r="FM373" s="50">
        <f t="shared" si="825"/>
        <v>610533533</v>
      </c>
      <c r="FN373" s="50">
        <f t="shared" si="825"/>
        <v>423243447</v>
      </c>
      <c r="FO373" s="50">
        <f t="shared" si="825"/>
        <v>227507332</v>
      </c>
      <c r="FP373" s="50">
        <f t="shared" si="825"/>
        <v>6358258</v>
      </c>
      <c r="FQ373" s="50">
        <f t="shared" si="825"/>
        <v>0</v>
      </c>
      <c r="FR373" s="50">
        <f t="shared" si="825"/>
        <v>0</v>
      </c>
      <c r="FS373" s="50">
        <f t="shared" si="825"/>
        <v>0</v>
      </c>
      <c r="FT373" s="50">
        <f t="shared" si="825"/>
        <v>0</v>
      </c>
      <c r="FU373" s="50">
        <f t="shared" si="825"/>
        <v>0</v>
      </c>
      <c r="FV373" s="50">
        <f t="shared" si="825"/>
        <v>0</v>
      </c>
      <c r="FW373" s="50">
        <f t="shared" si="825"/>
        <v>0</v>
      </c>
      <c r="FX373" s="50">
        <f t="shared" si="825"/>
        <v>0</v>
      </c>
      <c r="FY373" s="50">
        <f t="shared" si="825"/>
        <v>0</v>
      </c>
      <c r="FZ373" s="50">
        <f t="shared" si="825"/>
        <v>0</v>
      </c>
      <c r="GA373" s="50">
        <f t="shared" si="825"/>
        <v>0</v>
      </c>
      <c r="GB373" s="50">
        <f t="shared" si="825"/>
        <v>0</v>
      </c>
      <c r="GC373" s="50">
        <f t="shared" si="825"/>
        <v>0</v>
      </c>
      <c r="GD373" s="50">
        <f t="shared" si="825"/>
        <v>0</v>
      </c>
      <c r="GE373" s="50">
        <f t="shared" si="825"/>
        <v>0</v>
      </c>
      <c r="GF373" s="50">
        <f t="shared" si="825"/>
        <v>0</v>
      </c>
      <c r="GG373" s="50">
        <f t="shared" si="825"/>
        <v>0</v>
      </c>
      <c r="GH373" s="50">
        <f t="shared" si="825"/>
        <v>0</v>
      </c>
      <c r="GI373" s="50">
        <f t="shared" si="825"/>
        <v>0</v>
      </c>
      <c r="GJ373" s="50">
        <f t="shared" si="825"/>
        <v>0</v>
      </c>
      <c r="GK373" s="50">
        <f t="shared" si="825"/>
        <v>0</v>
      </c>
      <c r="GL373" s="50">
        <f t="shared" si="825"/>
        <v>0</v>
      </c>
      <c r="GM373" s="50">
        <f t="shared" si="825"/>
        <v>0</v>
      </c>
      <c r="GN373" s="50">
        <f t="shared" si="825"/>
        <v>0</v>
      </c>
      <c r="GO373" s="50">
        <f t="shared" si="825"/>
        <v>0</v>
      </c>
      <c r="GP373" s="50">
        <f t="shared" si="825"/>
        <v>1000000000</v>
      </c>
      <c r="GQ373" s="50">
        <f t="shared" si="825"/>
        <v>0</v>
      </c>
      <c r="GR373" s="50">
        <f t="shared" si="825"/>
        <v>0</v>
      </c>
      <c r="GS373" s="50">
        <f t="shared" si="825"/>
        <v>0</v>
      </c>
      <c r="GT373" s="50">
        <f t="shared" si="825"/>
        <v>0</v>
      </c>
      <c r="GU373" s="50">
        <f t="shared" si="825"/>
        <v>1580000000</v>
      </c>
      <c r="GV373" s="50">
        <f t="shared" si="825"/>
        <v>919644033</v>
      </c>
      <c r="GW373" s="50">
        <f t="shared" si="825"/>
        <v>627226916</v>
      </c>
      <c r="GX373" s="50">
        <f t="shared" si="825"/>
        <v>277335265</v>
      </c>
      <c r="GY373" s="50">
        <f t="shared" si="825"/>
        <v>10121129</v>
      </c>
      <c r="GZ373" s="50">
        <f t="shared" si="825"/>
        <v>6320000000</v>
      </c>
    </row>
    <row r="374" spans="1:208" ht="24.75" customHeight="1" x14ac:dyDescent="0.2">
      <c r="A374" s="326"/>
      <c r="B374" s="993"/>
      <c r="C374" s="246">
        <v>85</v>
      </c>
      <c r="D374" s="247" t="s">
        <v>839</v>
      </c>
      <c r="E374" s="250"/>
      <c r="F374" s="250"/>
      <c r="G374" s="251"/>
      <c r="H374" s="251"/>
      <c r="I374" s="251"/>
      <c r="J374" s="251"/>
      <c r="K374" s="251"/>
      <c r="L374" s="251"/>
      <c r="M374" s="251"/>
      <c r="N374" s="251"/>
      <c r="O374" s="251"/>
      <c r="P374" s="251"/>
      <c r="Q374" s="251"/>
      <c r="R374" s="251"/>
      <c r="S374" s="251"/>
      <c r="T374" s="251"/>
      <c r="U374" s="251"/>
      <c r="V374" s="251"/>
      <c r="W374" s="251"/>
      <c r="X374" s="251"/>
      <c r="Y374" s="252"/>
      <c r="Z374" s="251"/>
      <c r="AA374" s="251"/>
      <c r="AB374" s="251"/>
      <c r="AC374" s="51">
        <f t="shared" ref="AC374:BL374" si="826">SUM(AC375:AC380)</f>
        <v>0</v>
      </c>
      <c r="AD374" s="51">
        <f t="shared" si="826"/>
        <v>0</v>
      </c>
      <c r="AE374" s="51">
        <f t="shared" si="826"/>
        <v>0</v>
      </c>
      <c r="AF374" s="51">
        <f t="shared" si="826"/>
        <v>0</v>
      </c>
      <c r="AG374" s="51">
        <f t="shared" si="826"/>
        <v>0</v>
      </c>
      <c r="AH374" s="51">
        <f t="shared" si="826"/>
        <v>0</v>
      </c>
      <c r="AI374" s="51">
        <f t="shared" si="826"/>
        <v>0</v>
      </c>
      <c r="AJ374" s="51">
        <f t="shared" si="826"/>
        <v>0</v>
      </c>
      <c r="AK374" s="51">
        <f t="shared" si="826"/>
        <v>500000000</v>
      </c>
      <c r="AL374" s="51">
        <f t="shared" si="826"/>
        <v>500000000</v>
      </c>
      <c r="AM374" s="51">
        <f t="shared" si="826"/>
        <v>234527805</v>
      </c>
      <c r="AN374" s="51">
        <f t="shared" si="826"/>
        <v>163537805</v>
      </c>
      <c r="AO374" s="51">
        <f t="shared" si="826"/>
        <v>0</v>
      </c>
      <c r="AP374" s="51">
        <f t="shared" si="826"/>
        <v>0</v>
      </c>
      <c r="AQ374" s="51">
        <f t="shared" si="826"/>
        <v>0</v>
      </c>
      <c r="AR374" s="51">
        <f t="shared" si="826"/>
        <v>0</v>
      </c>
      <c r="AS374" s="51">
        <f t="shared" si="826"/>
        <v>0</v>
      </c>
      <c r="AT374" s="51">
        <f t="shared" si="826"/>
        <v>0</v>
      </c>
      <c r="AU374" s="51">
        <f t="shared" si="826"/>
        <v>0</v>
      </c>
      <c r="AV374" s="51">
        <f t="shared" si="826"/>
        <v>0</v>
      </c>
      <c r="AW374" s="51">
        <f t="shared" si="826"/>
        <v>0</v>
      </c>
      <c r="AX374" s="51">
        <f t="shared" si="826"/>
        <v>0</v>
      </c>
      <c r="AY374" s="51">
        <f t="shared" si="826"/>
        <v>0</v>
      </c>
      <c r="AZ374" s="51">
        <f t="shared" si="826"/>
        <v>0</v>
      </c>
      <c r="BA374" s="51">
        <f t="shared" si="826"/>
        <v>0</v>
      </c>
      <c r="BB374" s="51">
        <f t="shared" si="826"/>
        <v>0</v>
      </c>
      <c r="BC374" s="51">
        <f t="shared" si="826"/>
        <v>0</v>
      </c>
      <c r="BD374" s="51">
        <f t="shared" si="826"/>
        <v>0</v>
      </c>
      <c r="BE374" s="51">
        <f t="shared" si="826"/>
        <v>0</v>
      </c>
      <c r="BF374" s="51">
        <f t="shared" si="826"/>
        <v>0</v>
      </c>
      <c r="BG374" s="51">
        <f t="shared" si="826"/>
        <v>0</v>
      </c>
      <c r="BH374" s="51">
        <f t="shared" si="826"/>
        <v>0</v>
      </c>
      <c r="BI374" s="51">
        <f t="shared" si="826"/>
        <v>1000000000</v>
      </c>
      <c r="BJ374" s="51">
        <f t="shared" si="826"/>
        <v>0</v>
      </c>
      <c r="BK374" s="51">
        <f t="shared" si="826"/>
        <v>0</v>
      </c>
      <c r="BL374" s="51">
        <f t="shared" si="826"/>
        <v>0</v>
      </c>
      <c r="BM374" s="51">
        <f t="shared" ref="BM374:DX374" si="827">SUM(BM375:BM380)</f>
        <v>1500000000</v>
      </c>
      <c r="BN374" s="51">
        <f t="shared" si="827"/>
        <v>500000000</v>
      </c>
      <c r="BO374" s="51">
        <f t="shared" si="827"/>
        <v>234527805</v>
      </c>
      <c r="BP374" s="51">
        <f t="shared" si="827"/>
        <v>163537805</v>
      </c>
      <c r="BQ374" s="51">
        <f t="shared" si="827"/>
        <v>0</v>
      </c>
      <c r="BR374" s="51">
        <f t="shared" si="827"/>
        <v>0</v>
      </c>
      <c r="BS374" s="51">
        <f t="shared" si="827"/>
        <v>0</v>
      </c>
      <c r="BT374" s="51">
        <f t="shared" si="827"/>
        <v>0</v>
      </c>
      <c r="BU374" s="51">
        <f t="shared" si="827"/>
        <v>0</v>
      </c>
      <c r="BV374" s="51">
        <f t="shared" si="827"/>
        <v>225000000</v>
      </c>
      <c r="BW374" s="51">
        <f t="shared" si="827"/>
        <v>199405210</v>
      </c>
      <c r="BX374" s="51">
        <f t="shared" si="827"/>
        <v>199405210</v>
      </c>
      <c r="BY374" s="51">
        <f t="shared" si="827"/>
        <v>0</v>
      </c>
      <c r="BZ374" s="51">
        <f t="shared" si="827"/>
        <v>500000000</v>
      </c>
      <c r="CA374" s="51">
        <f t="shared" si="827"/>
        <v>420000000</v>
      </c>
      <c r="CB374" s="51">
        <f t="shared" si="827"/>
        <v>384857968</v>
      </c>
      <c r="CC374" s="51">
        <f t="shared" si="827"/>
        <v>381152118</v>
      </c>
      <c r="CD374" s="51">
        <f t="shared" si="827"/>
        <v>42000000</v>
      </c>
      <c r="CE374" s="51">
        <f t="shared" si="827"/>
        <v>0</v>
      </c>
      <c r="CF374" s="51">
        <f t="shared" si="827"/>
        <v>0</v>
      </c>
      <c r="CG374" s="51">
        <f t="shared" si="827"/>
        <v>0</v>
      </c>
      <c r="CH374" s="51">
        <f t="shared" si="827"/>
        <v>0</v>
      </c>
      <c r="CI374" s="51">
        <f t="shared" si="827"/>
        <v>0</v>
      </c>
      <c r="CJ374" s="51">
        <f t="shared" si="827"/>
        <v>0</v>
      </c>
      <c r="CK374" s="51">
        <f t="shared" si="827"/>
        <v>0</v>
      </c>
      <c r="CL374" s="51">
        <f t="shared" si="827"/>
        <v>0</v>
      </c>
      <c r="CM374" s="51">
        <f t="shared" si="827"/>
        <v>0</v>
      </c>
      <c r="CN374" s="51">
        <f t="shared" si="827"/>
        <v>0</v>
      </c>
      <c r="CO374" s="51">
        <f t="shared" si="827"/>
        <v>0</v>
      </c>
      <c r="CP374" s="51">
        <f t="shared" si="827"/>
        <v>0</v>
      </c>
      <c r="CQ374" s="51">
        <f t="shared" si="827"/>
        <v>0</v>
      </c>
      <c r="CR374" s="51">
        <f t="shared" si="827"/>
        <v>0</v>
      </c>
      <c r="CS374" s="51">
        <f t="shared" si="827"/>
        <v>0</v>
      </c>
      <c r="CT374" s="51">
        <f t="shared" si="827"/>
        <v>0</v>
      </c>
      <c r="CU374" s="51">
        <f t="shared" si="827"/>
        <v>0</v>
      </c>
      <c r="CV374" s="51">
        <f t="shared" si="827"/>
        <v>0</v>
      </c>
      <c r="CW374" s="51">
        <f t="shared" si="827"/>
        <v>0</v>
      </c>
      <c r="CX374" s="51">
        <f t="shared" si="827"/>
        <v>0</v>
      </c>
      <c r="CY374" s="51">
        <f t="shared" si="827"/>
        <v>0</v>
      </c>
      <c r="CZ374" s="51">
        <f t="shared" si="827"/>
        <v>0</v>
      </c>
      <c r="DA374" s="51">
        <f t="shared" si="827"/>
        <v>1000000000</v>
      </c>
      <c r="DB374" s="51">
        <f t="shared" si="827"/>
        <v>0</v>
      </c>
      <c r="DC374" s="51">
        <f t="shared" si="827"/>
        <v>0</v>
      </c>
      <c r="DD374" s="51">
        <f t="shared" si="827"/>
        <v>0</v>
      </c>
      <c r="DE374" s="51">
        <f t="shared" si="827"/>
        <v>1500000000</v>
      </c>
      <c r="DF374" s="51">
        <f t="shared" si="827"/>
        <v>645000000</v>
      </c>
      <c r="DG374" s="51">
        <f t="shared" si="827"/>
        <v>584263178</v>
      </c>
      <c r="DH374" s="51">
        <f t="shared" si="827"/>
        <v>580557328</v>
      </c>
      <c r="DI374" s="51">
        <f t="shared" si="827"/>
        <v>42000000</v>
      </c>
      <c r="DJ374" s="51">
        <f t="shared" si="827"/>
        <v>0</v>
      </c>
      <c r="DK374" s="51">
        <f t="shared" si="827"/>
        <v>0</v>
      </c>
      <c r="DL374" s="51">
        <f t="shared" si="827"/>
        <v>0</v>
      </c>
      <c r="DM374" s="51">
        <f t="shared" si="827"/>
        <v>0</v>
      </c>
      <c r="DN374" s="51">
        <f t="shared" si="827"/>
        <v>0</v>
      </c>
      <c r="DO374" s="51">
        <f t="shared" si="827"/>
        <v>170000000</v>
      </c>
      <c r="DP374" s="51">
        <f t="shared" si="827"/>
        <v>2500000</v>
      </c>
      <c r="DQ374" s="51">
        <f t="shared" si="827"/>
        <v>2500000</v>
      </c>
      <c r="DR374" s="51">
        <f t="shared" si="827"/>
        <v>0</v>
      </c>
      <c r="DS374" s="51">
        <f t="shared" si="827"/>
        <v>500000000</v>
      </c>
      <c r="DT374" s="51">
        <f t="shared" si="827"/>
        <v>413000000</v>
      </c>
      <c r="DU374" s="51">
        <f t="shared" si="827"/>
        <v>367435930</v>
      </c>
      <c r="DV374" s="51">
        <f t="shared" si="827"/>
        <v>305622138</v>
      </c>
      <c r="DW374" s="51">
        <f t="shared" si="827"/>
        <v>0</v>
      </c>
      <c r="DX374" s="51">
        <f t="shared" si="827"/>
        <v>0</v>
      </c>
      <c r="DY374" s="51">
        <f t="shared" ref="DY374:EW374" si="828">SUM(DY375:DY380)</f>
        <v>0</v>
      </c>
      <c r="DZ374" s="51">
        <f t="shared" si="828"/>
        <v>0</v>
      </c>
      <c r="EA374" s="51">
        <f t="shared" si="828"/>
        <v>0</v>
      </c>
      <c r="EB374" s="51">
        <f t="shared" si="828"/>
        <v>0</v>
      </c>
      <c r="EC374" s="51">
        <f t="shared" si="828"/>
        <v>0</v>
      </c>
      <c r="ED374" s="51">
        <f t="shared" si="828"/>
        <v>0</v>
      </c>
      <c r="EE374" s="51">
        <f t="shared" si="828"/>
        <v>0</v>
      </c>
      <c r="EF374" s="51">
        <f t="shared" si="828"/>
        <v>0</v>
      </c>
      <c r="EG374" s="51">
        <f t="shared" si="828"/>
        <v>0</v>
      </c>
      <c r="EH374" s="51">
        <f t="shared" si="828"/>
        <v>0</v>
      </c>
      <c r="EI374" s="51">
        <f t="shared" si="828"/>
        <v>0</v>
      </c>
      <c r="EJ374" s="51">
        <f t="shared" si="828"/>
        <v>0</v>
      </c>
      <c r="EK374" s="51">
        <f t="shared" si="828"/>
        <v>0</v>
      </c>
      <c r="EL374" s="51">
        <f t="shared" si="828"/>
        <v>0</v>
      </c>
      <c r="EM374" s="51">
        <f t="shared" si="828"/>
        <v>0</v>
      </c>
      <c r="EN374" s="51">
        <f t="shared" si="828"/>
        <v>0</v>
      </c>
      <c r="EO374" s="51">
        <f t="shared" si="828"/>
        <v>0</v>
      </c>
      <c r="EP374" s="51">
        <f t="shared" si="828"/>
        <v>0</v>
      </c>
      <c r="EQ374" s="51">
        <f t="shared" si="828"/>
        <v>0</v>
      </c>
      <c r="ER374" s="51">
        <f t="shared" si="828"/>
        <v>0</v>
      </c>
      <c r="ES374" s="51">
        <f t="shared" si="828"/>
        <v>1000000000</v>
      </c>
      <c r="ET374" s="51">
        <f t="shared" si="828"/>
        <v>0</v>
      </c>
      <c r="EU374" s="51">
        <f t="shared" si="828"/>
        <v>0</v>
      </c>
      <c r="EV374" s="51">
        <f t="shared" si="828"/>
        <v>0</v>
      </c>
      <c r="EW374" s="51">
        <f t="shared" si="828"/>
        <v>1500000000</v>
      </c>
      <c r="EX374" s="51">
        <f t="shared" ref="EX374:GZ374" si="829">SUM(EX375:EX380)</f>
        <v>583000000</v>
      </c>
      <c r="EY374" s="51">
        <f t="shared" si="829"/>
        <v>369935930</v>
      </c>
      <c r="EZ374" s="51">
        <f t="shared" si="829"/>
        <v>308122138</v>
      </c>
      <c r="FA374" s="51">
        <f t="shared" si="829"/>
        <v>0</v>
      </c>
      <c r="FB374" s="51">
        <f t="shared" si="829"/>
        <v>0</v>
      </c>
      <c r="FC374" s="51">
        <f t="shared" si="829"/>
        <v>0</v>
      </c>
      <c r="FD374" s="51">
        <f t="shared" si="829"/>
        <v>0</v>
      </c>
      <c r="FE374" s="51">
        <f t="shared" si="829"/>
        <v>0</v>
      </c>
      <c r="FF374" s="51">
        <f t="shared" si="829"/>
        <v>0</v>
      </c>
      <c r="FG374" s="51">
        <f t="shared" si="829"/>
        <v>0</v>
      </c>
      <c r="FH374" s="51">
        <f t="shared" si="829"/>
        <v>309110500</v>
      </c>
      <c r="FI374" s="51">
        <f t="shared" si="829"/>
        <v>203983469</v>
      </c>
      <c r="FJ374" s="51">
        <f t="shared" si="829"/>
        <v>49827933</v>
      </c>
      <c r="FK374" s="51">
        <f t="shared" si="829"/>
        <v>0</v>
      </c>
      <c r="FL374" s="51">
        <f t="shared" si="829"/>
        <v>500000000</v>
      </c>
      <c r="FM374" s="51">
        <f t="shared" si="829"/>
        <v>511161133</v>
      </c>
      <c r="FN374" s="51">
        <f t="shared" si="829"/>
        <v>339061115</v>
      </c>
      <c r="FO374" s="51">
        <f t="shared" si="829"/>
        <v>160345666</v>
      </c>
      <c r="FP374" s="51">
        <f t="shared" si="829"/>
        <v>6358258</v>
      </c>
      <c r="FQ374" s="51">
        <f t="shared" si="829"/>
        <v>0</v>
      </c>
      <c r="FR374" s="51">
        <f t="shared" si="829"/>
        <v>0</v>
      </c>
      <c r="FS374" s="51">
        <f t="shared" si="829"/>
        <v>0</v>
      </c>
      <c r="FT374" s="51">
        <f t="shared" si="829"/>
        <v>0</v>
      </c>
      <c r="FU374" s="51">
        <f t="shared" si="829"/>
        <v>0</v>
      </c>
      <c r="FV374" s="51">
        <f t="shared" si="829"/>
        <v>0</v>
      </c>
      <c r="FW374" s="51">
        <f t="shared" si="829"/>
        <v>0</v>
      </c>
      <c r="FX374" s="51">
        <f t="shared" si="829"/>
        <v>0</v>
      </c>
      <c r="FY374" s="51">
        <f t="shared" si="829"/>
        <v>0</v>
      </c>
      <c r="FZ374" s="51">
        <f t="shared" si="829"/>
        <v>0</v>
      </c>
      <c r="GA374" s="51">
        <f t="shared" si="829"/>
        <v>0</v>
      </c>
      <c r="GB374" s="51">
        <f t="shared" si="829"/>
        <v>0</v>
      </c>
      <c r="GC374" s="51">
        <f t="shared" si="829"/>
        <v>0</v>
      </c>
      <c r="GD374" s="51">
        <f t="shared" si="829"/>
        <v>0</v>
      </c>
      <c r="GE374" s="51">
        <f t="shared" si="829"/>
        <v>0</v>
      </c>
      <c r="GF374" s="51">
        <f t="shared" si="829"/>
        <v>0</v>
      </c>
      <c r="GG374" s="51">
        <f t="shared" si="829"/>
        <v>0</v>
      </c>
      <c r="GH374" s="51">
        <f t="shared" si="829"/>
        <v>0</v>
      </c>
      <c r="GI374" s="51">
        <f t="shared" si="829"/>
        <v>0</v>
      </c>
      <c r="GJ374" s="51">
        <f t="shared" si="829"/>
        <v>0</v>
      </c>
      <c r="GK374" s="51">
        <f t="shared" si="829"/>
        <v>0</v>
      </c>
      <c r="GL374" s="51">
        <f t="shared" si="829"/>
        <v>0</v>
      </c>
      <c r="GM374" s="51">
        <f t="shared" si="829"/>
        <v>0</v>
      </c>
      <c r="GN374" s="51">
        <f t="shared" si="829"/>
        <v>0</v>
      </c>
      <c r="GO374" s="51">
        <f t="shared" si="829"/>
        <v>0</v>
      </c>
      <c r="GP374" s="51">
        <f t="shared" si="829"/>
        <v>1000000000</v>
      </c>
      <c r="GQ374" s="51">
        <f t="shared" si="829"/>
        <v>0</v>
      </c>
      <c r="GR374" s="51">
        <f t="shared" si="829"/>
        <v>0</v>
      </c>
      <c r="GS374" s="51">
        <f t="shared" si="829"/>
        <v>0</v>
      </c>
      <c r="GT374" s="51">
        <f t="shared" si="829"/>
        <v>0</v>
      </c>
      <c r="GU374" s="51">
        <f t="shared" si="829"/>
        <v>1500000000</v>
      </c>
      <c r="GV374" s="51">
        <f t="shared" si="829"/>
        <v>820271633</v>
      </c>
      <c r="GW374" s="51">
        <f t="shared" si="829"/>
        <v>543044584</v>
      </c>
      <c r="GX374" s="51">
        <f t="shared" si="829"/>
        <v>210173599</v>
      </c>
      <c r="GY374" s="51">
        <f t="shared" si="829"/>
        <v>6358258</v>
      </c>
      <c r="GZ374" s="51">
        <f t="shared" si="829"/>
        <v>6000000000</v>
      </c>
    </row>
    <row r="375" spans="1:208" ht="78.75" customHeight="1" x14ac:dyDescent="0.2">
      <c r="A375" s="326"/>
      <c r="B375" s="326"/>
      <c r="C375" s="456">
        <v>37</v>
      </c>
      <c r="D375" s="721" t="s">
        <v>831</v>
      </c>
      <c r="E375" s="417" t="s">
        <v>537</v>
      </c>
      <c r="F375" s="1038">
        <v>0.6</v>
      </c>
      <c r="G375" s="265">
        <v>249</v>
      </c>
      <c r="H375" s="261" t="s">
        <v>840</v>
      </c>
      <c r="I375" s="275" t="s">
        <v>841</v>
      </c>
      <c r="J375" s="262" t="s">
        <v>842</v>
      </c>
      <c r="K375" s="415">
        <v>16</v>
      </c>
      <c r="L375" s="288" t="s">
        <v>58</v>
      </c>
      <c r="M375" s="288">
        <v>1</v>
      </c>
      <c r="N375" s="288">
        <v>1</v>
      </c>
      <c r="O375" s="259">
        <v>1</v>
      </c>
      <c r="P375" s="560">
        <v>1</v>
      </c>
      <c r="Q375" s="288">
        <v>1</v>
      </c>
      <c r="R375" s="268"/>
      <c r="S375" s="389">
        <v>1</v>
      </c>
      <c r="T375" s="288">
        <v>1</v>
      </c>
      <c r="U375" s="288"/>
      <c r="V375" s="389">
        <v>1</v>
      </c>
      <c r="W375" s="288">
        <v>1</v>
      </c>
      <c r="X375" s="304"/>
      <c r="Y375" s="631">
        <v>0.5</v>
      </c>
      <c r="Z375" s="390">
        <f t="shared" ref="Z375:Z380" si="830">BM375/$BM$374</f>
        <v>0.13333333333333333</v>
      </c>
      <c r="AA375" s="265">
        <v>16</v>
      </c>
      <c r="AB375" s="262" t="s">
        <v>376</v>
      </c>
      <c r="AC375" s="56"/>
      <c r="AD375" s="55"/>
      <c r="AE375" s="54"/>
      <c r="AF375" s="54"/>
      <c r="AG375" s="56"/>
      <c r="AH375" s="55"/>
      <c r="AI375" s="55"/>
      <c r="AJ375" s="55"/>
      <c r="AK375" s="57">
        <v>200000000</v>
      </c>
      <c r="AL375" s="55">
        <v>200000000</v>
      </c>
      <c r="AM375" s="1003">
        <v>154729472</v>
      </c>
      <c r="AN375" s="55">
        <v>83739472</v>
      </c>
      <c r="AO375" s="57"/>
      <c r="AP375" s="58"/>
      <c r="AQ375" s="58"/>
      <c r="AR375" s="55"/>
      <c r="AS375" s="56"/>
      <c r="AT375" s="55"/>
      <c r="AU375" s="54"/>
      <c r="AV375" s="54"/>
      <c r="AW375" s="56"/>
      <c r="AX375" s="55"/>
      <c r="AY375" s="55"/>
      <c r="AZ375" s="55"/>
      <c r="BA375" s="56"/>
      <c r="BB375" s="55"/>
      <c r="BC375" s="55"/>
      <c r="BD375" s="55"/>
      <c r="BE375" s="56"/>
      <c r="BF375" s="55"/>
      <c r="BG375" s="54"/>
      <c r="BH375" s="54"/>
      <c r="BI375" s="56"/>
      <c r="BJ375" s="55"/>
      <c r="BK375" s="55"/>
      <c r="BL375" s="55"/>
      <c r="BM375" s="53">
        <f t="shared" ref="BM375:BM380" si="831">+AC375+AG375+AK375+AO375+AS375+AW375+BA375+BE375+BI375</f>
        <v>200000000</v>
      </c>
      <c r="BN375" s="54">
        <f t="shared" ref="BN375:BP380" si="832">AD375+AH375+AL375+AP375+AT375+AX375+BB375+BF375+BJ375</f>
        <v>200000000</v>
      </c>
      <c r="BO375" s="54">
        <f t="shared" si="832"/>
        <v>154729472</v>
      </c>
      <c r="BP375" s="54">
        <f t="shared" si="832"/>
        <v>83739472</v>
      </c>
      <c r="BQ375" s="83"/>
      <c r="BR375" s="83"/>
      <c r="BS375" s="83"/>
      <c r="BT375" s="83"/>
      <c r="BU375" s="83"/>
      <c r="BV375" s="561">
        <v>20000000</v>
      </c>
      <c r="BW375" s="83">
        <v>7500000</v>
      </c>
      <c r="BX375" s="83">
        <v>7500000</v>
      </c>
      <c r="BY375" s="83"/>
      <c r="BZ375" s="83">
        <v>200000000</v>
      </c>
      <c r="CA375" s="82">
        <v>120000000</v>
      </c>
      <c r="CB375" s="82">
        <v>105452716</v>
      </c>
      <c r="CC375" s="82">
        <v>105452716</v>
      </c>
      <c r="CD375" s="83">
        <v>42000000</v>
      </c>
      <c r="CE375" s="83"/>
      <c r="CF375" s="83"/>
      <c r="CG375" s="83"/>
      <c r="CH375" s="83"/>
      <c r="CI375" s="83"/>
      <c r="CJ375" s="83"/>
      <c r="CK375" s="83"/>
      <c r="CL375" s="83"/>
      <c r="CM375" s="83"/>
      <c r="CN375" s="83"/>
      <c r="CO375" s="83"/>
      <c r="CP375" s="83"/>
      <c r="CQ375" s="83"/>
      <c r="CR375" s="83"/>
      <c r="CS375" s="83"/>
      <c r="CT375" s="83"/>
      <c r="CU375" s="83"/>
      <c r="CV375" s="83"/>
      <c r="CW375" s="83"/>
      <c r="CX375" s="83"/>
      <c r="CY375" s="83"/>
      <c r="CZ375" s="83"/>
      <c r="DA375" s="83"/>
      <c r="DB375" s="83"/>
      <c r="DC375" s="83"/>
      <c r="DD375" s="83"/>
      <c r="DE375" s="81">
        <f t="shared" ref="DE375:DE382" si="833">BQ375+BU375+BZ375+CE375+CI375+CM375+CQ375+CV375+DA375</f>
        <v>200000000</v>
      </c>
      <c r="DF375" s="95">
        <f t="shared" ref="DF375:DF380" si="834">BR375+BV375+CA375+CF375+CJ375+CN375+CR375+CW375+DB375</f>
        <v>140000000</v>
      </c>
      <c r="DG375" s="95">
        <f t="shared" ref="DG375:DG380" si="835">BS375+BW375+CB375+CG375+CK375+CO375+CS375+CX375+DC375</f>
        <v>112952716</v>
      </c>
      <c r="DH375" s="95">
        <f t="shared" ref="DH375:DH380" si="836">BT375+BX375+CC375+CH375+CL375+CP375+CT375+CY375+DD375</f>
        <v>112952716</v>
      </c>
      <c r="DI375" s="95">
        <f>CD375</f>
        <v>42000000</v>
      </c>
      <c r="DJ375" s="83"/>
      <c r="DK375" s="82"/>
      <c r="DL375" s="83"/>
      <c r="DM375" s="83"/>
      <c r="DN375" s="83"/>
      <c r="DO375" s="83"/>
      <c r="DP375" s="83"/>
      <c r="DQ375" s="83"/>
      <c r="DR375" s="83"/>
      <c r="DS375" s="83">
        <v>200000000</v>
      </c>
      <c r="DT375" s="83">
        <v>120000000</v>
      </c>
      <c r="DU375" s="83">
        <v>113548863</v>
      </c>
      <c r="DV375" s="83">
        <v>66528329</v>
      </c>
      <c r="DW375" s="83"/>
      <c r="DX375" s="83"/>
      <c r="DY375" s="83"/>
      <c r="DZ375" s="83"/>
      <c r="EA375" s="83"/>
      <c r="EB375" s="83"/>
      <c r="EC375" s="83"/>
      <c r="ED375" s="83"/>
      <c r="EE375" s="83"/>
      <c r="EF375" s="83"/>
      <c r="EG375" s="83"/>
      <c r="EH375" s="83"/>
      <c r="EI375" s="83"/>
      <c r="EJ375" s="83"/>
      <c r="EK375" s="83"/>
      <c r="EL375" s="83"/>
      <c r="EM375" s="83"/>
      <c r="EN375" s="83"/>
      <c r="EO375" s="83"/>
      <c r="EP375" s="83"/>
      <c r="EQ375" s="83"/>
      <c r="ER375" s="83"/>
      <c r="ES375" s="83"/>
      <c r="ET375" s="83"/>
      <c r="EU375" s="83"/>
      <c r="EV375" s="83"/>
      <c r="EW375" s="81">
        <f t="shared" ref="EW375:EX380" si="837">DJ375+DN375+DS375+DX375+EB375+EF375+EJ375+EN375+ES375</f>
        <v>200000000</v>
      </c>
      <c r="EX375" s="86">
        <f t="shared" si="837"/>
        <v>120000000</v>
      </c>
      <c r="EY375" s="86">
        <f t="shared" ref="EY375:EZ380" si="838">DL375+DP375+DU375+DZ375+ED375+EH375+EL375+EP375+EU375</f>
        <v>113548863</v>
      </c>
      <c r="EZ375" s="86">
        <f t="shared" si="838"/>
        <v>66528329</v>
      </c>
      <c r="FA375" s="176"/>
      <c r="FB375" s="83"/>
      <c r="FC375" s="84"/>
      <c r="FD375" s="84"/>
      <c r="FE375" s="84"/>
      <c r="FF375" s="140"/>
      <c r="FG375" s="83"/>
      <c r="FH375" s="83"/>
      <c r="FI375" s="83"/>
      <c r="FJ375" s="83"/>
      <c r="FK375" s="83"/>
      <c r="FL375" s="83">
        <v>200000000</v>
      </c>
      <c r="FM375" s="83">
        <v>120000000</v>
      </c>
      <c r="FN375" s="83">
        <v>33025650</v>
      </c>
      <c r="FO375" s="83">
        <v>6000000</v>
      </c>
      <c r="FP375" s="83"/>
      <c r="FQ375" s="83"/>
      <c r="FR375" s="83"/>
      <c r="FS375" s="83"/>
      <c r="FT375" s="83"/>
      <c r="FU375" s="83"/>
      <c r="FV375" s="83"/>
      <c r="FW375" s="83"/>
      <c r="FX375" s="83"/>
      <c r="FY375" s="83"/>
      <c r="FZ375" s="83"/>
      <c r="GA375" s="83"/>
      <c r="GB375" s="83"/>
      <c r="GC375" s="83"/>
      <c r="GD375" s="83"/>
      <c r="GE375" s="83"/>
      <c r="GF375" s="83"/>
      <c r="GG375" s="83"/>
      <c r="GH375" s="83"/>
      <c r="GI375" s="83"/>
      <c r="GJ375" s="83"/>
      <c r="GK375" s="83"/>
      <c r="GL375" s="83"/>
      <c r="GM375" s="83"/>
      <c r="GN375" s="83"/>
      <c r="GO375" s="83"/>
      <c r="GP375" s="83"/>
      <c r="GQ375" s="83"/>
      <c r="GR375" s="83"/>
      <c r="GS375" s="83"/>
      <c r="GT375" s="83"/>
      <c r="GU375" s="81">
        <f>FB375+FG375+FL375+FQ375+FV375+GA375+GF375+GK375+GP375</f>
        <v>200000000</v>
      </c>
      <c r="GV375" s="81">
        <f>FC375+FH375+FM375+FR375+FW375+GB375+GG375+GL375+GQ375</f>
        <v>120000000</v>
      </c>
      <c r="GW375" s="81">
        <f>FD375+FI375+FN375+FS375+FX375+GC375+GH375+GM375+GR375</f>
        <v>33025650</v>
      </c>
      <c r="GX375" s="81">
        <f>FE375+FJ375+FO375+FT375+FY375+GD375+GI375+GN375+GS375</f>
        <v>6000000</v>
      </c>
      <c r="GY375" s="673">
        <f>FF375+FK375+FP375+FU375+FZ375+GE375+GJ375+GO375+GT375</f>
        <v>0</v>
      </c>
      <c r="GZ375" s="67">
        <f t="shared" ref="GZ375:GZ380" si="839">BM375+DE375+EW375+GU375</f>
        <v>800000000</v>
      </c>
    </row>
    <row r="376" spans="1:208" ht="78.75" customHeight="1" x14ac:dyDescent="0.2">
      <c r="A376" s="326"/>
      <c r="B376" s="326"/>
      <c r="C376" s="279"/>
      <c r="D376" s="722"/>
      <c r="E376" s="306"/>
      <c r="F376" s="533"/>
      <c r="G376" s="265">
        <v>250</v>
      </c>
      <c r="H376" s="261" t="s">
        <v>843</v>
      </c>
      <c r="I376" s="275" t="s">
        <v>844</v>
      </c>
      <c r="J376" s="262" t="s">
        <v>842</v>
      </c>
      <c r="K376" s="415">
        <v>16</v>
      </c>
      <c r="L376" s="288" t="s">
        <v>58</v>
      </c>
      <c r="M376" s="288">
        <v>1</v>
      </c>
      <c r="N376" s="288">
        <v>3</v>
      </c>
      <c r="O376" s="259">
        <v>3</v>
      </c>
      <c r="P376" s="394">
        <v>3</v>
      </c>
      <c r="Q376" s="288">
        <v>3</v>
      </c>
      <c r="R376" s="268"/>
      <c r="S376" s="389">
        <v>3</v>
      </c>
      <c r="T376" s="277">
        <v>3</v>
      </c>
      <c r="U376" s="277"/>
      <c r="V376" s="535">
        <v>3</v>
      </c>
      <c r="W376" s="277">
        <v>3</v>
      </c>
      <c r="X376" s="534"/>
      <c r="Y376" s="649">
        <v>3</v>
      </c>
      <c r="Z376" s="390">
        <f t="shared" si="830"/>
        <v>4.6166666666666668E-2</v>
      </c>
      <c r="AA376" s="265">
        <v>16</v>
      </c>
      <c r="AB376" s="262" t="s">
        <v>376</v>
      </c>
      <c r="AC376" s="56"/>
      <c r="AD376" s="55"/>
      <c r="AE376" s="54"/>
      <c r="AF376" s="54"/>
      <c r="AG376" s="56"/>
      <c r="AH376" s="55"/>
      <c r="AI376" s="55"/>
      <c r="AJ376" s="55"/>
      <c r="AK376" s="57">
        <v>69250000</v>
      </c>
      <c r="AL376" s="54">
        <v>69250000</v>
      </c>
      <c r="AM376" s="58">
        <v>47228333</v>
      </c>
      <c r="AN376" s="58">
        <v>47228333</v>
      </c>
      <c r="AO376" s="57"/>
      <c r="AP376" s="58"/>
      <c r="AQ376" s="58"/>
      <c r="AR376" s="55"/>
      <c r="AS376" s="56"/>
      <c r="AT376" s="55"/>
      <c r="AU376" s="54"/>
      <c r="AV376" s="54"/>
      <c r="AW376" s="56"/>
      <c r="AX376" s="55"/>
      <c r="AY376" s="55"/>
      <c r="AZ376" s="55"/>
      <c r="BA376" s="56"/>
      <c r="BB376" s="55"/>
      <c r="BC376" s="55"/>
      <c r="BD376" s="55"/>
      <c r="BE376" s="56"/>
      <c r="BF376" s="55"/>
      <c r="BG376" s="54"/>
      <c r="BH376" s="54"/>
      <c r="BI376" s="56"/>
      <c r="BJ376" s="55"/>
      <c r="BK376" s="55"/>
      <c r="BL376" s="55"/>
      <c r="BM376" s="53">
        <f t="shared" si="831"/>
        <v>69250000</v>
      </c>
      <c r="BN376" s="54">
        <f t="shared" si="832"/>
        <v>69250000</v>
      </c>
      <c r="BO376" s="54">
        <f t="shared" si="832"/>
        <v>47228333</v>
      </c>
      <c r="BP376" s="54">
        <f t="shared" si="832"/>
        <v>47228333</v>
      </c>
      <c r="BQ376" s="83"/>
      <c r="BR376" s="83"/>
      <c r="BS376" s="83"/>
      <c r="BT376" s="83"/>
      <c r="BU376" s="83"/>
      <c r="BV376" s="83">
        <v>205000000</v>
      </c>
      <c r="BW376" s="83">
        <v>191905210</v>
      </c>
      <c r="BX376" s="83">
        <v>191905210</v>
      </c>
      <c r="BY376" s="83"/>
      <c r="BZ376" s="83">
        <v>69250000</v>
      </c>
      <c r="CA376" s="83">
        <v>69250000</v>
      </c>
      <c r="CB376" s="83">
        <v>61805415</v>
      </c>
      <c r="CC376" s="83">
        <v>61805415</v>
      </c>
      <c r="CD376" s="83"/>
      <c r="CE376" s="83"/>
      <c r="CF376" s="83"/>
      <c r="CG376" s="83"/>
      <c r="CH376" s="83"/>
      <c r="CI376" s="83"/>
      <c r="CJ376" s="83"/>
      <c r="CK376" s="83"/>
      <c r="CL376" s="83"/>
      <c r="CM376" s="83"/>
      <c r="CN376" s="83"/>
      <c r="CO376" s="83"/>
      <c r="CP376" s="83"/>
      <c r="CQ376" s="83"/>
      <c r="CR376" s="83"/>
      <c r="CS376" s="83"/>
      <c r="CT376" s="83"/>
      <c r="CU376" s="83"/>
      <c r="CV376" s="83"/>
      <c r="CW376" s="83"/>
      <c r="CX376" s="83"/>
      <c r="CY376" s="83"/>
      <c r="CZ376" s="83"/>
      <c r="DA376" s="83"/>
      <c r="DB376" s="83"/>
      <c r="DC376" s="83"/>
      <c r="DD376" s="83"/>
      <c r="DE376" s="81">
        <f t="shared" si="833"/>
        <v>69250000</v>
      </c>
      <c r="DF376" s="95">
        <f t="shared" si="834"/>
        <v>274250000</v>
      </c>
      <c r="DG376" s="95">
        <f t="shared" si="835"/>
        <v>253710625</v>
      </c>
      <c r="DH376" s="95">
        <f t="shared" si="836"/>
        <v>253710625</v>
      </c>
      <c r="DI376" s="95"/>
      <c r="DJ376" s="83"/>
      <c r="DK376" s="82"/>
      <c r="DL376" s="83"/>
      <c r="DM376" s="83"/>
      <c r="DN376" s="83"/>
      <c r="DO376" s="83">
        <v>170000000</v>
      </c>
      <c r="DP376" s="83">
        <v>2500000</v>
      </c>
      <c r="DQ376" s="83">
        <v>2500000</v>
      </c>
      <c r="DR376" s="83"/>
      <c r="DS376" s="83">
        <v>60000000</v>
      </c>
      <c r="DT376" s="83">
        <v>194500000</v>
      </c>
      <c r="DU376" s="83">
        <v>183549737</v>
      </c>
      <c r="DV376" s="83">
        <v>168756479</v>
      </c>
      <c r="DW376" s="83"/>
      <c r="DX376" s="83"/>
      <c r="DY376" s="83"/>
      <c r="DZ376" s="83"/>
      <c r="EA376" s="83"/>
      <c r="EB376" s="83"/>
      <c r="EC376" s="83"/>
      <c r="ED376" s="83"/>
      <c r="EE376" s="83"/>
      <c r="EF376" s="83"/>
      <c r="EG376" s="83"/>
      <c r="EH376" s="83"/>
      <c r="EI376" s="83"/>
      <c r="EJ376" s="83"/>
      <c r="EK376" s="83"/>
      <c r="EL376" s="83"/>
      <c r="EM376" s="83"/>
      <c r="EN376" s="83"/>
      <c r="EO376" s="83"/>
      <c r="EP376" s="83"/>
      <c r="EQ376" s="83"/>
      <c r="ER376" s="83"/>
      <c r="ES376" s="83"/>
      <c r="ET376" s="83"/>
      <c r="EU376" s="83"/>
      <c r="EV376" s="83"/>
      <c r="EW376" s="81">
        <f t="shared" si="837"/>
        <v>60000000</v>
      </c>
      <c r="EX376" s="86">
        <f t="shared" si="837"/>
        <v>364500000</v>
      </c>
      <c r="EY376" s="86">
        <f t="shared" si="838"/>
        <v>186049737</v>
      </c>
      <c r="EZ376" s="86">
        <f t="shared" si="838"/>
        <v>171256479</v>
      </c>
      <c r="FA376" s="176"/>
      <c r="FB376" s="83"/>
      <c r="FC376" s="84"/>
      <c r="FD376" s="84"/>
      <c r="FE376" s="84"/>
      <c r="FF376" s="140"/>
      <c r="FG376" s="83"/>
      <c r="FH376" s="83">
        <v>169110500</v>
      </c>
      <c r="FI376" s="83">
        <v>92729469</v>
      </c>
      <c r="FJ376" s="83">
        <v>2261933</v>
      </c>
      <c r="FK376" s="83"/>
      <c r="FL376" s="83">
        <v>60000000</v>
      </c>
      <c r="FM376" s="83">
        <v>186820000</v>
      </c>
      <c r="FN376" s="83">
        <v>184557866</v>
      </c>
      <c r="FO376" s="83">
        <v>111913666</v>
      </c>
      <c r="FP376" s="83">
        <v>6358258</v>
      </c>
      <c r="FQ376" s="83"/>
      <c r="FR376" s="83"/>
      <c r="FS376" s="83"/>
      <c r="FT376" s="83"/>
      <c r="FU376" s="83"/>
      <c r="FV376" s="83"/>
      <c r="FW376" s="83"/>
      <c r="FX376" s="83"/>
      <c r="FY376" s="83"/>
      <c r="FZ376" s="83"/>
      <c r="GA376" s="83"/>
      <c r="GB376" s="83"/>
      <c r="GC376" s="83"/>
      <c r="GD376" s="83"/>
      <c r="GE376" s="83"/>
      <c r="GF376" s="83"/>
      <c r="GG376" s="83"/>
      <c r="GH376" s="83"/>
      <c r="GI376" s="83"/>
      <c r="GJ376" s="83"/>
      <c r="GK376" s="83"/>
      <c r="GL376" s="83"/>
      <c r="GM376" s="83"/>
      <c r="GN376" s="83"/>
      <c r="GO376" s="83"/>
      <c r="GP376" s="83"/>
      <c r="GQ376" s="83"/>
      <c r="GR376" s="83"/>
      <c r="GS376" s="83"/>
      <c r="GT376" s="83"/>
      <c r="GU376" s="81">
        <f>FB376+FG376+FL376+FQ376+FV376+GA376+GF376+GK376+GP376</f>
        <v>60000000</v>
      </c>
      <c r="GV376" s="81">
        <f t="shared" ref="GV376:GY380" si="840">GQ376+GL376+GG376+GB376+FW376+FR376+FM376+FH376+FC376</f>
        <v>355930500</v>
      </c>
      <c r="GW376" s="81">
        <f t="shared" si="840"/>
        <v>277287335</v>
      </c>
      <c r="GX376" s="81">
        <f t="shared" si="840"/>
        <v>114175599</v>
      </c>
      <c r="GY376" s="673">
        <f t="shared" si="840"/>
        <v>6358258</v>
      </c>
      <c r="GZ376" s="67">
        <f t="shared" si="839"/>
        <v>258500000</v>
      </c>
    </row>
    <row r="377" spans="1:208" ht="68.25" customHeight="1" x14ac:dyDescent="0.2">
      <c r="A377" s="326"/>
      <c r="B377" s="326"/>
      <c r="C377" s="279"/>
      <c r="D377" s="722"/>
      <c r="E377" s="306"/>
      <c r="F377" s="533"/>
      <c r="G377" s="265">
        <v>251</v>
      </c>
      <c r="H377" s="261" t="s">
        <v>845</v>
      </c>
      <c r="I377" s="275" t="s">
        <v>846</v>
      </c>
      <c r="J377" s="262" t="s">
        <v>842</v>
      </c>
      <c r="K377" s="415">
        <v>16</v>
      </c>
      <c r="L377" s="288" t="s">
        <v>58</v>
      </c>
      <c r="M377" s="288">
        <v>0</v>
      </c>
      <c r="N377" s="288">
        <v>1</v>
      </c>
      <c r="O377" s="259">
        <v>1</v>
      </c>
      <c r="P377" s="394">
        <v>1</v>
      </c>
      <c r="Q377" s="456">
        <v>1</v>
      </c>
      <c r="R377" s="268"/>
      <c r="S377" s="457">
        <v>1</v>
      </c>
      <c r="T377" s="288">
        <v>1</v>
      </c>
      <c r="U377" s="288"/>
      <c r="V377" s="389">
        <v>1</v>
      </c>
      <c r="W377" s="288">
        <v>1</v>
      </c>
      <c r="X377" s="304"/>
      <c r="Y377" s="651">
        <v>0.5</v>
      </c>
      <c r="Z377" s="390">
        <f t="shared" si="830"/>
        <v>0.13716666666666666</v>
      </c>
      <c r="AA377" s="265">
        <v>16</v>
      </c>
      <c r="AB377" s="262" t="s">
        <v>376</v>
      </c>
      <c r="AC377" s="56"/>
      <c r="AD377" s="55"/>
      <c r="AE377" s="54"/>
      <c r="AF377" s="54"/>
      <c r="AG377" s="56"/>
      <c r="AH377" s="55"/>
      <c r="AI377" s="55"/>
      <c r="AJ377" s="55"/>
      <c r="AK377" s="57">
        <v>205750000</v>
      </c>
      <c r="AL377" s="54">
        <v>205750000</v>
      </c>
      <c r="AM377" s="58">
        <v>15870000</v>
      </c>
      <c r="AN377" s="58">
        <v>15870000</v>
      </c>
      <c r="AO377" s="57"/>
      <c r="AP377" s="58"/>
      <c r="AQ377" s="58"/>
      <c r="AR377" s="55"/>
      <c r="AS377" s="56"/>
      <c r="AT377" s="55"/>
      <c r="AU377" s="54"/>
      <c r="AV377" s="54"/>
      <c r="AW377" s="56"/>
      <c r="AX377" s="55"/>
      <c r="AY377" s="55"/>
      <c r="AZ377" s="55"/>
      <c r="BA377" s="56"/>
      <c r="BB377" s="55"/>
      <c r="BC377" s="55"/>
      <c r="BD377" s="55"/>
      <c r="BE377" s="56"/>
      <c r="BF377" s="55"/>
      <c r="BG377" s="54"/>
      <c r="BH377" s="54"/>
      <c r="BI377" s="56"/>
      <c r="BJ377" s="55"/>
      <c r="BK377" s="55"/>
      <c r="BL377" s="55"/>
      <c r="BM377" s="53">
        <f t="shared" si="831"/>
        <v>205750000</v>
      </c>
      <c r="BN377" s="54">
        <f t="shared" si="832"/>
        <v>205750000</v>
      </c>
      <c r="BO377" s="54">
        <f t="shared" si="832"/>
        <v>15870000</v>
      </c>
      <c r="BP377" s="54">
        <f t="shared" si="832"/>
        <v>15870000</v>
      </c>
      <c r="BQ377" s="83"/>
      <c r="BR377" s="83"/>
      <c r="BS377" s="83"/>
      <c r="BT377" s="83"/>
      <c r="BU377" s="83"/>
      <c r="BV377" s="83"/>
      <c r="BW377" s="83"/>
      <c r="BX377" s="83"/>
      <c r="BY377" s="83"/>
      <c r="BZ377" s="83">
        <v>205750000</v>
      </c>
      <c r="CA377" s="83">
        <v>205750000</v>
      </c>
      <c r="CB377" s="83">
        <v>192838987</v>
      </c>
      <c r="CC377" s="83">
        <v>190393987</v>
      </c>
      <c r="CD377" s="83"/>
      <c r="CE377" s="83"/>
      <c r="CF377" s="83"/>
      <c r="CG377" s="83"/>
      <c r="CH377" s="83"/>
      <c r="CI377" s="83"/>
      <c r="CJ377" s="83"/>
      <c r="CK377" s="83"/>
      <c r="CL377" s="83"/>
      <c r="CM377" s="83"/>
      <c r="CN377" s="83"/>
      <c r="CO377" s="83"/>
      <c r="CP377" s="83"/>
      <c r="CQ377" s="83"/>
      <c r="CR377" s="83"/>
      <c r="CS377" s="83"/>
      <c r="CT377" s="83"/>
      <c r="CU377" s="83"/>
      <c r="CV377" s="83"/>
      <c r="CW377" s="83"/>
      <c r="CX377" s="83"/>
      <c r="CY377" s="83"/>
      <c r="CZ377" s="83"/>
      <c r="DA377" s="83"/>
      <c r="DB377" s="83"/>
      <c r="DC377" s="83"/>
      <c r="DD377" s="83"/>
      <c r="DE377" s="81">
        <f t="shared" si="833"/>
        <v>205750000</v>
      </c>
      <c r="DF377" s="95">
        <f t="shared" si="834"/>
        <v>205750000</v>
      </c>
      <c r="DG377" s="95">
        <f t="shared" si="835"/>
        <v>192838987</v>
      </c>
      <c r="DH377" s="95">
        <f t="shared" si="836"/>
        <v>190393987</v>
      </c>
      <c r="DI377" s="95"/>
      <c r="DJ377" s="83"/>
      <c r="DK377" s="82"/>
      <c r="DL377" s="83"/>
      <c r="DM377" s="83"/>
      <c r="DN377" s="83"/>
      <c r="DO377" s="83"/>
      <c r="DP377" s="83"/>
      <c r="DQ377" s="83"/>
      <c r="DR377" s="83"/>
      <c r="DS377" s="83">
        <v>205000000</v>
      </c>
      <c r="DT377" s="83">
        <v>50000000</v>
      </c>
      <c r="DU377" s="83">
        <v>21837330</v>
      </c>
      <c r="DV377" s="83">
        <v>21837330</v>
      </c>
      <c r="DW377" s="83"/>
      <c r="DX377" s="83"/>
      <c r="DY377" s="83"/>
      <c r="DZ377" s="83"/>
      <c r="EA377" s="83"/>
      <c r="EB377" s="83"/>
      <c r="EC377" s="83"/>
      <c r="ED377" s="83"/>
      <c r="EE377" s="83"/>
      <c r="EF377" s="83"/>
      <c r="EG377" s="83"/>
      <c r="EH377" s="83"/>
      <c r="EI377" s="83"/>
      <c r="EJ377" s="83"/>
      <c r="EK377" s="83"/>
      <c r="EL377" s="83"/>
      <c r="EM377" s="83"/>
      <c r="EN377" s="83"/>
      <c r="EO377" s="83"/>
      <c r="EP377" s="83"/>
      <c r="EQ377" s="83"/>
      <c r="ER377" s="83"/>
      <c r="ES377" s="83"/>
      <c r="ET377" s="83"/>
      <c r="EU377" s="83"/>
      <c r="EV377" s="83"/>
      <c r="EW377" s="81">
        <f t="shared" si="837"/>
        <v>205000000</v>
      </c>
      <c r="EX377" s="86">
        <f t="shared" si="837"/>
        <v>50000000</v>
      </c>
      <c r="EY377" s="86">
        <f t="shared" si="838"/>
        <v>21837330</v>
      </c>
      <c r="EZ377" s="86">
        <f t="shared" si="838"/>
        <v>21837330</v>
      </c>
      <c r="FA377" s="176"/>
      <c r="FB377" s="83"/>
      <c r="FC377" s="84"/>
      <c r="FD377" s="84"/>
      <c r="FE377" s="84"/>
      <c r="FF377" s="140"/>
      <c r="FG377" s="83"/>
      <c r="FH377" s="83"/>
      <c r="FI377" s="83"/>
      <c r="FJ377" s="83"/>
      <c r="FK377" s="83"/>
      <c r="FL377" s="83">
        <v>205000000</v>
      </c>
      <c r="FM377" s="83">
        <v>49690000</v>
      </c>
      <c r="FN377" s="83">
        <v>29904000</v>
      </c>
      <c r="FO377" s="83">
        <v>14904000</v>
      </c>
      <c r="FP377" s="83"/>
      <c r="FQ377" s="83"/>
      <c r="FR377" s="83"/>
      <c r="FS377" s="83"/>
      <c r="FT377" s="83"/>
      <c r="FU377" s="83"/>
      <c r="FV377" s="83"/>
      <c r="FW377" s="83"/>
      <c r="FX377" s="83"/>
      <c r="FY377" s="83"/>
      <c r="FZ377" s="83"/>
      <c r="GA377" s="83"/>
      <c r="GB377" s="83"/>
      <c r="GC377" s="83"/>
      <c r="GD377" s="83"/>
      <c r="GE377" s="83"/>
      <c r="GF377" s="83"/>
      <c r="GG377" s="83"/>
      <c r="GH377" s="83"/>
      <c r="GI377" s="83"/>
      <c r="GJ377" s="83"/>
      <c r="GK377" s="83"/>
      <c r="GL377" s="83"/>
      <c r="GM377" s="83"/>
      <c r="GN377" s="83"/>
      <c r="GO377" s="83"/>
      <c r="GP377" s="83"/>
      <c r="GQ377" s="83"/>
      <c r="GR377" s="83"/>
      <c r="GS377" s="83"/>
      <c r="GT377" s="83"/>
      <c r="GU377" s="81">
        <f>FB377+FG377+FL377+FQ377+FV377+GA377+GF377+GK377+GP377</f>
        <v>205000000</v>
      </c>
      <c r="GV377" s="81">
        <f t="shared" si="840"/>
        <v>49690000</v>
      </c>
      <c r="GW377" s="81">
        <f t="shared" si="840"/>
        <v>29904000</v>
      </c>
      <c r="GX377" s="81">
        <f t="shared" si="840"/>
        <v>14904000</v>
      </c>
      <c r="GY377" s="673">
        <f t="shared" si="840"/>
        <v>0</v>
      </c>
      <c r="GZ377" s="67">
        <f t="shared" si="839"/>
        <v>821500000</v>
      </c>
    </row>
    <row r="378" spans="1:208" s="711" customFormat="1" ht="83.25" customHeight="1" x14ac:dyDescent="0.2">
      <c r="A378" s="703"/>
      <c r="B378" s="703"/>
      <c r="C378" s="822"/>
      <c r="D378" s="685"/>
      <c r="E378" s="822"/>
      <c r="F378" s="901"/>
      <c r="G378" s="682">
        <v>252</v>
      </c>
      <c r="H378" s="676" t="s">
        <v>847</v>
      </c>
      <c r="I378" s="821" t="s">
        <v>848</v>
      </c>
      <c r="J378" s="813" t="s">
        <v>842</v>
      </c>
      <c r="K378" s="621">
        <v>16</v>
      </c>
      <c r="L378" s="621" t="s">
        <v>73</v>
      </c>
      <c r="M378" s="621">
        <v>4</v>
      </c>
      <c r="N378" s="621">
        <v>3</v>
      </c>
      <c r="O378" s="621">
        <v>0</v>
      </c>
      <c r="P378" s="941"/>
      <c r="Q378" s="621">
        <v>0</v>
      </c>
      <c r="R378" s="942"/>
      <c r="S378" s="893"/>
      <c r="T378" s="714">
        <v>1</v>
      </c>
      <c r="U378" s="714">
        <v>2</v>
      </c>
      <c r="V378" s="943">
        <v>2</v>
      </c>
      <c r="W378" s="621">
        <v>2</v>
      </c>
      <c r="X378" s="892">
        <v>1</v>
      </c>
      <c r="Y378" s="651">
        <v>0.2</v>
      </c>
      <c r="Z378" s="852">
        <f t="shared" si="830"/>
        <v>0</v>
      </c>
      <c r="AA378" s="682">
        <v>16</v>
      </c>
      <c r="AB378" s="813" t="s">
        <v>376</v>
      </c>
      <c r="AC378" s="830"/>
      <c r="AD378" s="831"/>
      <c r="AE378" s="818"/>
      <c r="AF378" s="818"/>
      <c r="AG378" s="830"/>
      <c r="AH378" s="831"/>
      <c r="AI378" s="831"/>
      <c r="AJ378" s="831"/>
      <c r="AK378" s="830"/>
      <c r="AL378" s="831"/>
      <c r="AM378" s="831"/>
      <c r="AN378" s="831"/>
      <c r="AO378" s="830"/>
      <c r="AP378" s="831"/>
      <c r="AQ378" s="831"/>
      <c r="AR378" s="831"/>
      <c r="AS378" s="830"/>
      <c r="AT378" s="831"/>
      <c r="AU378" s="818"/>
      <c r="AV378" s="818"/>
      <c r="AW378" s="830"/>
      <c r="AX378" s="831"/>
      <c r="AY378" s="831"/>
      <c r="AZ378" s="831"/>
      <c r="BA378" s="830"/>
      <c r="BB378" s="831"/>
      <c r="BC378" s="831"/>
      <c r="BD378" s="831"/>
      <c r="BE378" s="830"/>
      <c r="BF378" s="831"/>
      <c r="BG378" s="818"/>
      <c r="BH378" s="818"/>
      <c r="BI378" s="830"/>
      <c r="BJ378" s="831"/>
      <c r="BK378" s="831"/>
      <c r="BL378" s="831"/>
      <c r="BM378" s="817">
        <f t="shared" si="831"/>
        <v>0</v>
      </c>
      <c r="BN378" s="818">
        <f t="shared" si="832"/>
        <v>0</v>
      </c>
      <c r="BO378" s="818">
        <f t="shared" si="832"/>
        <v>0</v>
      </c>
      <c r="BP378" s="818">
        <f t="shared" si="832"/>
        <v>0</v>
      </c>
      <c r="BQ378" s="667"/>
      <c r="BR378" s="667"/>
      <c r="BS378" s="667"/>
      <c r="BT378" s="667"/>
      <c r="BU378" s="667"/>
      <c r="BV378" s="667"/>
      <c r="BW378" s="667"/>
      <c r="BX378" s="667"/>
      <c r="BY378" s="667"/>
      <c r="BZ378" s="667"/>
      <c r="CA378" s="667"/>
      <c r="CB378" s="667"/>
      <c r="CC378" s="667"/>
      <c r="CD378" s="667"/>
      <c r="CE378" s="667"/>
      <c r="CF378" s="667"/>
      <c r="CG378" s="667"/>
      <c r="CH378" s="667"/>
      <c r="CI378" s="667"/>
      <c r="CJ378" s="667"/>
      <c r="CK378" s="667"/>
      <c r="CL378" s="667"/>
      <c r="CM378" s="667"/>
      <c r="CN378" s="667"/>
      <c r="CO378" s="667"/>
      <c r="CP378" s="667"/>
      <c r="CQ378" s="667"/>
      <c r="CR378" s="667"/>
      <c r="CS378" s="667"/>
      <c r="CT378" s="667"/>
      <c r="CU378" s="667"/>
      <c r="CV378" s="667"/>
      <c r="CW378" s="667"/>
      <c r="CX378" s="667"/>
      <c r="CY378" s="667"/>
      <c r="CZ378" s="667"/>
      <c r="DA378" s="667"/>
      <c r="DB378" s="667"/>
      <c r="DC378" s="667"/>
      <c r="DD378" s="667"/>
      <c r="DE378" s="708">
        <f t="shared" si="833"/>
        <v>0</v>
      </c>
      <c r="DF378" s="708">
        <f t="shared" si="834"/>
        <v>0</v>
      </c>
      <c r="DG378" s="708">
        <f t="shared" si="835"/>
        <v>0</v>
      </c>
      <c r="DH378" s="708">
        <f t="shared" si="836"/>
        <v>0</v>
      </c>
      <c r="DI378" s="708"/>
      <c r="DJ378" s="667"/>
      <c r="DK378" s="667"/>
      <c r="DL378" s="667"/>
      <c r="DM378" s="667"/>
      <c r="DN378" s="667"/>
      <c r="DO378" s="667"/>
      <c r="DP378" s="667"/>
      <c r="DQ378" s="667"/>
      <c r="DR378" s="667"/>
      <c r="DS378" s="667">
        <v>10000000</v>
      </c>
      <c r="DT378" s="667">
        <v>18500000</v>
      </c>
      <c r="DU378" s="667">
        <v>18500000</v>
      </c>
      <c r="DV378" s="667">
        <v>18500000</v>
      </c>
      <c r="DW378" s="667"/>
      <c r="DX378" s="667"/>
      <c r="DY378" s="667"/>
      <c r="DZ378" s="667"/>
      <c r="EA378" s="667"/>
      <c r="EB378" s="667"/>
      <c r="EC378" s="667"/>
      <c r="ED378" s="667"/>
      <c r="EE378" s="667"/>
      <c r="EF378" s="667"/>
      <c r="EG378" s="667"/>
      <c r="EH378" s="667"/>
      <c r="EI378" s="667"/>
      <c r="EJ378" s="667"/>
      <c r="EK378" s="667"/>
      <c r="EL378" s="667"/>
      <c r="EM378" s="667"/>
      <c r="EN378" s="667"/>
      <c r="EO378" s="667"/>
      <c r="EP378" s="667"/>
      <c r="EQ378" s="667"/>
      <c r="ER378" s="667"/>
      <c r="ES378" s="667"/>
      <c r="ET378" s="667"/>
      <c r="EU378" s="667"/>
      <c r="EV378" s="667"/>
      <c r="EW378" s="708">
        <f t="shared" si="837"/>
        <v>10000000</v>
      </c>
      <c r="EX378" s="819">
        <f t="shared" si="837"/>
        <v>18500000</v>
      </c>
      <c r="EY378" s="819">
        <f t="shared" si="838"/>
        <v>18500000</v>
      </c>
      <c r="EZ378" s="819">
        <f t="shared" si="838"/>
        <v>18500000</v>
      </c>
      <c r="FA378" s="820"/>
      <c r="FB378" s="667"/>
      <c r="FC378" s="706"/>
      <c r="FD378" s="706"/>
      <c r="FE378" s="706"/>
      <c r="FF378" s="707"/>
      <c r="FG378" s="667"/>
      <c r="FH378" s="667"/>
      <c r="FI378" s="667"/>
      <c r="FJ378" s="667"/>
      <c r="FK378" s="667"/>
      <c r="FL378" s="667">
        <v>10000000</v>
      </c>
      <c r="FM378" s="667">
        <v>24850000</v>
      </c>
      <c r="FN378" s="667"/>
      <c r="FO378" s="667"/>
      <c r="FP378" s="667"/>
      <c r="FQ378" s="667"/>
      <c r="FR378" s="667"/>
      <c r="FS378" s="667"/>
      <c r="FT378" s="667"/>
      <c r="FU378" s="667"/>
      <c r="FV378" s="667"/>
      <c r="FW378" s="667"/>
      <c r="FX378" s="667"/>
      <c r="FY378" s="667"/>
      <c r="FZ378" s="667"/>
      <c r="GA378" s="667"/>
      <c r="GB378" s="667"/>
      <c r="GC378" s="667"/>
      <c r="GD378" s="667"/>
      <c r="GE378" s="667"/>
      <c r="GF378" s="667"/>
      <c r="GG378" s="667"/>
      <c r="GH378" s="667"/>
      <c r="GI378" s="667"/>
      <c r="GJ378" s="667"/>
      <c r="GK378" s="667"/>
      <c r="GL378" s="667"/>
      <c r="GM378" s="667"/>
      <c r="GN378" s="667"/>
      <c r="GO378" s="667"/>
      <c r="GP378" s="667"/>
      <c r="GQ378" s="667"/>
      <c r="GR378" s="667"/>
      <c r="GS378" s="667"/>
      <c r="GT378" s="667"/>
      <c r="GU378" s="708">
        <f>FB378+FG378+FL378+FQ378+FV378+GA378+GF378+GK378+GP378</f>
        <v>10000000</v>
      </c>
      <c r="GV378" s="708">
        <f t="shared" si="840"/>
        <v>24850000</v>
      </c>
      <c r="GW378" s="708">
        <f t="shared" si="840"/>
        <v>0</v>
      </c>
      <c r="GX378" s="708">
        <f t="shared" si="840"/>
        <v>0</v>
      </c>
      <c r="GY378" s="709">
        <f t="shared" si="840"/>
        <v>0</v>
      </c>
      <c r="GZ378" s="710">
        <f t="shared" si="839"/>
        <v>20000000</v>
      </c>
    </row>
    <row r="379" spans="1:208" s="711" customFormat="1" ht="61.5" customHeight="1" x14ac:dyDescent="0.2">
      <c r="A379" s="703"/>
      <c r="B379" s="703"/>
      <c r="C379" s="822"/>
      <c r="D379" s="685"/>
      <c r="E379" s="822"/>
      <c r="F379" s="901"/>
      <c r="G379" s="682">
        <v>253</v>
      </c>
      <c r="H379" s="821" t="s">
        <v>849</v>
      </c>
      <c r="I379" s="821" t="s">
        <v>850</v>
      </c>
      <c r="J379" s="813" t="s">
        <v>842</v>
      </c>
      <c r="K379" s="892">
        <v>16</v>
      </c>
      <c r="L379" s="944" t="s">
        <v>73</v>
      </c>
      <c r="M379" s="621">
        <v>0</v>
      </c>
      <c r="N379" s="892">
        <v>1</v>
      </c>
      <c r="O379" s="945">
        <v>0.25</v>
      </c>
      <c r="P379" s="851">
        <v>0</v>
      </c>
      <c r="Q379" s="946">
        <v>0.25</v>
      </c>
      <c r="R379" s="877"/>
      <c r="S379" s="947">
        <v>0.25</v>
      </c>
      <c r="T379" s="945">
        <v>0.25</v>
      </c>
      <c r="U379" s="945"/>
      <c r="V379" s="948">
        <v>0.125</v>
      </c>
      <c r="W379" s="945">
        <v>0.25</v>
      </c>
      <c r="X379" s="949">
        <f>O379+W379</f>
        <v>0.5</v>
      </c>
      <c r="Y379" s="950">
        <v>0.25</v>
      </c>
      <c r="Z379" s="852">
        <f t="shared" si="830"/>
        <v>0.66666666666666663</v>
      </c>
      <c r="AA379" s="682">
        <v>16</v>
      </c>
      <c r="AB379" s="813" t="s">
        <v>376</v>
      </c>
      <c r="AC379" s="830"/>
      <c r="AD379" s="831"/>
      <c r="AE379" s="818"/>
      <c r="AF379" s="818"/>
      <c r="AG379" s="830"/>
      <c r="AH379" s="831"/>
      <c r="AI379" s="831"/>
      <c r="AJ379" s="831"/>
      <c r="AK379" s="830"/>
      <c r="AL379" s="831"/>
      <c r="AM379" s="831"/>
      <c r="AN379" s="831"/>
      <c r="AO379" s="830"/>
      <c r="AP379" s="831"/>
      <c r="AQ379" s="831"/>
      <c r="AR379" s="831"/>
      <c r="AS379" s="830"/>
      <c r="AT379" s="831"/>
      <c r="AU379" s="818"/>
      <c r="AV379" s="818"/>
      <c r="AW379" s="830"/>
      <c r="AX379" s="831"/>
      <c r="AY379" s="831"/>
      <c r="AZ379" s="831"/>
      <c r="BA379" s="830"/>
      <c r="BB379" s="831"/>
      <c r="BC379" s="831"/>
      <c r="BD379" s="831"/>
      <c r="BE379" s="830"/>
      <c r="BF379" s="831"/>
      <c r="BG379" s="818"/>
      <c r="BH379" s="818"/>
      <c r="BI379" s="830">
        <v>1000000000</v>
      </c>
      <c r="BJ379" s="831"/>
      <c r="BK379" s="831"/>
      <c r="BL379" s="831"/>
      <c r="BM379" s="817">
        <f t="shared" si="831"/>
        <v>1000000000</v>
      </c>
      <c r="BN379" s="818">
        <f t="shared" si="832"/>
        <v>0</v>
      </c>
      <c r="BO379" s="818">
        <f t="shared" si="832"/>
        <v>0</v>
      </c>
      <c r="BP379" s="818">
        <f t="shared" si="832"/>
        <v>0</v>
      </c>
      <c r="BQ379" s="667">
        <v>0</v>
      </c>
      <c r="BR379" s="667">
        <v>0</v>
      </c>
      <c r="BS379" s="667">
        <v>0</v>
      </c>
      <c r="BT379" s="667">
        <v>0</v>
      </c>
      <c r="BU379" s="667">
        <v>0</v>
      </c>
      <c r="BV379" s="667">
        <v>0</v>
      </c>
      <c r="BW379" s="667">
        <v>0</v>
      </c>
      <c r="BX379" s="667">
        <v>0</v>
      </c>
      <c r="BY379" s="667"/>
      <c r="BZ379" s="667">
        <v>0</v>
      </c>
      <c r="CA379" s="667"/>
      <c r="CB379" s="667"/>
      <c r="CC379" s="667"/>
      <c r="CD379" s="667"/>
      <c r="CE379" s="667">
        <v>0</v>
      </c>
      <c r="CF379" s="667">
        <v>0</v>
      </c>
      <c r="CG379" s="667">
        <v>0</v>
      </c>
      <c r="CH379" s="667">
        <v>0</v>
      </c>
      <c r="CI379" s="667">
        <v>0</v>
      </c>
      <c r="CJ379" s="667">
        <v>0</v>
      </c>
      <c r="CK379" s="667">
        <v>0</v>
      </c>
      <c r="CL379" s="667">
        <v>0</v>
      </c>
      <c r="CM379" s="667">
        <v>0</v>
      </c>
      <c r="CN379" s="667">
        <v>0</v>
      </c>
      <c r="CO379" s="667">
        <v>0</v>
      </c>
      <c r="CP379" s="667">
        <v>0</v>
      </c>
      <c r="CQ379" s="667">
        <v>0</v>
      </c>
      <c r="CR379" s="667">
        <v>0</v>
      </c>
      <c r="CS379" s="667">
        <v>0</v>
      </c>
      <c r="CT379" s="667">
        <v>0</v>
      </c>
      <c r="CU379" s="667"/>
      <c r="CV379" s="667">
        <v>0</v>
      </c>
      <c r="CW379" s="667">
        <v>0</v>
      </c>
      <c r="CX379" s="667">
        <v>0</v>
      </c>
      <c r="CY379" s="667">
        <v>0</v>
      </c>
      <c r="CZ379" s="667"/>
      <c r="DA379" s="667">
        <v>1000000000</v>
      </c>
      <c r="DB379" s="667">
        <v>0</v>
      </c>
      <c r="DC379" s="667">
        <v>0</v>
      </c>
      <c r="DD379" s="667">
        <v>0</v>
      </c>
      <c r="DE379" s="708">
        <f t="shared" si="833"/>
        <v>1000000000</v>
      </c>
      <c r="DF379" s="708">
        <f t="shared" si="834"/>
        <v>0</v>
      </c>
      <c r="DG379" s="708">
        <f t="shared" si="835"/>
        <v>0</v>
      </c>
      <c r="DH379" s="708">
        <f t="shared" si="836"/>
        <v>0</v>
      </c>
      <c r="DI379" s="708"/>
      <c r="DJ379" s="667"/>
      <c r="DK379" s="667"/>
      <c r="DL379" s="667"/>
      <c r="DM379" s="667"/>
      <c r="DN379" s="667"/>
      <c r="DO379" s="667"/>
      <c r="DP379" s="667"/>
      <c r="DQ379" s="667"/>
      <c r="DR379" s="667"/>
      <c r="DS379" s="667">
        <v>0</v>
      </c>
      <c r="DT379" s="667"/>
      <c r="DU379" s="667"/>
      <c r="DV379" s="667"/>
      <c r="DW379" s="667"/>
      <c r="DX379" s="667">
        <v>0</v>
      </c>
      <c r="DY379" s="667"/>
      <c r="DZ379" s="667"/>
      <c r="EA379" s="667"/>
      <c r="EB379" s="667">
        <v>0</v>
      </c>
      <c r="EC379" s="667"/>
      <c r="ED379" s="667"/>
      <c r="EE379" s="667"/>
      <c r="EF379" s="667">
        <v>0</v>
      </c>
      <c r="EG379" s="667"/>
      <c r="EH379" s="667"/>
      <c r="EI379" s="667"/>
      <c r="EJ379" s="667">
        <v>0</v>
      </c>
      <c r="EK379" s="667"/>
      <c r="EL379" s="667"/>
      <c r="EM379" s="667"/>
      <c r="EN379" s="667">
        <v>0</v>
      </c>
      <c r="EO379" s="667"/>
      <c r="EP379" s="667"/>
      <c r="EQ379" s="667"/>
      <c r="ER379" s="667"/>
      <c r="ES379" s="667">
        <v>1000000000</v>
      </c>
      <c r="ET379" s="667"/>
      <c r="EU379" s="667"/>
      <c r="EV379" s="667"/>
      <c r="EW379" s="708">
        <f t="shared" si="837"/>
        <v>1000000000</v>
      </c>
      <c r="EX379" s="819">
        <f t="shared" si="837"/>
        <v>0</v>
      </c>
      <c r="EY379" s="819">
        <f t="shared" si="838"/>
        <v>0</v>
      </c>
      <c r="EZ379" s="819">
        <f t="shared" si="838"/>
        <v>0</v>
      </c>
      <c r="FA379" s="820"/>
      <c r="FB379" s="667"/>
      <c r="FC379" s="706"/>
      <c r="FD379" s="706"/>
      <c r="FE379" s="706"/>
      <c r="FF379" s="707"/>
      <c r="FG379" s="667"/>
      <c r="FH379" s="667">
        <v>140000000</v>
      </c>
      <c r="FI379" s="667">
        <v>111254000</v>
      </c>
      <c r="FJ379" s="667">
        <v>47566000</v>
      </c>
      <c r="FK379" s="667"/>
      <c r="FL379" s="667">
        <v>0</v>
      </c>
      <c r="FM379" s="667">
        <v>100000000</v>
      </c>
      <c r="FN379" s="667">
        <v>66987599</v>
      </c>
      <c r="FO379" s="667">
        <v>21932000</v>
      </c>
      <c r="FP379" s="667"/>
      <c r="FQ379" s="667">
        <v>0</v>
      </c>
      <c r="FR379" s="667"/>
      <c r="FS379" s="667"/>
      <c r="FT379" s="667"/>
      <c r="FU379" s="667"/>
      <c r="FV379" s="667">
        <v>0</v>
      </c>
      <c r="FW379" s="667"/>
      <c r="FX379" s="667"/>
      <c r="FY379" s="667"/>
      <c r="FZ379" s="667"/>
      <c r="GA379" s="667">
        <v>0</v>
      </c>
      <c r="GB379" s="667"/>
      <c r="GC379" s="667"/>
      <c r="GD379" s="667"/>
      <c r="GE379" s="667"/>
      <c r="GF379" s="667">
        <v>0</v>
      </c>
      <c r="GG379" s="667"/>
      <c r="GH379" s="667"/>
      <c r="GI379" s="667"/>
      <c r="GJ379" s="667"/>
      <c r="GK379" s="667">
        <v>0</v>
      </c>
      <c r="GL379" s="667"/>
      <c r="GM379" s="667"/>
      <c r="GN379" s="667"/>
      <c r="GO379" s="667"/>
      <c r="GP379" s="667">
        <v>1000000000</v>
      </c>
      <c r="GQ379" s="667"/>
      <c r="GR379" s="667"/>
      <c r="GS379" s="667"/>
      <c r="GT379" s="667"/>
      <c r="GU379" s="708">
        <f>FB379+FG379+FL379+FQ379+FV379+GA379+GF379+GK379+GP379</f>
        <v>1000000000</v>
      </c>
      <c r="GV379" s="708">
        <f t="shared" si="840"/>
        <v>240000000</v>
      </c>
      <c r="GW379" s="708">
        <f t="shared" si="840"/>
        <v>178241599</v>
      </c>
      <c r="GX379" s="708">
        <f t="shared" si="840"/>
        <v>69498000</v>
      </c>
      <c r="GY379" s="709">
        <f t="shared" si="840"/>
        <v>0</v>
      </c>
      <c r="GZ379" s="710">
        <f t="shared" si="839"/>
        <v>4000000000</v>
      </c>
    </row>
    <row r="380" spans="1:208" ht="98.25" customHeight="1" x14ac:dyDescent="0.2">
      <c r="A380" s="326"/>
      <c r="B380" s="326"/>
      <c r="C380" s="277"/>
      <c r="D380" s="723"/>
      <c r="E380" s="284"/>
      <c r="F380" s="380"/>
      <c r="G380" s="265">
        <v>254</v>
      </c>
      <c r="H380" s="287" t="s">
        <v>851</v>
      </c>
      <c r="I380" s="275" t="s">
        <v>852</v>
      </c>
      <c r="J380" s="262" t="s">
        <v>842</v>
      </c>
      <c r="K380" s="415">
        <v>16</v>
      </c>
      <c r="L380" s="259" t="s">
        <v>58</v>
      </c>
      <c r="M380" s="259">
        <v>0</v>
      </c>
      <c r="N380" s="415">
        <v>1</v>
      </c>
      <c r="O380" s="259">
        <v>1</v>
      </c>
      <c r="P380" s="523">
        <v>0.5</v>
      </c>
      <c r="Q380" s="288">
        <v>1</v>
      </c>
      <c r="R380" s="268"/>
      <c r="S380" s="389">
        <v>1</v>
      </c>
      <c r="T380" s="288">
        <v>1</v>
      </c>
      <c r="U380" s="288"/>
      <c r="V380" s="387">
        <v>0.1</v>
      </c>
      <c r="W380" s="288">
        <v>1</v>
      </c>
      <c r="X380" s="304"/>
      <c r="Y380" s="651">
        <v>0.5</v>
      </c>
      <c r="Z380" s="390">
        <f t="shared" si="830"/>
        <v>1.6666666666666666E-2</v>
      </c>
      <c r="AA380" s="265">
        <v>16</v>
      </c>
      <c r="AB380" s="262" t="s">
        <v>376</v>
      </c>
      <c r="AC380" s="56"/>
      <c r="AD380" s="55"/>
      <c r="AE380" s="54"/>
      <c r="AF380" s="54"/>
      <c r="AG380" s="56"/>
      <c r="AH380" s="55"/>
      <c r="AI380" s="55"/>
      <c r="AJ380" s="55"/>
      <c r="AK380" s="57">
        <v>25000000</v>
      </c>
      <c r="AL380" s="55">
        <v>25000000</v>
      </c>
      <c r="AM380" s="58">
        <v>16700000</v>
      </c>
      <c r="AN380" s="58">
        <v>16700000</v>
      </c>
      <c r="AO380" s="57"/>
      <c r="AP380" s="58"/>
      <c r="AQ380" s="58"/>
      <c r="AR380" s="55"/>
      <c r="AS380" s="56"/>
      <c r="AT380" s="55"/>
      <c r="AU380" s="54"/>
      <c r="AV380" s="54"/>
      <c r="AW380" s="56"/>
      <c r="AX380" s="55"/>
      <c r="AY380" s="55"/>
      <c r="AZ380" s="55"/>
      <c r="BA380" s="56"/>
      <c r="BB380" s="55"/>
      <c r="BC380" s="55"/>
      <c r="BD380" s="55"/>
      <c r="BE380" s="56"/>
      <c r="BF380" s="55"/>
      <c r="BG380" s="54"/>
      <c r="BH380" s="54"/>
      <c r="BI380" s="56"/>
      <c r="BJ380" s="55"/>
      <c r="BK380" s="55"/>
      <c r="BL380" s="55"/>
      <c r="BM380" s="53">
        <f t="shared" si="831"/>
        <v>25000000</v>
      </c>
      <c r="BN380" s="54">
        <f t="shared" si="832"/>
        <v>25000000</v>
      </c>
      <c r="BO380" s="54">
        <f t="shared" si="832"/>
        <v>16700000</v>
      </c>
      <c r="BP380" s="54">
        <f t="shared" si="832"/>
        <v>16700000</v>
      </c>
      <c r="BQ380" s="83"/>
      <c r="BR380" s="83"/>
      <c r="BS380" s="83"/>
      <c r="BT380" s="83"/>
      <c r="BU380" s="83"/>
      <c r="BV380" s="83"/>
      <c r="BW380" s="83"/>
      <c r="BX380" s="83"/>
      <c r="BY380" s="83"/>
      <c r="BZ380" s="83">
        <v>25000000</v>
      </c>
      <c r="CA380" s="83">
        <v>25000000</v>
      </c>
      <c r="CB380" s="83">
        <v>24760850</v>
      </c>
      <c r="CC380" s="83">
        <v>23500000</v>
      </c>
      <c r="CD380" s="83"/>
      <c r="CE380" s="83"/>
      <c r="CF380" s="83"/>
      <c r="CG380" s="83"/>
      <c r="CH380" s="83"/>
      <c r="CI380" s="83"/>
      <c r="CJ380" s="83"/>
      <c r="CK380" s="83"/>
      <c r="CL380" s="83"/>
      <c r="CM380" s="83"/>
      <c r="CN380" s="83"/>
      <c r="CO380" s="83"/>
      <c r="CP380" s="83"/>
      <c r="CQ380" s="83"/>
      <c r="CR380" s="83"/>
      <c r="CS380" s="83"/>
      <c r="CT380" s="83"/>
      <c r="CU380" s="83"/>
      <c r="CV380" s="83"/>
      <c r="CW380" s="83"/>
      <c r="CX380" s="83"/>
      <c r="CY380" s="83"/>
      <c r="CZ380" s="83"/>
      <c r="DA380" s="83"/>
      <c r="DB380" s="83"/>
      <c r="DC380" s="83"/>
      <c r="DD380" s="83"/>
      <c r="DE380" s="81">
        <f t="shared" si="833"/>
        <v>25000000</v>
      </c>
      <c r="DF380" s="95">
        <f t="shared" si="834"/>
        <v>25000000</v>
      </c>
      <c r="DG380" s="95">
        <f t="shared" si="835"/>
        <v>24760850</v>
      </c>
      <c r="DH380" s="95">
        <f t="shared" si="836"/>
        <v>23500000</v>
      </c>
      <c r="DI380" s="95"/>
      <c r="DJ380" s="83"/>
      <c r="DK380" s="82"/>
      <c r="DL380" s="83"/>
      <c r="DM380" s="83"/>
      <c r="DN380" s="83"/>
      <c r="DO380" s="83"/>
      <c r="DP380" s="83"/>
      <c r="DQ380" s="83"/>
      <c r="DR380" s="83"/>
      <c r="DS380" s="83">
        <v>25000000</v>
      </c>
      <c r="DT380" s="83">
        <v>30000000</v>
      </c>
      <c r="DU380" s="83">
        <v>30000000</v>
      </c>
      <c r="DV380" s="83">
        <v>30000000</v>
      </c>
      <c r="DW380" s="83"/>
      <c r="DX380" s="83"/>
      <c r="DY380" s="83"/>
      <c r="DZ380" s="83"/>
      <c r="EA380" s="83"/>
      <c r="EB380" s="83"/>
      <c r="EC380" s="83"/>
      <c r="ED380" s="83"/>
      <c r="EE380" s="83"/>
      <c r="EF380" s="83"/>
      <c r="EG380" s="83"/>
      <c r="EH380" s="83"/>
      <c r="EI380" s="83"/>
      <c r="EJ380" s="83"/>
      <c r="EK380" s="83"/>
      <c r="EL380" s="83"/>
      <c r="EM380" s="83"/>
      <c r="EN380" s="83"/>
      <c r="EO380" s="83"/>
      <c r="EP380" s="83"/>
      <c r="EQ380" s="83"/>
      <c r="ER380" s="83"/>
      <c r="ES380" s="83"/>
      <c r="ET380" s="83"/>
      <c r="EU380" s="83"/>
      <c r="EV380" s="83"/>
      <c r="EW380" s="81">
        <f t="shared" si="837"/>
        <v>25000000</v>
      </c>
      <c r="EX380" s="86">
        <f t="shared" si="837"/>
        <v>30000000</v>
      </c>
      <c r="EY380" s="86">
        <f t="shared" si="838"/>
        <v>30000000</v>
      </c>
      <c r="EZ380" s="86">
        <f t="shared" si="838"/>
        <v>30000000</v>
      </c>
      <c r="FA380" s="176"/>
      <c r="FB380" s="83"/>
      <c r="FC380" s="84"/>
      <c r="FD380" s="84"/>
      <c r="FE380" s="84"/>
      <c r="FF380" s="140"/>
      <c r="FG380" s="83"/>
      <c r="FH380" s="83"/>
      <c r="FI380" s="83"/>
      <c r="FJ380" s="83"/>
      <c r="FK380" s="83"/>
      <c r="FL380" s="83">
        <v>25000000</v>
      </c>
      <c r="FM380" s="83">
        <v>29801133</v>
      </c>
      <c r="FN380" s="83">
        <v>24586000</v>
      </c>
      <c r="FO380" s="83">
        <v>5596000</v>
      </c>
      <c r="FP380" s="83"/>
      <c r="FQ380" s="83"/>
      <c r="FR380" s="83"/>
      <c r="FS380" s="83"/>
      <c r="FT380" s="83"/>
      <c r="FU380" s="83"/>
      <c r="FV380" s="83"/>
      <c r="FW380" s="83"/>
      <c r="FX380" s="83"/>
      <c r="FY380" s="83"/>
      <c r="FZ380" s="83"/>
      <c r="GA380" s="83"/>
      <c r="GB380" s="83"/>
      <c r="GC380" s="83"/>
      <c r="GD380" s="83"/>
      <c r="GE380" s="83"/>
      <c r="GF380" s="83"/>
      <c r="GG380" s="83"/>
      <c r="GH380" s="83"/>
      <c r="GI380" s="83"/>
      <c r="GJ380" s="83"/>
      <c r="GK380" s="83"/>
      <c r="GL380" s="83"/>
      <c r="GM380" s="83"/>
      <c r="GN380" s="83"/>
      <c r="GO380" s="83"/>
      <c r="GP380" s="83"/>
      <c r="GQ380" s="83"/>
      <c r="GR380" s="83"/>
      <c r="GS380" s="83"/>
      <c r="GT380" s="83"/>
      <c r="GU380" s="81">
        <f>FB380+FG380+FL380+FQ380+FV380+GA380+GF380+GK380+GP380</f>
        <v>25000000</v>
      </c>
      <c r="GV380" s="81">
        <f t="shared" si="840"/>
        <v>29801133</v>
      </c>
      <c r="GW380" s="81">
        <f t="shared" si="840"/>
        <v>24586000</v>
      </c>
      <c r="GX380" s="81">
        <f t="shared" si="840"/>
        <v>5596000</v>
      </c>
      <c r="GY380" s="673">
        <f t="shared" si="840"/>
        <v>0</v>
      </c>
      <c r="GZ380" s="67">
        <f t="shared" si="839"/>
        <v>100000000</v>
      </c>
    </row>
    <row r="381" spans="1:208" ht="24.75" customHeight="1" x14ac:dyDescent="0.2">
      <c r="A381" s="326"/>
      <c r="B381" s="326"/>
      <c r="C381" s="246">
        <v>86</v>
      </c>
      <c r="D381" s="247" t="s">
        <v>853</v>
      </c>
      <c r="E381" s="250"/>
      <c r="F381" s="250"/>
      <c r="G381" s="249"/>
      <c r="H381" s="249"/>
      <c r="I381" s="249"/>
      <c r="J381" s="249"/>
      <c r="K381" s="249"/>
      <c r="L381" s="249"/>
      <c r="M381" s="249"/>
      <c r="N381" s="249"/>
      <c r="O381" s="249"/>
      <c r="P381" s="249"/>
      <c r="Q381" s="249"/>
      <c r="R381" s="249"/>
      <c r="S381" s="249"/>
      <c r="T381" s="249"/>
      <c r="U381" s="249"/>
      <c r="V381" s="249"/>
      <c r="W381" s="249"/>
      <c r="X381" s="249"/>
      <c r="Y381" s="296"/>
      <c r="Z381" s="249"/>
      <c r="AA381" s="249"/>
      <c r="AB381" s="249"/>
      <c r="AC381" s="51">
        <f t="shared" ref="AC381:BL381" si="841">SUM(AC382)</f>
        <v>0</v>
      </c>
      <c r="AD381" s="51">
        <f t="shared" si="841"/>
        <v>0</v>
      </c>
      <c r="AE381" s="51">
        <f t="shared" si="841"/>
        <v>0</v>
      </c>
      <c r="AF381" s="51">
        <f t="shared" si="841"/>
        <v>0</v>
      </c>
      <c r="AG381" s="51">
        <f t="shared" si="841"/>
        <v>0</v>
      </c>
      <c r="AH381" s="51">
        <f t="shared" si="841"/>
        <v>0</v>
      </c>
      <c r="AI381" s="51">
        <f t="shared" si="841"/>
        <v>0</v>
      </c>
      <c r="AJ381" s="51">
        <f t="shared" si="841"/>
        <v>0</v>
      </c>
      <c r="AK381" s="51">
        <f t="shared" si="841"/>
        <v>80000000</v>
      </c>
      <c r="AL381" s="51">
        <f t="shared" si="841"/>
        <v>80000000</v>
      </c>
      <c r="AM381" s="51">
        <f t="shared" si="841"/>
        <v>56411500</v>
      </c>
      <c r="AN381" s="51">
        <f t="shared" si="841"/>
        <v>56411500</v>
      </c>
      <c r="AO381" s="51">
        <f t="shared" si="841"/>
        <v>0</v>
      </c>
      <c r="AP381" s="51">
        <f t="shared" si="841"/>
        <v>0</v>
      </c>
      <c r="AQ381" s="51">
        <f t="shared" si="841"/>
        <v>0</v>
      </c>
      <c r="AR381" s="51">
        <f t="shared" si="841"/>
        <v>0</v>
      </c>
      <c r="AS381" s="51">
        <f t="shared" si="841"/>
        <v>0</v>
      </c>
      <c r="AT381" s="51">
        <f t="shared" si="841"/>
        <v>0</v>
      </c>
      <c r="AU381" s="51">
        <f t="shared" si="841"/>
        <v>0</v>
      </c>
      <c r="AV381" s="51">
        <f t="shared" si="841"/>
        <v>0</v>
      </c>
      <c r="AW381" s="51">
        <f t="shared" si="841"/>
        <v>0</v>
      </c>
      <c r="AX381" s="51">
        <f t="shared" si="841"/>
        <v>0</v>
      </c>
      <c r="AY381" s="51">
        <f t="shared" si="841"/>
        <v>0</v>
      </c>
      <c r="AZ381" s="51">
        <f t="shared" si="841"/>
        <v>0</v>
      </c>
      <c r="BA381" s="51">
        <f t="shared" si="841"/>
        <v>0</v>
      </c>
      <c r="BB381" s="51">
        <f t="shared" si="841"/>
        <v>0</v>
      </c>
      <c r="BC381" s="51">
        <f t="shared" si="841"/>
        <v>0</v>
      </c>
      <c r="BD381" s="51">
        <f t="shared" si="841"/>
        <v>0</v>
      </c>
      <c r="BE381" s="51">
        <f t="shared" si="841"/>
        <v>0</v>
      </c>
      <c r="BF381" s="51">
        <f t="shared" si="841"/>
        <v>0</v>
      </c>
      <c r="BG381" s="51">
        <f t="shared" si="841"/>
        <v>0</v>
      </c>
      <c r="BH381" s="51">
        <f t="shared" si="841"/>
        <v>0</v>
      </c>
      <c r="BI381" s="51">
        <f t="shared" si="841"/>
        <v>0</v>
      </c>
      <c r="BJ381" s="51">
        <f t="shared" si="841"/>
        <v>0</v>
      </c>
      <c r="BK381" s="51">
        <f t="shared" si="841"/>
        <v>0</v>
      </c>
      <c r="BL381" s="51">
        <f t="shared" si="841"/>
        <v>0</v>
      </c>
      <c r="BM381" s="51">
        <f t="shared" ref="BM381:DX381" si="842">SUM(BM382)</f>
        <v>80000000</v>
      </c>
      <c r="BN381" s="51">
        <f t="shared" si="842"/>
        <v>80000000</v>
      </c>
      <c r="BO381" s="51">
        <f t="shared" si="842"/>
        <v>56411500</v>
      </c>
      <c r="BP381" s="51">
        <f t="shared" si="842"/>
        <v>56411500</v>
      </c>
      <c r="BQ381" s="51">
        <f t="shared" si="842"/>
        <v>0</v>
      </c>
      <c r="BR381" s="51">
        <f t="shared" si="842"/>
        <v>0</v>
      </c>
      <c r="BS381" s="51">
        <f t="shared" si="842"/>
        <v>0</v>
      </c>
      <c r="BT381" s="51">
        <f t="shared" si="842"/>
        <v>0</v>
      </c>
      <c r="BU381" s="51">
        <f t="shared" si="842"/>
        <v>0</v>
      </c>
      <c r="BV381" s="51">
        <f t="shared" si="842"/>
        <v>20500000</v>
      </c>
      <c r="BW381" s="51">
        <f t="shared" si="842"/>
        <v>20500000</v>
      </c>
      <c r="BX381" s="51">
        <f t="shared" si="842"/>
        <v>20500000</v>
      </c>
      <c r="BY381" s="51">
        <f t="shared" si="842"/>
        <v>0</v>
      </c>
      <c r="BZ381" s="51">
        <f t="shared" si="842"/>
        <v>80000000</v>
      </c>
      <c r="CA381" s="51">
        <f t="shared" si="842"/>
        <v>80000000</v>
      </c>
      <c r="CB381" s="51">
        <f t="shared" si="842"/>
        <v>74955000</v>
      </c>
      <c r="CC381" s="51">
        <f t="shared" si="842"/>
        <v>74955000</v>
      </c>
      <c r="CD381" s="51">
        <f t="shared" si="842"/>
        <v>0</v>
      </c>
      <c r="CE381" s="51">
        <f t="shared" si="842"/>
        <v>0</v>
      </c>
      <c r="CF381" s="51">
        <f t="shared" si="842"/>
        <v>0</v>
      </c>
      <c r="CG381" s="51">
        <f t="shared" si="842"/>
        <v>0</v>
      </c>
      <c r="CH381" s="51">
        <f t="shared" si="842"/>
        <v>0</v>
      </c>
      <c r="CI381" s="51">
        <f t="shared" si="842"/>
        <v>0</v>
      </c>
      <c r="CJ381" s="51">
        <f t="shared" si="842"/>
        <v>0</v>
      </c>
      <c r="CK381" s="51">
        <f t="shared" si="842"/>
        <v>0</v>
      </c>
      <c r="CL381" s="51">
        <f t="shared" si="842"/>
        <v>0</v>
      </c>
      <c r="CM381" s="51">
        <f t="shared" si="842"/>
        <v>0</v>
      </c>
      <c r="CN381" s="51">
        <f t="shared" si="842"/>
        <v>0</v>
      </c>
      <c r="CO381" s="51">
        <f t="shared" si="842"/>
        <v>0</v>
      </c>
      <c r="CP381" s="51">
        <f t="shared" si="842"/>
        <v>0</v>
      </c>
      <c r="CQ381" s="51">
        <f t="shared" si="842"/>
        <v>0</v>
      </c>
      <c r="CR381" s="51">
        <f t="shared" si="842"/>
        <v>0</v>
      </c>
      <c r="CS381" s="51">
        <f t="shared" si="842"/>
        <v>0</v>
      </c>
      <c r="CT381" s="51">
        <f t="shared" si="842"/>
        <v>0</v>
      </c>
      <c r="CU381" s="51">
        <f t="shared" si="842"/>
        <v>0</v>
      </c>
      <c r="CV381" s="51">
        <f t="shared" si="842"/>
        <v>0</v>
      </c>
      <c r="CW381" s="51">
        <f t="shared" si="842"/>
        <v>0</v>
      </c>
      <c r="CX381" s="51">
        <f t="shared" si="842"/>
        <v>0</v>
      </c>
      <c r="CY381" s="51">
        <f t="shared" si="842"/>
        <v>0</v>
      </c>
      <c r="CZ381" s="51">
        <f t="shared" si="842"/>
        <v>0</v>
      </c>
      <c r="DA381" s="51">
        <f t="shared" si="842"/>
        <v>0</v>
      </c>
      <c r="DB381" s="51">
        <f t="shared" si="842"/>
        <v>0</v>
      </c>
      <c r="DC381" s="51">
        <f t="shared" si="842"/>
        <v>0</v>
      </c>
      <c r="DD381" s="51">
        <f t="shared" si="842"/>
        <v>0</v>
      </c>
      <c r="DE381" s="51">
        <f t="shared" si="842"/>
        <v>80000000</v>
      </c>
      <c r="DF381" s="51">
        <f t="shared" si="842"/>
        <v>100500000</v>
      </c>
      <c r="DG381" s="51">
        <f t="shared" si="842"/>
        <v>95455000</v>
      </c>
      <c r="DH381" s="51">
        <f t="shared" si="842"/>
        <v>95455000</v>
      </c>
      <c r="DI381" s="51">
        <f t="shared" si="842"/>
        <v>0</v>
      </c>
      <c r="DJ381" s="51">
        <f t="shared" si="842"/>
        <v>0</v>
      </c>
      <c r="DK381" s="51">
        <f t="shared" si="842"/>
        <v>0</v>
      </c>
      <c r="DL381" s="51">
        <f t="shared" si="842"/>
        <v>0</v>
      </c>
      <c r="DM381" s="51">
        <f t="shared" si="842"/>
        <v>0</v>
      </c>
      <c r="DN381" s="51">
        <f t="shared" si="842"/>
        <v>0</v>
      </c>
      <c r="DO381" s="51">
        <f t="shared" si="842"/>
        <v>70000000</v>
      </c>
      <c r="DP381" s="51">
        <f t="shared" si="842"/>
        <v>59784215</v>
      </c>
      <c r="DQ381" s="51">
        <f t="shared" si="842"/>
        <v>56021344</v>
      </c>
      <c r="DR381" s="51">
        <f t="shared" si="842"/>
        <v>0</v>
      </c>
      <c r="DS381" s="51">
        <f t="shared" si="842"/>
        <v>80000000</v>
      </c>
      <c r="DT381" s="51">
        <f t="shared" si="842"/>
        <v>100000000</v>
      </c>
      <c r="DU381" s="51">
        <f t="shared" si="842"/>
        <v>92750144</v>
      </c>
      <c r="DV381" s="51">
        <f t="shared" si="842"/>
        <v>92750144</v>
      </c>
      <c r="DW381" s="51">
        <f t="shared" si="842"/>
        <v>0</v>
      </c>
      <c r="DX381" s="51">
        <f t="shared" si="842"/>
        <v>0</v>
      </c>
      <c r="DY381" s="51">
        <f t="shared" ref="DY381:EW381" si="843">SUM(DY382)</f>
        <v>0</v>
      </c>
      <c r="DZ381" s="51">
        <f t="shared" si="843"/>
        <v>0</v>
      </c>
      <c r="EA381" s="51">
        <f t="shared" si="843"/>
        <v>0</v>
      </c>
      <c r="EB381" s="51">
        <f t="shared" si="843"/>
        <v>0</v>
      </c>
      <c r="EC381" s="51">
        <f t="shared" si="843"/>
        <v>0</v>
      </c>
      <c r="ED381" s="51">
        <f t="shared" si="843"/>
        <v>0</v>
      </c>
      <c r="EE381" s="51">
        <f t="shared" si="843"/>
        <v>0</v>
      </c>
      <c r="EF381" s="51">
        <f t="shared" si="843"/>
        <v>0</v>
      </c>
      <c r="EG381" s="51">
        <f t="shared" si="843"/>
        <v>0</v>
      </c>
      <c r="EH381" s="51">
        <f t="shared" si="843"/>
        <v>0</v>
      </c>
      <c r="EI381" s="51">
        <f t="shared" si="843"/>
        <v>0</v>
      </c>
      <c r="EJ381" s="51">
        <f t="shared" si="843"/>
        <v>0</v>
      </c>
      <c r="EK381" s="51">
        <f t="shared" si="843"/>
        <v>0</v>
      </c>
      <c r="EL381" s="51">
        <f t="shared" si="843"/>
        <v>0</v>
      </c>
      <c r="EM381" s="51">
        <f t="shared" si="843"/>
        <v>0</v>
      </c>
      <c r="EN381" s="51">
        <f t="shared" si="843"/>
        <v>0</v>
      </c>
      <c r="EO381" s="51">
        <f t="shared" si="843"/>
        <v>0</v>
      </c>
      <c r="EP381" s="51">
        <f t="shared" si="843"/>
        <v>0</v>
      </c>
      <c r="EQ381" s="51">
        <f t="shared" si="843"/>
        <v>0</v>
      </c>
      <c r="ER381" s="51">
        <f t="shared" si="843"/>
        <v>0</v>
      </c>
      <c r="ES381" s="51">
        <f t="shared" si="843"/>
        <v>0</v>
      </c>
      <c r="ET381" s="51">
        <f t="shared" si="843"/>
        <v>0</v>
      </c>
      <c r="EU381" s="51">
        <f t="shared" si="843"/>
        <v>0</v>
      </c>
      <c r="EV381" s="51">
        <f t="shared" si="843"/>
        <v>0</v>
      </c>
      <c r="EW381" s="51">
        <f t="shared" si="843"/>
        <v>80000000</v>
      </c>
      <c r="EX381" s="51">
        <f t="shared" ref="EX381:GZ381" si="844">SUM(EX382)</f>
        <v>170000000</v>
      </c>
      <c r="EY381" s="51">
        <f t="shared" si="844"/>
        <v>152534359</v>
      </c>
      <c r="EZ381" s="51">
        <f t="shared" si="844"/>
        <v>148771488</v>
      </c>
      <c r="FA381" s="51">
        <f t="shared" si="844"/>
        <v>0</v>
      </c>
      <c r="FB381" s="51">
        <f t="shared" si="844"/>
        <v>0</v>
      </c>
      <c r="FC381" s="51">
        <f t="shared" si="844"/>
        <v>0</v>
      </c>
      <c r="FD381" s="51">
        <f t="shared" si="844"/>
        <v>0</v>
      </c>
      <c r="FE381" s="51">
        <f t="shared" si="844"/>
        <v>0</v>
      </c>
      <c r="FF381" s="51">
        <f t="shared" si="844"/>
        <v>0</v>
      </c>
      <c r="FG381" s="51">
        <f t="shared" si="844"/>
        <v>0</v>
      </c>
      <c r="FH381" s="51">
        <f t="shared" si="844"/>
        <v>0</v>
      </c>
      <c r="FI381" s="51">
        <f t="shared" si="844"/>
        <v>0</v>
      </c>
      <c r="FJ381" s="51">
        <f t="shared" si="844"/>
        <v>0</v>
      </c>
      <c r="FK381" s="51">
        <f t="shared" si="844"/>
        <v>3762871</v>
      </c>
      <c r="FL381" s="51">
        <f t="shared" si="844"/>
        <v>80000000</v>
      </c>
      <c r="FM381" s="51">
        <f t="shared" si="844"/>
        <v>99372400</v>
      </c>
      <c r="FN381" s="51">
        <f t="shared" si="844"/>
        <v>84182332</v>
      </c>
      <c r="FO381" s="51">
        <f t="shared" si="844"/>
        <v>67161666</v>
      </c>
      <c r="FP381" s="51">
        <f t="shared" si="844"/>
        <v>0</v>
      </c>
      <c r="FQ381" s="51">
        <f t="shared" si="844"/>
        <v>0</v>
      </c>
      <c r="FR381" s="51">
        <f t="shared" si="844"/>
        <v>0</v>
      </c>
      <c r="FS381" s="51">
        <f t="shared" si="844"/>
        <v>0</v>
      </c>
      <c r="FT381" s="51">
        <f t="shared" si="844"/>
        <v>0</v>
      </c>
      <c r="FU381" s="51">
        <f t="shared" si="844"/>
        <v>0</v>
      </c>
      <c r="FV381" s="51">
        <f t="shared" si="844"/>
        <v>0</v>
      </c>
      <c r="FW381" s="51">
        <f t="shared" si="844"/>
        <v>0</v>
      </c>
      <c r="FX381" s="51">
        <f t="shared" si="844"/>
        <v>0</v>
      </c>
      <c r="FY381" s="51">
        <f t="shared" si="844"/>
        <v>0</v>
      </c>
      <c r="FZ381" s="51">
        <f t="shared" si="844"/>
        <v>0</v>
      </c>
      <c r="GA381" s="51">
        <f t="shared" si="844"/>
        <v>0</v>
      </c>
      <c r="GB381" s="51">
        <f t="shared" si="844"/>
        <v>0</v>
      </c>
      <c r="GC381" s="51">
        <f t="shared" si="844"/>
        <v>0</v>
      </c>
      <c r="GD381" s="51">
        <f t="shared" si="844"/>
        <v>0</v>
      </c>
      <c r="GE381" s="51">
        <f t="shared" si="844"/>
        <v>0</v>
      </c>
      <c r="GF381" s="51">
        <f t="shared" si="844"/>
        <v>0</v>
      </c>
      <c r="GG381" s="51">
        <f t="shared" si="844"/>
        <v>0</v>
      </c>
      <c r="GH381" s="51">
        <f t="shared" si="844"/>
        <v>0</v>
      </c>
      <c r="GI381" s="51">
        <f t="shared" si="844"/>
        <v>0</v>
      </c>
      <c r="GJ381" s="51">
        <f t="shared" si="844"/>
        <v>0</v>
      </c>
      <c r="GK381" s="51">
        <f t="shared" si="844"/>
        <v>0</v>
      </c>
      <c r="GL381" s="51">
        <f t="shared" si="844"/>
        <v>0</v>
      </c>
      <c r="GM381" s="51">
        <f t="shared" si="844"/>
        <v>0</v>
      </c>
      <c r="GN381" s="51">
        <f t="shared" si="844"/>
        <v>0</v>
      </c>
      <c r="GO381" s="51">
        <f t="shared" si="844"/>
        <v>0</v>
      </c>
      <c r="GP381" s="51">
        <f t="shared" si="844"/>
        <v>0</v>
      </c>
      <c r="GQ381" s="51">
        <f t="shared" si="844"/>
        <v>0</v>
      </c>
      <c r="GR381" s="51">
        <f t="shared" si="844"/>
        <v>0</v>
      </c>
      <c r="GS381" s="51">
        <f t="shared" si="844"/>
        <v>0</v>
      </c>
      <c r="GT381" s="51">
        <f t="shared" si="844"/>
        <v>0</v>
      </c>
      <c r="GU381" s="51">
        <f t="shared" si="844"/>
        <v>80000000</v>
      </c>
      <c r="GV381" s="51">
        <f t="shared" si="844"/>
        <v>99372400</v>
      </c>
      <c r="GW381" s="51">
        <f t="shared" si="844"/>
        <v>84182332</v>
      </c>
      <c r="GX381" s="51">
        <f t="shared" si="844"/>
        <v>67161666</v>
      </c>
      <c r="GY381" s="51">
        <f t="shared" si="844"/>
        <v>3762871</v>
      </c>
      <c r="GZ381" s="51">
        <f t="shared" si="844"/>
        <v>320000000</v>
      </c>
    </row>
    <row r="382" spans="1:208" ht="161.25" customHeight="1" x14ac:dyDescent="0.2">
      <c r="A382" s="326"/>
      <c r="B382" s="372"/>
      <c r="C382" s="288">
        <v>37</v>
      </c>
      <c r="D382" s="258" t="s">
        <v>831</v>
      </c>
      <c r="E382" s="619" t="s">
        <v>537</v>
      </c>
      <c r="F382" s="439">
        <v>0.6</v>
      </c>
      <c r="G382" s="265">
        <v>255</v>
      </c>
      <c r="H382" s="261" t="s">
        <v>854</v>
      </c>
      <c r="I382" s="275" t="s">
        <v>855</v>
      </c>
      <c r="J382" s="265" t="s">
        <v>834</v>
      </c>
      <c r="K382" s="259">
        <v>16</v>
      </c>
      <c r="L382" s="288" t="s">
        <v>58</v>
      </c>
      <c r="M382" s="288">
        <v>12</v>
      </c>
      <c r="N382" s="288">
        <v>12</v>
      </c>
      <c r="O382" s="259">
        <v>12</v>
      </c>
      <c r="P382" s="394">
        <v>12</v>
      </c>
      <c r="Q382" s="288">
        <v>12</v>
      </c>
      <c r="R382" s="268"/>
      <c r="S382" s="389">
        <v>12</v>
      </c>
      <c r="T382" s="288">
        <v>12</v>
      </c>
      <c r="U382" s="288"/>
      <c r="V382" s="389">
        <v>12</v>
      </c>
      <c r="W382" s="288">
        <v>12</v>
      </c>
      <c r="X382" s="304"/>
      <c r="Y382" s="562">
        <v>8</v>
      </c>
      <c r="Z382" s="390">
        <f>BM382/BM381</f>
        <v>1</v>
      </c>
      <c r="AA382" s="264">
        <v>16</v>
      </c>
      <c r="AB382" s="263" t="s">
        <v>376</v>
      </c>
      <c r="AC382" s="56"/>
      <c r="AD382" s="55"/>
      <c r="AE382" s="54"/>
      <c r="AF382" s="54"/>
      <c r="AG382" s="56"/>
      <c r="AH382" s="55"/>
      <c r="AI382" s="55"/>
      <c r="AJ382" s="55"/>
      <c r="AK382" s="57">
        <f>76685000+3315000</f>
        <v>80000000</v>
      </c>
      <c r="AL382" s="58">
        <v>80000000</v>
      </c>
      <c r="AM382" s="58">
        <v>56411500</v>
      </c>
      <c r="AN382" s="58">
        <v>56411500</v>
      </c>
      <c r="AO382" s="57"/>
      <c r="AP382" s="58"/>
      <c r="AQ382" s="58"/>
      <c r="AR382" s="55"/>
      <c r="AS382" s="56"/>
      <c r="AT382" s="55"/>
      <c r="AU382" s="54"/>
      <c r="AV382" s="54"/>
      <c r="AW382" s="56"/>
      <c r="AX382" s="55"/>
      <c r="AY382" s="55"/>
      <c r="AZ382" s="55"/>
      <c r="BA382" s="56"/>
      <c r="BB382" s="55"/>
      <c r="BC382" s="55"/>
      <c r="BD382" s="55"/>
      <c r="BE382" s="56"/>
      <c r="BF382" s="55"/>
      <c r="BG382" s="54"/>
      <c r="BH382" s="54"/>
      <c r="BI382" s="56"/>
      <c r="BJ382" s="55"/>
      <c r="BK382" s="55"/>
      <c r="BL382" s="55"/>
      <c r="BM382" s="53">
        <f>+AC382+AG382+AK382+AO382+AS382+AW382+BA382+BE382+BI382</f>
        <v>80000000</v>
      </c>
      <c r="BN382" s="54">
        <f>AD382+AH382+AL382+AP382+AT382+AX382+BB382+BF382+BJ382</f>
        <v>80000000</v>
      </c>
      <c r="BO382" s="54">
        <f>AE382+AI382+AM382+AQ382+AU382+AY382+BC382+BG382+BK382</f>
        <v>56411500</v>
      </c>
      <c r="BP382" s="54">
        <f>AF382+AJ382+AN382+AR382+AV382+AZ382+BD382+BH382+BL382</f>
        <v>56411500</v>
      </c>
      <c r="BQ382" s="83"/>
      <c r="BR382" s="83"/>
      <c r="BS382" s="83"/>
      <c r="BT382" s="83"/>
      <c r="BU382" s="83"/>
      <c r="BV382" s="83">
        <v>20500000</v>
      </c>
      <c r="BW382" s="83">
        <v>20500000</v>
      </c>
      <c r="BX382" s="83">
        <v>20500000</v>
      </c>
      <c r="BY382" s="83"/>
      <c r="BZ382" s="83">
        <v>80000000</v>
      </c>
      <c r="CA382" s="83">
        <v>80000000</v>
      </c>
      <c r="CB382" s="83">
        <v>74955000</v>
      </c>
      <c r="CC382" s="83">
        <v>74955000</v>
      </c>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1">
        <f t="shared" si="833"/>
        <v>80000000</v>
      </c>
      <c r="DF382" s="95">
        <f>BR382+BV382+CA382+CF382+CJ382+CN382+CR382+CW382+DB382</f>
        <v>100500000</v>
      </c>
      <c r="DG382" s="95">
        <f>BS382+BW382+CB382+CG382+CK382+CO382+CS382+CX382+DC382</f>
        <v>95455000</v>
      </c>
      <c r="DH382" s="95">
        <f>BT382+BX382+CC382+CH382+CL382+CP382+CT382+CY382+DD382</f>
        <v>95455000</v>
      </c>
      <c r="DI382" s="95"/>
      <c r="DJ382" s="83"/>
      <c r="DK382" s="82"/>
      <c r="DL382" s="83"/>
      <c r="DM382" s="83"/>
      <c r="DN382" s="83"/>
      <c r="DO382" s="171">
        <v>70000000</v>
      </c>
      <c r="DP382" s="83">
        <v>59784215</v>
      </c>
      <c r="DQ382" s="83">
        <v>56021344</v>
      </c>
      <c r="DR382" s="83"/>
      <c r="DS382" s="83">
        <v>80000000</v>
      </c>
      <c r="DT382" s="83">
        <v>100000000</v>
      </c>
      <c r="DU382" s="83">
        <v>92750144</v>
      </c>
      <c r="DV382" s="83">
        <v>92750144</v>
      </c>
      <c r="DW382" s="83"/>
      <c r="DX382" s="83"/>
      <c r="DY382" s="83"/>
      <c r="DZ382" s="83"/>
      <c r="EA382" s="83"/>
      <c r="EB382" s="83"/>
      <c r="EC382" s="83"/>
      <c r="ED382" s="83"/>
      <c r="EE382" s="83"/>
      <c r="EF382" s="83"/>
      <c r="EG382" s="83"/>
      <c r="EH382" s="83"/>
      <c r="EI382" s="83"/>
      <c r="EJ382" s="83"/>
      <c r="EK382" s="83"/>
      <c r="EL382" s="83"/>
      <c r="EM382" s="83"/>
      <c r="EN382" s="83"/>
      <c r="EO382" s="83"/>
      <c r="EP382" s="83"/>
      <c r="EQ382" s="83"/>
      <c r="ER382" s="83"/>
      <c r="ES382" s="83"/>
      <c r="ET382" s="83"/>
      <c r="EU382" s="83"/>
      <c r="EV382" s="83"/>
      <c r="EW382" s="81">
        <f>DJ382+DN382+DS382+DX382+EB382+EF382+EJ382+EN382+ES382</f>
        <v>80000000</v>
      </c>
      <c r="EX382" s="86">
        <f>DK382+DO382+DT382+DY382+EC382+EG382+EK382+EO382+ET382</f>
        <v>170000000</v>
      </c>
      <c r="EY382" s="86">
        <f>DL382+DP382+DU382+DZ382+ED382+EH382+EL382+EP382+EU382</f>
        <v>152534359</v>
      </c>
      <c r="EZ382" s="86">
        <f>DM382+DQ382+DV382+EA382+EE382+EI382+EM382+EQ382+EV382</f>
        <v>148771488</v>
      </c>
      <c r="FA382" s="176"/>
      <c r="FB382" s="83"/>
      <c r="FC382" s="84"/>
      <c r="FD382" s="84"/>
      <c r="FE382" s="84"/>
      <c r="FF382" s="140"/>
      <c r="FG382" s="83"/>
      <c r="FH382" s="83"/>
      <c r="FI382" s="83"/>
      <c r="FJ382" s="83"/>
      <c r="FK382" s="83">
        <v>3762871</v>
      </c>
      <c r="FL382" s="83">
        <v>80000000</v>
      </c>
      <c r="FM382" s="83">
        <v>99372400</v>
      </c>
      <c r="FN382" s="83">
        <v>84182332</v>
      </c>
      <c r="FO382" s="83">
        <v>67161666</v>
      </c>
      <c r="FP382" s="83"/>
      <c r="FQ382" s="83"/>
      <c r="FR382" s="83"/>
      <c r="FS382" s="83"/>
      <c r="FT382" s="83"/>
      <c r="FU382" s="83"/>
      <c r="FV382" s="83"/>
      <c r="FW382" s="83"/>
      <c r="FX382" s="83"/>
      <c r="FY382" s="83"/>
      <c r="FZ382" s="83"/>
      <c r="GA382" s="83"/>
      <c r="GB382" s="83"/>
      <c r="GC382" s="83"/>
      <c r="GD382" s="83"/>
      <c r="GE382" s="83"/>
      <c r="GF382" s="83"/>
      <c r="GG382" s="83"/>
      <c r="GH382" s="83"/>
      <c r="GI382" s="83"/>
      <c r="GJ382" s="83"/>
      <c r="GK382" s="83"/>
      <c r="GL382" s="83"/>
      <c r="GM382" s="83"/>
      <c r="GN382" s="83"/>
      <c r="GO382" s="83"/>
      <c r="GP382" s="83"/>
      <c r="GQ382" s="83"/>
      <c r="GR382" s="83"/>
      <c r="GS382" s="83"/>
      <c r="GT382" s="83"/>
      <c r="GU382" s="81">
        <f>FB382+FG382+FL382+FQ382+FV382+GA382+GF382+GK382+GP382</f>
        <v>80000000</v>
      </c>
      <c r="GV382" s="81">
        <f>GQ382+GL382+GG382+GB382+FW382+FR382+FM382+FH382+FC382</f>
        <v>99372400</v>
      </c>
      <c r="GW382" s="81">
        <f>GR382+GM382+GH382+GC382+FX382+FS382+FN382+FI382+FD382</f>
        <v>84182332</v>
      </c>
      <c r="GX382" s="81">
        <f>GS382+GN382+GI382+GD382+FY382+FT382+FO382+FJ382+FE382</f>
        <v>67161666</v>
      </c>
      <c r="GY382" s="673">
        <f>GT382+GO382+GJ382+GE382+FZ382+FU382+FP382+FK382+FF382</f>
        <v>3762871</v>
      </c>
      <c r="GZ382" s="67">
        <f>BM382+DE382+EW382+GU382</f>
        <v>320000000</v>
      </c>
    </row>
    <row r="383" spans="1:208" s="343" customFormat="1" ht="24.75" customHeight="1" x14ac:dyDescent="0.2">
      <c r="A383" s="326"/>
      <c r="B383" s="234">
        <v>28</v>
      </c>
      <c r="C383" s="324" t="s">
        <v>856</v>
      </c>
      <c r="D383" s="236"/>
      <c r="E383" s="237"/>
      <c r="F383" s="237"/>
      <c r="G383" s="238"/>
      <c r="H383" s="238"/>
      <c r="I383" s="238"/>
      <c r="J383" s="238"/>
      <c r="K383" s="238"/>
      <c r="L383" s="238"/>
      <c r="M383" s="238"/>
      <c r="N383" s="238"/>
      <c r="O383" s="238"/>
      <c r="P383" s="238"/>
      <c r="Q383" s="238"/>
      <c r="R383" s="238"/>
      <c r="S383" s="238"/>
      <c r="T383" s="238"/>
      <c r="U383" s="238"/>
      <c r="V383" s="238"/>
      <c r="W383" s="238"/>
      <c r="X383" s="238"/>
      <c r="Y383" s="241"/>
      <c r="Z383" s="238"/>
      <c r="AA383" s="238"/>
      <c r="AB383" s="238"/>
      <c r="AC383" s="50">
        <f t="shared" ref="AC383:CN383" si="845">AC384+AC404+AC410</f>
        <v>0</v>
      </c>
      <c r="AD383" s="50">
        <f t="shared" si="845"/>
        <v>0</v>
      </c>
      <c r="AE383" s="50">
        <f t="shared" si="845"/>
        <v>0</v>
      </c>
      <c r="AF383" s="50">
        <f t="shared" si="845"/>
        <v>0</v>
      </c>
      <c r="AG383" s="50">
        <f t="shared" si="845"/>
        <v>64260244</v>
      </c>
      <c r="AH383" s="50">
        <f t="shared" si="845"/>
        <v>46963067.460000001</v>
      </c>
      <c r="AI383" s="50">
        <f t="shared" si="845"/>
        <v>12320000</v>
      </c>
      <c r="AJ383" s="50">
        <f t="shared" si="845"/>
        <v>12320000</v>
      </c>
      <c r="AK383" s="50">
        <f t="shared" si="845"/>
        <v>2487251891</v>
      </c>
      <c r="AL383" s="50">
        <f t="shared" si="845"/>
        <v>3008020116</v>
      </c>
      <c r="AM383" s="50">
        <f t="shared" si="845"/>
        <v>2225921617</v>
      </c>
      <c r="AN383" s="50">
        <f t="shared" si="845"/>
        <v>2112449132</v>
      </c>
      <c r="AO383" s="50">
        <f t="shared" si="845"/>
        <v>435000000</v>
      </c>
      <c r="AP383" s="50">
        <f t="shared" si="845"/>
        <v>170000000</v>
      </c>
      <c r="AQ383" s="50">
        <f t="shared" si="845"/>
        <v>164266414</v>
      </c>
      <c r="AR383" s="50">
        <f t="shared" si="845"/>
        <v>125928628</v>
      </c>
      <c r="AS383" s="50">
        <f t="shared" si="845"/>
        <v>0</v>
      </c>
      <c r="AT383" s="50">
        <f t="shared" si="845"/>
        <v>0</v>
      </c>
      <c r="AU383" s="50">
        <f t="shared" si="845"/>
        <v>0</v>
      </c>
      <c r="AV383" s="50">
        <f t="shared" si="845"/>
        <v>0</v>
      </c>
      <c r="AW383" s="50">
        <f t="shared" si="845"/>
        <v>0</v>
      </c>
      <c r="AX383" s="50">
        <f t="shared" si="845"/>
        <v>0</v>
      </c>
      <c r="AY383" s="50">
        <f t="shared" si="845"/>
        <v>0</v>
      </c>
      <c r="AZ383" s="50">
        <f t="shared" si="845"/>
        <v>0</v>
      </c>
      <c r="BA383" s="50">
        <f t="shared" si="845"/>
        <v>0</v>
      </c>
      <c r="BB383" s="50">
        <f t="shared" si="845"/>
        <v>0</v>
      </c>
      <c r="BC383" s="50">
        <f t="shared" si="845"/>
        <v>0</v>
      </c>
      <c r="BD383" s="50">
        <f t="shared" si="845"/>
        <v>0</v>
      </c>
      <c r="BE383" s="50">
        <f t="shared" si="845"/>
        <v>0</v>
      </c>
      <c r="BF383" s="50">
        <f t="shared" si="845"/>
        <v>0</v>
      </c>
      <c r="BG383" s="50">
        <f t="shared" si="845"/>
        <v>0</v>
      </c>
      <c r="BH383" s="50">
        <f t="shared" si="845"/>
        <v>0</v>
      </c>
      <c r="BI383" s="50">
        <f t="shared" si="845"/>
        <v>4097000000</v>
      </c>
      <c r="BJ383" s="50">
        <f t="shared" si="845"/>
        <v>0</v>
      </c>
      <c r="BK383" s="50">
        <f t="shared" si="845"/>
        <v>0</v>
      </c>
      <c r="BL383" s="50">
        <f t="shared" si="845"/>
        <v>0</v>
      </c>
      <c r="BM383" s="50">
        <f t="shared" si="845"/>
        <v>7083512135</v>
      </c>
      <c r="BN383" s="50">
        <f t="shared" si="845"/>
        <v>3224983183.46</v>
      </c>
      <c r="BO383" s="50">
        <f t="shared" si="845"/>
        <v>2402508031</v>
      </c>
      <c r="BP383" s="50">
        <f t="shared" si="845"/>
        <v>2250697760</v>
      </c>
      <c r="BQ383" s="50">
        <f t="shared" si="845"/>
        <v>4000000000</v>
      </c>
      <c r="BR383" s="50">
        <f t="shared" si="845"/>
        <v>0</v>
      </c>
      <c r="BS383" s="50">
        <f t="shared" si="845"/>
        <v>0</v>
      </c>
      <c r="BT383" s="50">
        <f t="shared" si="845"/>
        <v>0</v>
      </c>
      <c r="BU383" s="50">
        <f t="shared" si="845"/>
        <v>41200000</v>
      </c>
      <c r="BV383" s="50">
        <f t="shared" si="845"/>
        <v>2141129201</v>
      </c>
      <c r="BW383" s="50">
        <f t="shared" si="845"/>
        <v>480778425</v>
      </c>
      <c r="BX383" s="50">
        <f t="shared" si="845"/>
        <v>480778425</v>
      </c>
      <c r="BY383" s="50">
        <f t="shared" si="845"/>
        <v>0</v>
      </c>
      <c r="BZ383" s="50">
        <f t="shared" si="845"/>
        <v>1774152274</v>
      </c>
      <c r="CA383" s="50">
        <f t="shared" si="845"/>
        <v>4175116423</v>
      </c>
      <c r="CB383" s="50">
        <f t="shared" si="845"/>
        <v>3886023707.23</v>
      </c>
      <c r="CC383" s="50">
        <f t="shared" si="845"/>
        <v>3477499577.23</v>
      </c>
      <c r="CD383" s="50">
        <f t="shared" si="845"/>
        <v>0</v>
      </c>
      <c r="CE383" s="50">
        <f t="shared" si="845"/>
        <v>200000000</v>
      </c>
      <c r="CF383" s="50">
        <f t="shared" si="845"/>
        <v>284641017</v>
      </c>
      <c r="CG383" s="50">
        <f t="shared" si="845"/>
        <v>241082281</v>
      </c>
      <c r="CH383" s="50">
        <f t="shared" si="845"/>
        <v>218243781</v>
      </c>
      <c r="CI383" s="50">
        <f t="shared" si="845"/>
        <v>0</v>
      </c>
      <c r="CJ383" s="50">
        <f t="shared" si="845"/>
        <v>0</v>
      </c>
      <c r="CK383" s="50">
        <f t="shared" si="845"/>
        <v>0</v>
      </c>
      <c r="CL383" s="50">
        <f t="shared" si="845"/>
        <v>0</v>
      </c>
      <c r="CM383" s="50">
        <f t="shared" si="845"/>
        <v>0</v>
      </c>
      <c r="CN383" s="50">
        <f t="shared" si="845"/>
        <v>0</v>
      </c>
      <c r="CO383" s="50">
        <f t="shared" ref="CO383:EV383" si="846">CO384+CO404+CO410</f>
        <v>0</v>
      </c>
      <c r="CP383" s="50">
        <f t="shared" si="846"/>
        <v>0</v>
      </c>
      <c r="CQ383" s="50">
        <f t="shared" si="846"/>
        <v>0</v>
      </c>
      <c r="CR383" s="50">
        <f t="shared" si="846"/>
        <v>0</v>
      </c>
      <c r="CS383" s="50">
        <f t="shared" si="846"/>
        <v>0</v>
      </c>
      <c r="CT383" s="50">
        <f t="shared" si="846"/>
        <v>0</v>
      </c>
      <c r="CU383" s="50">
        <f t="shared" si="846"/>
        <v>0</v>
      </c>
      <c r="CV383" s="50">
        <f t="shared" si="846"/>
        <v>0</v>
      </c>
      <c r="CW383" s="50">
        <f t="shared" si="846"/>
        <v>0</v>
      </c>
      <c r="CX383" s="50">
        <f t="shared" si="846"/>
        <v>0</v>
      </c>
      <c r="CY383" s="50">
        <f t="shared" si="846"/>
        <v>0</v>
      </c>
      <c r="CZ383" s="50">
        <f t="shared" si="846"/>
        <v>0</v>
      </c>
      <c r="DA383" s="50">
        <f t="shared" si="846"/>
        <v>2000000000</v>
      </c>
      <c r="DB383" s="50">
        <f t="shared" si="846"/>
        <v>0</v>
      </c>
      <c r="DC383" s="50">
        <f t="shared" si="846"/>
        <v>0</v>
      </c>
      <c r="DD383" s="50">
        <f t="shared" si="846"/>
        <v>0</v>
      </c>
      <c r="DE383" s="50">
        <f t="shared" si="846"/>
        <v>8015352274</v>
      </c>
      <c r="DF383" s="50">
        <f t="shared" si="846"/>
        <v>6600886641</v>
      </c>
      <c r="DG383" s="50">
        <f t="shared" si="846"/>
        <v>4607884413.2299995</v>
      </c>
      <c r="DH383" s="50">
        <f t="shared" si="846"/>
        <v>4176521783.23</v>
      </c>
      <c r="DI383" s="50">
        <f t="shared" si="846"/>
        <v>0</v>
      </c>
      <c r="DJ383" s="50">
        <f t="shared" si="846"/>
        <v>0</v>
      </c>
      <c r="DK383" s="50">
        <f t="shared" si="846"/>
        <v>0</v>
      </c>
      <c r="DL383" s="50">
        <f t="shared" si="846"/>
        <v>0</v>
      </c>
      <c r="DM383" s="50">
        <f t="shared" si="846"/>
        <v>0</v>
      </c>
      <c r="DN383" s="50">
        <f t="shared" si="846"/>
        <v>42436000</v>
      </c>
      <c r="DO383" s="50">
        <f t="shared" si="846"/>
        <v>1883382721</v>
      </c>
      <c r="DP383" s="50">
        <f t="shared" si="846"/>
        <v>1735992676</v>
      </c>
      <c r="DQ383" s="50">
        <f t="shared" si="846"/>
        <v>1163901798</v>
      </c>
      <c r="DR383" s="50">
        <f t="shared" si="846"/>
        <v>0</v>
      </c>
      <c r="DS383" s="50">
        <f t="shared" si="846"/>
        <v>1235304749</v>
      </c>
      <c r="DT383" s="50">
        <f t="shared" si="846"/>
        <v>3786000000</v>
      </c>
      <c r="DU383" s="50">
        <f t="shared" si="846"/>
        <v>3408364852</v>
      </c>
      <c r="DV383" s="50">
        <f t="shared" si="846"/>
        <v>3119607576</v>
      </c>
      <c r="DW383" s="50">
        <f t="shared" si="846"/>
        <v>0</v>
      </c>
      <c r="DX383" s="50">
        <f t="shared" si="846"/>
        <v>200000000</v>
      </c>
      <c r="DY383" s="50">
        <f t="shared" si="846"/>
        <v>43558736</v>
      </c>
      <c r="DZ383" s="50">
        <f t="shared" si="846"/>
        <v>41390000</v>
      </c>
      <c r="EA383" s="50">
        <f t="shared" si="846"/>
        <v>41273000</v>
      </c>
      <c r="EB383" s="50">
        <f t="shared" si="846"/>
        <v>0</v>
      </c>
      <c r="EC383" s="50">
        <f t="shared" si="846"/>
        <v>0</v>
      </c>
      <c r="ED383" s="50">
        <f t="shared" si="846"/>
        <v>0</v>
      </c>
      <c r="EE383" s="50">
        <f t="shared" si="846"/>
        <v>0</v>
      </c>
      <c r="EF383" s="50">
        <f t="shared" si="846"/>
        <v>0</v>
      </c>
      <c r="EG383" s="50">
        <f t="shared" si="846"/>
        <v>0</v>
      </c>
      <c r="EH383" s="50">
        <f t="shared" si="846"/>
        <v>0</v>
      </c>
      <c r="EI383" s="50">
        <f t="shared" si="846"/>
        <v>0</v>
      </c>
      <c r="EJ383" s="50">
        <f t="shared" si="846"/>
        <v>0</v>
      </c>
      <c r="EK383" s="50">
        <f t="shared" si="846"/>
        <v>0</v>
      </c>
      <c r="EL383" s="50">
        <f t="shared" si="846"/>
        <v>0</v>
      </c>
      <c r="EM383" s="50">
        <f t="shared" si="846"/>
        <v>0</v>
      </c>
      <c r="EN383" s="50">
        <f t="shared" si="846"/>
        <v>0</v>
      </c>
      <c r="EO383" s="50">
        <f t="shared" si="846"/>
        <v>0</v>
      </c>
      <c r="EP383" s="50">
        <f t="shared" si="846"/>
        <v>0</v>
      </c>
      <c r="EQ383" s="50">
        <f t="shared" si="846"/>
        <v>0</v>
      </c>
      <c r="ER383" s="50">
        <f t="shared" si="846"/>
        <v>0</v>
      </c>
      <c r="ES383" s="50">
        <f t="shared" si="846"/>
        <v>2000000000</v>
      </c>
      <c r="ET383" s="50">
        <f t="shared" si="846"/>
        <v>0</v>
      </c>
      <c r="EU383" s="50">
        <f t="shared" si="846"/>
        <v>0</v>
      </c>
      <c r="EV383" s="50">
        <f t="shared" si="846"/>
        <v>0</v>
      </c>
      <c r="EW383" s="50">
        <f t="shared" ref="EW383" si="847">EW384+EW404+EW410</f>
        <v>3477740749</v>
      </c>
      <c r="EX383" s="50">
        <f t="shared" ref="EX383:GZ383" si="848">EX384+EX404+EX410</f>
        <v>5712941457</v>
      </c>
      <c r="EY383" s="50">
        <f t="shared" si="848"/>
        <v>5185747528</v>
      </c>
      <c r="EZ383" s="50">
        <f t="shared" si="848"/>
        <v>4324782374</v>
      </c>
      <c r="FA383" s="50">
        <f t="shared" si="848"/>
        <v>0</v>
      </c>
      <c r="FB383" s="50">
        <f t="shared" si="848"/>
        <v>0</v>
      </c>
      <c r="FC383" s="50">
        <f t="shared" si="848"/>
        <v>5000000000</v>
      </c>
      <c r="FD383" s="50">
        <f t="shared" si="848"/>
        <v>820874579</v>
      </c>
      <c r="FE383" s="50">
        <f t="shared" si="848"/>
        <v>820874579</v>
      </c>
      <c r="FF383" s="50">
        <f t="shared" si="848"/>
        <v>0</v>
      </c>
      <c r="FG383" s="50">
        <f t="shared" si="848"/>
        <v>43709080</v>
      </c>
      <c r="FH383" s="50">
        <f t="shared" si="848"/>
        <v>2110000000</v>
      </c>
      <c r="FI383" s="50">
        <f t="shared" si="848"/>
        <v>905567371</v>
      </c>
      <c r="FJ383" s="50">
        <f t="shared" si="848"/>
        <v>4000000</v>
      </c>
      <c r="FK383" s="50">
        <f t="shared" si="848"/>
        <v>207571454</v>
      </c>
      <c r="FL383" s="50">
        <f t="shared" si="848"/>
        <v>1150000000</v>
      </c>
      <c r="FM383" s="50">
        <f t="shared" si="848"/>
        <v>3672803335</v>
      </c>
      <c r="FN383" s="50">
        <f t="shared" si="848"/>
        <v>2679333163</v>
      </c>
      <c r="FO383" s="50">
        <f t="shared" si="848"/>
        <v>1679696803.75</v>
      </c>
      <c r="FP383" s="50">
        <f t="shared" si="848"/>
        <v>123760516</v>
      </c>
      <c r="FQ383" s="50">
        <f t="shared" si="848"/>
        <v>200000000</v>
      </c>
      <c r="FR383" s="50">
        <f t="shared" si="848"/>
        <v>250000000</v>
      </c>
      <c r="FS383" s="50">
        <f t="shared" si="848"/>
        <v>0</v>
      </c>
      <c r="FT383" s="50">
        <f t="shared" si="848"/>
        <v>0</v>
      </c>
      <c r="FU383" s="50">
        <f t="shared" si="848"/>
        <v>0</v>
      </c>
      <c r="FV383" s="50">
        <f t="shared" si="848"/>
        <v>0</v>
      </c>
      <c r="FW383" s="50">
        <f t="shared" si="848"/>
        <v>0</v>
      </c>
      <c r="FX383" s="50">
        <f t="shared" si="848"/>
        <v>0</v>
      </c>
      <c r="FY383" s="50">
        <f t="shared" si="848"/>
        <v>0</v>
      </c>
      <c r="FZ383" s="50">
        <f t="shared" si="848"/>
        <v>0</v>
      </c>
      <c r="GA383" s="50">
        <f t="shared" si="848"/>
        <v>0</v>
      </c>
      <c r="GB383" s="50">
        <f t="shared" si="848"/>
        <v>0</v>
      </c>
      <c r="GC383" s="50">
        <f t="shared" si="848"/>
        <v>0</v>
      </c>
      <c r="GD383" s="50">
        <f t="shared" si="848"/>
        <v>0</v>
      </c>
      <c r="GE383" s="50">
        <f t="shared" si="848"/>
        <v>0</v>
      </c>
      <c r="GF383" s="50">
        <f t="shared" si="848"/>
        <v>0</v>
      </c>
      <c r="GG383" s="50">
        <f t="shared" si="848"/>
        <v>0</v>
      </c>
      <c r="GH383" s="50">
        <f t="shared" si="848"/>
        <v>0</v>
      </c>
      <c r="GI383" s="50">
        <f t="shared" si="848"/>
        <v>0</v>
      </c>
      <c r="GJ383" s="50">
        <f t="shared" si="848"/>
        <v>0</v>
      </c>
      <c r="GK383" s="50">
        <f t="shared" si="848"/>
        <v>0</v>
      </c>
      <c r="GL383" s="50">
        <f t="shared" si="848"/>
        <v>0</v>
      </c>
      <c r="GM383" s="50">
        <f t="shared" si="848"/>
        <v>0</v>
      </c>
      <c r="GN383" s="50">
        <f t="shared" si="848"/>
        <v>0</v>
      </c>
      <c r="GO383" s="50">
        <f t="shared" si="848"/>
        <v>0</v>
      </c>
      <c r="GP383" s="50">
        <f t="shared" si="848"/>
        <v>2000000000</v>
      </c>
      <c r="GQ383" s="50">
        <f t="shared" si="848"/>
        <v>0</v>
      </c>
      <c r="GR383" s="50">
        <f t="shared" si="848"/>
        <v>0</v>
      </c>
      <c r="GS383" s="50">
        <f t="shared" si="848"/>
        <v>0</v>
      </c>
      <c r="GT383" s="50">
        <f t="shared" si="848"/>
        <v>0</v>
      </c>
      <c r="GU383" s="50">
        <f t="shared" si="848"/>
        <v>3393709080</v>
      </c>
      <c r="GV383" s="50">
        <f t="shared" si="848"/>
        <v>11032803335</v>
      </c>
      <c r="GW383" s="50">
        <f t="shared" si="848"/>
        <v>4405775113</v>
      </c>
      <c r="GX383" s="50">
        <f t="shared" si="848"/>
        <v>2504571382.75</v>
      </c>
      <c r="GY383" s="50">
        <f t="shared" si="848"/>
        <v>331331970</v>
      </c>
      <c r="GZ383" s="50">
        <f t="shared" si="848"/>
        <v>21970314238</v>
      </c>
    </row>
    <row r="384" spans="1:208" s="343" customFormat="1" ht="24.75" customHeight="1" x14ac:dyDescent="0.2">
      <c r="A384" s="326"/>
      <c r="B384" s="1004"/>
      <c r="C384" s="246">
        <v>87</v>
      </c>
      <c r="D384" s="247" t="s">
        <v>857</v>
      </c>
      <c r="E384" s="250"/>
      <c r="F384" s="250"/>
      <c r="G384" s="251"/>
      <c r="H384" s="251"/>
      <c r="I384" s="251"/>
      <c r="J384" s="251"/>
      <c r="K384" s="251"/>
      <c r="L384" s="251"/>
      <c r="M384" s="251"/>
      <c r="N384" s="251"/>
      <c r="O384" s="251"/>
      <c r="P384" s="251"/>
      <c r="Q384" s="251"/>
      <c r="R384" s="251"/>
      <c r="S384" s="251"/>
      <c r="T384" s="251"/>
      <c r="U384" s="251"/>
      <c r="V384" s="251"/>
      <c r="W384" s="251"/>
      <c r="X384" s="251"/>
      <c r="Y384" s="252"/>
      <c r="Z384" s="251"/>
      <c r="AA384" s="251"/>
      <c r="AB384" s="251"/>
      <c r="AC384" s="51">
        <f t="shared" ref="AC384:BL384" si="849">SUM(AC385:AC403)</f>
        <v>0</v>
      </c>
      <c r="AD384" s="51">
        <f t="shared" si="849"/>
        <v>0</v>
      </c>
      <c r="AE384" s="51">
        <f t="shared" si="849"/>
        <v>0</v>
      </c>
      <c r="AF384" s="51">
        <f t="shared" si="849"/>
        <v>0</v>
      </c>
      <c r="AG384" s="51">
        <f t="shared" si="849"/>
        <v>0</v>
      </c>
      <c r="AH384" s="51">
        <f t="shared" si="849"/>
        <v>0</v>
      </c>
      <c r="AI384" s="51">
        <f t="shared" si="849"/>
        <v>0</v>
      </c>
      <c r="AJ384" s="51">
        <f t="shared" si="849"/>
        <v>0</v>
      </c>
      <c r="AK384" s="51">
        <f t="shared" si="849"/>
        <v>700000000</v>
      </c>
      <c r="AL384" s="51">
        <f t="shared" si="849"/>
        <v>980000000</v>
      </c>
      <c r="AM384" s="51">
        <f t="shared" si="849"/>
        <v>587602465</v>
      </c>
      <c r="AN384" s="51">
        <f t="shared" si="849"/>
        <v>583602465</v>
      </c>
      <c r="AO384" s="51">
        <f t="shared" si="849"/>
        <v>0</v>
      </c>
      <c r="AP384" s="51">
        <f t="shared" si="849"/>
        <v>0</v>
      </c>
      <c r="AQ384" s="51">
        <f t="shared" si="849"/>
        <v>0</v>
      </c>
      <c r="AR384" s="51">
        <f t="shared" si="849"/>
        <v>0</v>
      </c>
      <c r="AS384" s="51">
        <f t="shared" si="849"/>
        <v>0</v>
      </c>
      <c r="AT384" s="51">
        <f t="shared" si="849"/>
        <v>0</v>
      </c>
      <c r="AU384" s="51">
        <f t="shared" si="849"/>
        <v>0</v>
      </c>
      <c r="AV384" s="51">
        <f t="shared" si="849"/>
        <v>0</v>
      </c>
      <c r="AW384" s="51">
        <f t="shared" si="849"/>
        <v>0</v>
      </c>
      <c r="AX384" s="51">
        <f t="shared" si="849"/>
        <v>0</v>
      </c>
      <c r="AY384" s="51">
        <f t="shared" si="849"/>
        <v>0</v>
      </c>
      <c r="AZ384" s="51">
        <f t="shared" si="849"/>
        <v>0</v>
      </c>
      <c r="BA384" s="51">
        <f t="shared" si="849"/>
        <v>0</v>
      </c>
      <c r="BB384" s="51">
        <f t="shared" si="849"/>
        <v>0</v>
      </c>
      <c r="BC384" s="51">
        <f t="shared" si="849"/>
        <v>0</v>
      </c>
      <c r="BD384" s="51">
        <f t="shared" si="849"/>
        <v>0</v>
      </c>
      <c r="BE384" s="51">
        <f t="shared" si="849"/>
        <v>0</v>
      </c>
      <c r="BF384" s="51">
        <f t="shared" si="849"/>
        <v>0</v>
      </c>
      <c r="BG384" s="51">
        <f t="shared" si="849"/>
        <v>0</v>
      </c>
      <c r="BH384" s="51">
        <f t="shared" si="849"/>
        <v>0</v>
      </c>
      <c r="BI384" s="51">
        <f t="shared" si="849"/>
        <v>4097000000</v>
      </c>
      <c r="BJ384" s="51">
        <f t="shared" si="849"/>
        <v>0</v>
      </c>
      <c r="BK384" s="51">
        <f t="shared" si="849"/>
        <v>0</v>
      </c>
      <c r="BL384" s="51">
        <f t="shared" si="849"/>
        <v>0</v>
      </c>
      <c r="BM384" s="51">
        <f t="shared" ref="BM384:DX384" si="850">SUM(BM385:BM403)</f>
        <v>4797000000</v>
      </c>
      <c r="BN384" s="51">
        <f t="shared" si="850"/>
        <v>980000000</v>
      </c>
      <c r="BO384" s="51">
        <f t="shared" si="850"/>
        <v>587602465</v>
      </c>
      <c r="BP384" s="51">
        <f t="shared" si="850"/>
        <v>583602465</v>
      </c>
      <c r="BQ384" s="51">
        <f t="shared" si="850"/>
        <v>0</v>
      </c>
      <c r="BR384" s="51">
        <f t="shared" si="850"/>
        <v>0</v>
      </c>
      <c r="BS384" s="51">
        <f t="shared" si="850"/>
        <v>0</v>
      </c>
      <c r="BT384" s="51">
        <f t="shared" si="850"/>
        <v>0</v>
      </c>
      <c r="BU384" s="51">
        <f t="shared" si="850"/>
        <v>0</v>
      </c>
      <c r="BV384" s="51">
        <f t="shared" si="850"/>
        <v>170000000</v>
      </c>
      <c r="BW384" s="51">
        <f t="shared" si="850"/>
        <v>166037999</v>
      </c>
      <c r="BX384" s="51">
        <f t="shared" si="850"/>
        <v>166037999</v>
      </c>
      <c r="BY384" s="51">
        <f t="shared" si="850"/>
        <v>0</v>
      </c>
      <c r="BZ384" s="51">
        <f t="shared" si="850"/>
        <v>420000000</v>
      </c>
      <c r="CA384" s="51">
        <f t="shared" si="850"/>
        <v>1176000000</v>
      </c>
      <c r="CB384" s="51">
        <f t="shared" si="850"/>
        <v>1035148571.23</v>
      </c>
      <c r="CC384" s="51">
        <f t="shared" si="850"/>
        <v>835148571.23000002</v>
      </c>
      <c r="CD384" s="51">
        <f t="shared" si="850"/>
        <v>0</v>
      </c>
      <c r="CE384" s="51">
        <f t="shared" si="850"/>
        <v>0</v>
      </c>
      <c r="CF384" s="51">
        <f t="shared" si="850"/>
        <v>0</v>
      </c>
      <c r="CG384" s="51">
        <f t="shared" si="850"/>
        <v>0</v>
      </c>
      <c r="CH384" s="51">
        <f t="shared" si="850"/>
        <v>0</v>
      </c>
      <c r="CI384" s="51">
        <f t="shared" si="850"/>
        <v>0</v>
      </c>
      <c r="CJ384" s="51">
        <f t="shared" si="850"/>
        <v>0</v>
      </c>
      <c r="CK384" s="51">
        <f t="shared" si="850"/>
        <v>0</v>
      </c>
      <c r="CL384" s="51">
        <f t="shared" si="850"/>
        <v>0</v>
      </c>
      <c r="CM384" s="51">
        <f t="shared" si="850"/>
        <v>0</v>
      </c>
      <c r="CN384" s="51">
        <f t="shared" si="850"/>
        <v>0</v>
      </c>
      <c r="CO384" s="51">
        <f t="shared" si="850"/>
        <v>0</v>
      </c>
      <c r="CP384" s="51">
        <f t="shared" si="850"/>
        <v>0</v>
      </c>
      <c r="CQ384" s="51">
        <f t="shared" si="850"/>
        <v>0</v>
      </c>
      <c r="CR384" s="51">
        <f t="shared" si="850"/>
        <v>0</v>
      </c>
      <c r="CS384" s="51">
        <f t="shared" si="850"/>
        <v>0</v>
      </c>
      <c r="CT384" s="51">
        <f t="shared" si="850"/>
        <v>0</v>
      </c>
      <c r="CU384" s="51">
        <f t="shared" si="850"/>
        <v>0</v>
      </c>
      <c r="CV384" s="51">
        <f t="shared" si="850"/>
        <v>0</v>
      </c>
      <c r="CW384" s="51">
        <f t="shared" si="850"/>
        <v>0</v>
      </c>
      <c r="CX384" s="51">
        <f t="shared" si="850"/>
        <v>0</v>
      </c>
      <c r="CY384" s="51">
        <f t="shared" si="850"/>
        <v>0</v>
      </c>
      <c r="CZ384" s="51">
        <f t="shared" si="850"/>
        <v>0</v>
      </c>
      <c r="DA384" s="51">
        <f t="shared" si="850"/>
        <v>2000000000</v>
      </c>
      <c r="DB384" s="51">
        <f t="shared" si="850"/>
        <v>0</v>
      </c>
      <c r="DC384" s="51">
        <f t="shared" si="850"/>
        <v>0</v>
      </c>
      <c r="DD384" s="51">
        <f t="shared" si="850"/>
        <v>0</v>
      </c>
      <c r="DE384" s="51">
        <f t="shared" si="850"/>
        <v>2420000000</v>
      </c>
      <c r="DF384" s="51">
        <f t="shared" si="850"/>
        <v>1346000000</v>
      </c>
      <c r="DG384" s="51">
        <f t="shared" si="850"/>
        <v>1201186570.23</v>
      </c>
      <c r="DH384" s="51">
        <f t="shared" si="850"/>
        <v>1001186570.23</v>
      </c>
      <c r="DI384" s="51">
        <f t="shared" si="850"/>
        <v>0</v>
      </c>
      <c r="DJ384" s="51">
        <f t="shared" si="850"/>
        <v>0</v>
      </c>
      <c r="DK384" s="51">
        <f t="shared" si="850"/>
        <v>0</v>
      </c>
      <c r="DL384" s="51">
        <f t="shared" si="850"/>
        <v>0</v>
      </c>
      <c r="DM384" s="51">
        <f t="shared" si="850"/>
        <v>0</v>
      </c>
      <c r="DN384" s="51">
        <f t="shared" si="850"/>
        <v>0</v>
      </c>
      <c r="DO384" s="51">
        <f t="shared" si="850"/>
        <v>420000000</v>
      </c>
      <c r="DP384" s="51">
        <f t="shared" si="850"/>
        <v>296879563</v>
      </c>
      <c r="DQ384" s="51">
        <f t="shared" si="850"/>
        <v>273352797</v>
      </c>
      <c r="DR384" s="51">
        <f t="shared" si="850"/>
        <v>0</v>
      </c>
      <c r="DS384" s="51">
        <f t="shared" si="850"/>
        <v>420000000</v>
      </c>
      <c r="DT384" s="51">
        <f t="shared" si="850"/>
        <v>1030000000</v>
      </c>
      <c r="DU384" s="51">
        <f t="shared" si="850"/>
        <v>801778738</v>
      </c>
      <c r="DV384" s="51">
        <f t="shared" si="850"/>
        <v>800697188</v>
      </c>
      <c r="DW384" s="51">
        <f t="shared" si="850"/>
        <v>0</v>
      </c>
      <c r="DX384" s="51">
        <f t="shared" si="850"/>
        <v>0</v>
      </c>
      <c r="DY384" s="51">
        <f t="shared" ref="DY384:EW384" si="851">SUM(DY385:DY403)</f>
        <v>0</v>
      </c>
      <c r="DZ384" s="51">
        <f t="shared" si="851"/>
        <v>0</v>
      </c>
      <c r="EA384" s="51">
        <f t="shared" si="851"/>
        <v>0</v>
      </c>
      <c r="EB384" s="51">
        <f t="shared" si="851"/>
        <v>0</v>
      </c>
      <c r="EC384" s="51">
        <f t="shared" si="851"/>
        <v>0</v>
      </c>
      <c r="ED384" s="51">
        <f t="shared" si="851"/>
        <v>0</v>
      </c>
      <c r="EE384" s="51">
        <f t="shared" si="851"/>
        <v>0</v>
      </c>
      <c r="EF384" s="51">
        <f t="shared" si="851"/>
        <v>0</v>
      </c>
      <c r="EG384" s="51">
        <f t="shared" si="851"/>
        <v>0</v>
      </c>
      <c r="EH384" s="51">
        <f t="shared" si="851"/>
        <v>0</v>
      </c>
      <c r="EI384" s="51">
        <f t="shared" si="851"/>
        <v>0</v>
      </c>
      <c r="EJ384" s="51">
        <f t="shared" si="851"/>
        <v>0</v>
      </c>
      <c r="EK384" s="51">
        <f t="shared" si="851"/>
        <v>0</v>
      </c>
      <c r="EL384" s="51">
        <f t="shared" si="851"/>
        <v>0</v>
      </c>
      <c r="EM384" s="51">
        <f t="shared" si="851"/>
        <v>0</v>
      </c>
      <c r="EN384" s="51">
        <f t="shared" si="851"/>
        <v>0</v>
      </c>
      <c r="EO384" s="51">
        <f t="shared" si="851"/>
        <v>0</v>
      </c>
      <c r="EP384" s="51">
        <f t="shared" si="851"/>
        <v>0</v>
      </c>
      <c r="EQ384" s="51">
        <f t="shared" si="851"/>
        <v>0</v>
      </c>
      <c r="ER384" s="51">
        <f t="shared" si="851"/>
        <v>0</v>
      </c>
      <c r="ES384" s="51">
        <f t="shared" si="851"/>
        <v>2000000000</v>
      </c>
      <c r="ET384" s="51">
        <f t="shared" si="851"/>
        <v>0</v>
      </c>
      <c r="EU384" s="51">
        <f t="shared" si="851"/>
        <v>0</v>
      </c>
      <c r="EV384" s="51">
        <f t="shared" si="851"/>
        <v>0</v>
      </c>
      <c r="EW384" s="51">
        <f t="shared" si="851"/>
        <v>2420000000</v>
      </c>
      <c r="EX384" s="51">
        <f t="shared" ref="EX384:GZ384" si="852">SUM(EX385:EX403)</f>
        <v>1450000000</v>
      </c>
      <c r="EY384" s="51">
        <f t="shared" si="852"/>
        <v>1098658301</v>
      </c>
      <c r="EZ384" s="51">
        <f t="shared" si="852"/>
        <v>1074049985</v>
      </c>
      <c r="FA384" s="51">
        <f t="shared" si="852"/>
        <v>0</v>
      </c>
      <c r="FB384" s="51">
        <f t="shared" si="852"/>
        <v>0</v>
      </c>
      <c r="FC384" s="51">
        <f t="shared" si="852"/>
        <v>0</v>
      </c>
      <c r="FD384" s="51">
        <f t="shared" si="852"/>
        <v>0</v>
      </c>
      <c r="FE384" s="51">
        <f t="shared" si="852"/>
        <v>0</v>
      </c>
      <c r="FF384" s="51">
        <f t="shared" si="852"/>
        <v>0</v>
      </c>
      <c r="FG384" s="51">
        <f t="shared" si="852"/>
        <v>0</v>
      </c>
      <c r="FH384" s="51">
        <f t="shared" si="852"/>
        <v>270000000</v>
      </c>
      <c r="FI384" s="51">
        <f t="shared" si="852"/>
        <v>101906967</v>
      </c>
      <c r="FJ384" s="51">
        <f t="shared" si="852"/>
        <v>4000000</v>
      </c>
      <c r="FK384" s="51">
        <f t="shared" si="852"/>
        <v>23526766</v>
      </c>
      <c r="FL384" s="51">
        <f t="shared" si="852"/>
        <v>400000000</v>
      </c>
      <c r="FM384" s="51">
        <f t="shared" si="852"/>
        <v>1023487634</v>
      </c>
      <c r="FN384" s="51">
        <f t="shared" si="852"/>
        <v>763515973</v>
      </c>
      <c r="FO384" s="51">
        <f t="shared" si="852"/>
        <v>445001067</v>
      </c>
      <c r="FP384" s="51">
        <f t="shared" si="852"/>
        <v>0</v>
      </c>
      <c r="FQ384" s="51">
        <f t="shared" si="852"/>
        <v>0</v>
      </c>
      <c r="FR384" s="51">
        <f t="shared" si="852"/>
        <v>0</v>
      </c>
      <c r="FS384" s="51">
        <f t="shared" si="852"/>
        <v>0</v>
      </c>
      <c r="FT384" s="51">
        <f t="shared" si="852"/>
        <v>0</v>
      </c>
      <c r="FU384" s="51">
        <f t="shared" si="852"/>
        <v>0</v>
      </c>
      <c r="FV384" s="51">
        <f t="shared" si="852"/>
        <v>0</v>
      </c>
      <c r="FW384" s="51">
        <f t="shared" si="852"/>
        <v>0</v>
      </c>
      <c r="FX384" s="51">
        <f t="shared" si="852"/>
        <v>0</v>
      </c>
      <c r="FY384" s="51">
        <f t="shared" si="852"/>
        <v>0</v>
      </c>
      <c r="FZ384" s="51">
        <f t="shared" si="852"/>
        <v>0</v>
      </c>
      <c r="GA384" s="51">
        <f t="shared" si="852"/>
        <v>0</v>
      </c>
      <c r="GB384" s="51">
        <f t="shared" si="852"/>
        <v>0</v>
      </c>
      <c r="GC384" s="51">
        <f t="shared" si="852"/>
        <v>0</v>
      </c>
      <c r="GD384" s="51">
        <f t="shared" si="852"/>
        <v>0</v>
      </c>
      <c r="GE384" s="51">
        <f t="shared" si="852"/>
        <v>0</v>
      </c>
      <c r="GF384" s="51">
        <f t="shared" si="852"/>
        <v>0</v>
      </c>
      <c r="GG384" s="51">
        <f t="shared" si="852"/>
        <v>0</v>
      </c>
      <c r="GH384" s="51">
        <f t="shared" si="852"/>
        <v>0</v>
      </c>
      <c r="GI384" s="51">
        <f t="shared" si="852"/>
        <v>0</v>
      </c>
      <c r="GJ384" s="51">
        <f t="shared" si="852"/>
        <v>0</v>
      </c>
      <c r="GK384" s="51">
        <f t="shared" si="852"/>
        <v>0</v>
      </c>
      <c r="GL384" s="51">
        <f t="shared" si="852"/>
        <v>0</v>
      </c>
      <c r="GM384" s="51">
        <f t="shared" si="852"/>
        <v>0</v>
      </c>
      <c r="GN384" s="51">
        <f t="shared" si="852"/>
        <v>0</v>
      </c>
      <c r="GO384" s="51">
        <f t="shared" si="852"/>
        <v>0</v>
      </c>
      <c r="GP384" s="51">
        <f t="shared" si="852"/>
        <v>2000000000</v>
      </c>
      <c r="GQ384" s="51">
        <f t="shared" si="852"/>
        <v>0</v>
      </c>
      <c r="GR384" s="51">
        <f t="shared" si="852"/>
        <v>0</v>
      </c>
      <c r="GS384" s="51">
        <f t="shared" si="852"/>
        <v>0</v>
      </c>
      <c r="GT384" s="51">
        <f t="shared" si="852"/>
        <v>0</v>
      </c>
      <c r="GU384" s="51">
        <f t="shared" si="852"/>
        <v>2400000000</v>
      </c>
      <c r="GV384" s="51">
        <f t="shared" si="852"/>
        <v>1293487634</v>
      </c>
      <c r="GW384" s="51">
        <f t="shared" si="852"/>
        <v>865422940</v>
      </c>
      <c r="GX384" s="51">
        <f t="shared" si="852"/>
        <v>449001067</v>
      </c>
      <c r="GY384" s="51">
        <f t="shared" si="852"/>
        <v>23526766</v>
      </c>
      <c r="GZ384" s="51">
        <f t="shared" si="852"/>
        <v>12037000000</v>
      </c>
    </row>
    <row r="385" spans="1:208" ht="54.75" customHeight="1" x14ac:dyDescent="0.2">
      <c r="A385" s="326"/>
      <c r="B385" s="341"/>
      <c r="C385" s="456">
        <v>38</v>
      </c>
      <c r="D385" s="721" t="s">
        <v>800</v>
      </c>
      <c r="E385" s="456">
        <v>0</v>
      </c>
      <c r="F385" s="456">
        <v>2</v>
      </c>
      <c r="G385" s="264">
        <v>256</v>
      </c>
      <c r="H385" s="358" t="s">
        <v>858</v>
      </c>
      <c r="I385" s="275" t="s">
        <v>859</v>
      </c>
      <c r="J385" s="262" t="s">
        <v>822</v>
      </c>
      <c r="K385" s="415">
        <v>17</v>
      </c>
      <c r="L385" s="304" t="s">
        <v>73</v>
      </c>
      <c r="M385" s="288">
        <v>1</v>
      </c>
      <c r="N385" s="288">
        <v>1</v>
      </c>
      <c r="O385" s="259">
        <v>1</v>
      </c>
      <c r="P385" s="560">
        <v>1</v>
      </c>
      <c r="Q385" s="288">
        <v>0</v>
      </c>
      <c r="R385" s="563"/>
      <c r="S385" s="389"/>
      <c r="T385" s="288">
        <v>0</v>
      </c>
      <c r="U385" s="288"/>
      <c r="V385" s="389"/>
      <c r="W385" s="288">
        <v>0</v>
      </c>
      <c r="X385" s="304"/>
      <c r="Y385" s="631"/>
      <c r="Z385" s="390">
        <f t="shared" ref="Z385:Z403" si="853">BM385/$BM$384</f>
        <v>4.0973525119866586E-2</v>
      </c>
      <c r="AA385" s="265">
        <v>16</v>
      </c>
      <c r="AB385" s="262" t="s">
        <v>376</v>
      </c>
      <c r="AC385" s="56"/>
      <c r="AD385" s="55"/>
      <c r="AE385" s="54"/>
      <c r="AF385" s="54"/>
      <c r="AG385" s="56"/>
      <c r="AH385" s="55"/>
      <c r="AI385" s="55"/>
      <c r="AJ385" s="55"/>
      <c r="AK385" s="55">
        <v>196550000</v>
      </c>
      <c r="AL385" s="55">
        <v>196550000</v>
      </c>
      <c r="AM385" s="55">
        <v>184355800</v>
      </c>
      <c r="AN385" s="55">
        <v>184355800</v>
      </c>
      <c r="AO385" s="64"/>
      <c r="AP385" s="63"/>
      <c r="AQ385" s="63"/>
      <c r="AR385" s="55"/>
      <c r="AS385" s="56"/>
      <c r="AT385" s="55"/>
      <c r="AU385" s="54"/>
      <c r="AV385" s="54"/>
      <c r="AW385" s="56"/>
      <c r="AX385" s="55"/>
      <c r="AY385" s="55"/>
      <c r="AZ385" s="55"/>
      <c r="BA385" s="56"/>
      <c r="BB385" s="55"/>
      <c r="BC385" s="55"/>
      <c r="BD385" s="55"/>
      <c r="BE385" s="56"/>
      <c r="BF385" s="55"/>
      <c r="BG385" s="54"/>
      <c r="BH385" s="54"/>
      <c r="BI385" s="56"/>
      <c r="BJ385" s="55"/>
      <c r="BK385" s="55"/>
      <c r="BL385" s="55"/>
      <c r="BM385" s="53">
        <f t="shared" ref="BM385:BM403" si="854">+AC385+AG385+AK385+AO385+AS385+AW385+BA385+BE385+BI385</f>
        <v>196550000</v>
      </c>
      <c r="BN385" s="54">
        <f t="shared" ref="BN385:BN403" si="855">AD385+AH385+AL385+AP385+AT385+AX385+BB385+BF385+BJ385</f>
        <v>196550000</v>
      </c>
      <c r="BO385" s="54">
        <f t="shared" ref="BO385:BO403" si="856">AE385+AI385+AM385+AQ385+AU385+AY385+BC385+BG385+BK385</f>
        <v>184355800</v>
      </c>
      <c r="BP385" s="54">
        <f t="shared" ref="BP385:BP403" si="857">AF385+AJ385+AN385+AR385+AV385+AZ385+BD385+BH385+BL385</f>
        <v>184355800</v>
      </c>
      <c r="BQ385" s="83">
        <v>0</v>
      </c>
      <c r="BR385" s="83">
        <v>0</v>
      </c>
      <c r="BS385" s="83">
        <v>0</v>
      </c>
      <c r="BT385" s="83">
        <v>0</v>
      </c>
      <c r="BU385" s="83">
        <v>0</v>
      </c>
      <c r="BV385" s="83">
        <v>0</v>
      </c>
      <c r="BW385" s="83">
        <v>0</v>
      </c>
      <c r="BX385" s="83">
        <v>0</v>
      </c>
      <c r="BY385" s="83"/>
      <c r="BZ385" s="83">
        <v>0</v>
      </c>
      <c r="CA385" s="83">
        <v>0</v>
      </c>
      <c r="CB385" s="83">
        <v>0</v>
      </c>
      <c r="CC385" s="83">
        <v>0</v>
      </c>
      <c r="CD385" s="83"/>
      <c r="CE385" s="83">
        <v>0</v>
      </c>
      <c r="CF385" s="83">
        <v>0</v>
      </c>
      <c r="CG385" s="83">
        <v>0</v>
      </c>
      <c r="CH385" s="83">
        <v>0</v>
      </c>
      <c r="CI385" s="83">
        <v>0</v>
      </c>
      <c r="CJ385" s="83">
        <v>0</v>
      </c>
      <c r="CK385" s="83">
        <v>0</v>
      </c>
      <c r="CL385" s="83">
        <v>0</v>
      </c>
      <c r="CM385" s="83">
        <v>0</v>
      </c>
      <c r="CN385" s="83">
        <v>0</v>
      </c>
      <c r="CO385" s="83">
        <v>0</v>
      </c>
      <c r="CP385" s="83">
        <v>0</v>
      </c>
      <c r="CQ385" s="83">
        <v>0</v>
      </c>
      <c r="CR385" s="83">
        <v>0</v>
      </c>
      <c r="CS385" s="83">
        <v>0</v>
      </c>
      <c r="CT385" s="83">
        <v>0</v>
      </c>
      <c r="CU385" s="83"/>
      <c r="CV385" s="83">
        <v>0</v>
      </c>
      <c r="CW385" s="83">
        <v>0</v>
      </c>
      <c r="CX385" s="83">
        <v>0</v>
      </c>
      <c r="CY385" s="83">
        <v>0</v>
      </c>
      <c r="CZ385" s="83"/>
      <c r="DA385" s="83">
        <v>0</v>
      </c>
      <c r="DB385" s="83">
        <v>0</v>
      </c>
      <c r="DC385" s="83">
        <v>0</v>
      </c>
      <c r="DD385" s="83">
        <v>0</v>
      </c>
      <c r="DE385" s="81">
        <f t="shared" ref="DE385:DE403" si="858">BQ385+BU385+BZ385+CE385+CI385+CM385+CQ385+CV385+DA385</f>
        <v>0</v>
      </c>
      <c r="DF385" s="95">
        <f t="shared" ref="DF385:DF403" si="859">BR385+BV385+CA385+CF385+CJ385+CN385+CR385+CW385+DB385</f>
        <v>0</v>
      </c>
      <c r="DG385" s="95">
        <f t="shared" ref="DG385:DG403" si="860">BS385+BW385+CB385+CG385+CK385+CO385+CS385+CX385+DC385</f>
        <v>0</v>
      </c>
      <c r="DH385" s="95">
        <f t="shared" ref="DH385:DH403" si="861">BT385+BX385+CC385+CH385+CL385+CP385+CT385+CY385+DD385</f>
        <v>0</v>
      </c>
      <c r="DI385" s="95"/>
      <c r="DJ385" s="84">
        <v>0</v>
      </c>
      <c r="DK385" s="84"/>
      <c r="DL385" s="84"/>
      <c r="DM385" s="84"/>
      <c r="DN385" s="84">
        <v>0</v>
      </c>
      <c r="DO385" s="84"/>
      <c r="DP385" s="84"/>
      <c r="DQ385" s="84"/>
      <c r="DR385" s="84"/>
      <c r="DS385" s="84">
        <v>0</v>
      </c>
      <c r="DT385" s="84"/>
      <c r="DU385" s="84"/>
      <c r="DV385" s="84"/>
      <c r="DW385" s="84"/>
      <c r="DX385" s="84">
        <v>0</v>
      </c>
      <c r="DY385" s="84"/>
      <c r="DZ385" s="84"/>
      <c r="EA385" s="84"/>
      <c r="EB385" s="84">
        <v>0</v>
      </c>
      <c r="EC385" s="84"/>
      <c r="ED385" s="84"/>
      <c r="EE385" s="84"/>
      <c r="EF385" s="84">
        <v>0</v>
      </c>
      <c r="EG385" s="84"/>
      <c r="EH385" s="84"/>
      <c r="EI385" s="84"/>
      <c r="EJ385" s="84">
        <v>0</v>
      </c>
      <c r="EK385" s="84"/>
      <c r="EL385" s="84"/>
      <c r="EM385" s="84"/>
      <c r="EN385" s="84">
        <v>0</v>
      </c>
      <c r="EO385" s="84"/>
      <c r="EP385" s="84"/>
      <c r="EQ385" s="84"/>
      <c r="ER385" s="84"/>
      <c r="ES385" s="84">
        <v>0</v>
      </c>
      <c r="ET385" s="83"/>
      <c r="EU385" s="83"/>
      <c r="EV385" s="83"/>
      <c r="EW385" s="81">
        <f t="shared" ref="EW385:EX403" si="862">DJ385+DN385+DS385+DX385+EB385+EF385+EJ385+EN385+ES385</f>
        <v>0</v>
      </c>
      <c r="EX385" s="86">
        <f t="shared" si="862"/>
        <v>0</v>
      </c>
      <c r="EY385" s="86">
        <f t="shared" ref="EY385:EY403" si="863">DL385+DP385+DU385+DZ385+ED385+EH385+EL385+EP385+EU385</f>
        <v>0</v>
      </c>
      <c r="EZ385" s="86">
        <f t="shared" ref="EZ385:EZ403" si="864">DM385+DQ385+DV385+EA385+EE385+EI385+EM385+EQ385+EV385</f>
        <v>0</v>
      </c>
      <c r="FA385" s="176"/>
      <c r="FB385" s="83"/>
      <c r="FC385" s="84"/>
      <c r="FD385" s="84"/>
      <c r="FE385" s="84"/>
      <c r="FF385" s="140"/>
      <c r="FG385" s="83"/>
      <c r="FH385" s="83"/>
      <c r="FI385" s="83"/>
      <c r="FJ385" s="83"/>
      <c r="FK385" s="83"/>
      <c r="FL385" s="84">
        <v>0</v>
      </c>
      <c r="FM385" s="83"/>
      <c r="FN385" s="83"/>
      <c r="FO385" s="83"/>
      <c r="FP385" s="83"/>
      <c r="FQ385" s="83">
        <v>0</v>
      </c>
      <c r="FR385" s="83"/>
      <c r="FS385" s="83"/>
      <c r="FT385" s="83"/>
      <c r="FU385" s="83"/>
      <c r="FV385" s="83">
        <v>0</v>
      </c>
      <c r="FW385" s="83"/>
      <c r="FX385" s="83"/>
      <c r="FY385" s="83"/>
      <c r="FZ385" s="83"/>
      <c r="GA385" s="83">
        <v>0</v>
      </c>
      <c r="GB385" s="83"/>
      <c r="GC385" s="83"/>
      <c r="GD385" s="83"/>
      <c r="GE385" s="83"/>
      <c r="GF385" s="83">
        <v>0</v>
      </c>
      <c r="GG385" s="83"/>
      <c r="GH385" s="83"/>
      <c r="GI385" s="83"/>
      <c r="GJ385" s="83"/>
      <c r="GK385" s="83">
        <v>0</v>
      </c>
      <c r="GL385" s="83"/>
      <c r="GM385" s="83"/>
      <c r="GN385" s="83"/>
      <c r="GO385" s="83"/>
      <c r="GP385" s="84">
        <v>0</v>
      </c>
      <c r="GQ385" s="83"/>
      <c r="GR385" s="83"/>
      <c r="GS385" s="83"/>
      <c r="GT385" s="83"/>
      <c r="GU385" s="81">
        <f t="shared" ref="GU385:GU403" si="865">FB385+FG385+FL385+FQ385+FV385+GA385+GF385+GK385+GP385</f>
        <v>0</v>
      </c>
      <c r="GV385" s="81">
        <f t="shared" ref="GV385:GV403" si="866">FC385+FH385+FM385+FR385+FW385+GB385+GG385+GL385+GQ385</f>
        <v>0</v>
      </c>
      <c r="GW385" s="81">
        <f t="shared" ref="GW385:GW403" si="867">FD385+FI385+FN385+FS385+FX385+GC385+GH385+GM385+GR385</f>
        <v>0</v>
      </c>
      <c r="GX385" s="81">
        <f t="shared" ref="GX385:GX403" si="868">FE385+FJ385+FO385+FT385+FY385+GD385+GI385+GN385+GS385</f>
        <v>0</v>
      </c>
      <c r="GY385" s="673">
        <f t="shared" ref="GY385:GY403" si="869">FF385+FK385+FP385+FU385+FZ385+GE385+GJ385+GO385+GT385</f>
        <v>0</v>
      </c>
      <c r="GZ385" s="67">
        <f t="shared" ref="GZ385:GZ403" si="870">BM385+DE385+EW385+GU385</f>
        <v>196550000</v>
      </c>
    </row>
    <row r="386" spans="1:208" ht="120.75" customHeight="1" x14ac:dyDescent="0.2">
      <c r="A386" s="326"/>
      <c r="B386" s="341"/>
      <c r="C386" s="279"/>
      <c r="D386" s="722"/>
      <c r="E386" s="279"/>
      <c r="F386" s="279"/>
      <c r="G386" s="265">
        <v>257</v>
      </c>
      <c r="H386" s="358" t="s">
        <v>860</v>
      </c>
      <c r="I386" s="258" t="s">
        <v>285</v>
      </c>
      <c r="J386" s="262" t="s">
        <v>822</v>
      </c>
      <c r="K386" s="415">
        <v>17</v>
      </c>
      <c r="L386" s="263" t="s">
        <v>58</v>
      </c>
      <c r="M386" s="264">
        <v>0</v>
      </c>
      <c r="N386" s="264">
        <v>1</v>
      </c>
      <c r="O386" s="265">
        <v>1</v>
      </c>
      <c r="P386" s="560">
        <v>1</v>
      </c>
      <c r="Q386" s="264">
        <v>1</v>
      </c>
      <c r="R386" s="268"/>
      <c r="S386" s="389">
        <v>1</v>
      </c>
      <c r="T386" s="264">
        <v>1</v>
      </c>
      <c r="U386" s="264"/>
      <c r="V386" s="270">
        <v>0.9</v>
      </c>
      <c r="W386" s="264">
        <v>1</v>
      </c>
      <c r="X386" s="263"/>
      <c r="Y386" s="271">
        <v>0.6</v>
      </c>
      <c r="Z386" s="390">
        <f t="shared" si="853"/>
        <v>0.32013758599124453</v>
      </c>
      <c r="AA386" s="265">
        <v>13</v>
      </c>
      <c r="AB386" s="262" t="s">
        <v>155</v>
      </c>
      <c r="AC386" s="56"/>
      <c r="AD386" s="55"/>
      <c r="AE386" s="54"/>
      <c r="AF386" s="54"/>
      <c r="AG386" s="56"/>
      <c r="AH386" s="55"/>
      <c r="AI386" s="55"/>
      <c r="AJ386" s="55"/>
      <c r="AK386" s="54">
        <v>35700000</v>
      </c>
      <c r="AL386" s="54">
        <v>35700000</v>
      </c>
      <c r="AM386" s="54">
        <v>27800000</v>
      </c>
      <c r="AN386" s="54">
        <v>27800000</v>
      </c>
      <c r="AO386" s="53"/>
      <c r="AP386" s="54"/>
      <c r="AQ386" s="54"/>
      <c r="AR386" s="55"/>
      <c r="AS386" s="56"/>
      <c r="AT386" s="55"/>
      <c r="AU386" s="54"/>
      <c r="AV386" s="54"/>
      <c r="AW386" s="56"/>
      <c r="AX386" s="55"/>
      <c r="AY386" s="55"/>
      <c r="AZ386" s="55"/>
      <c r="BA386" s="56"/>
      <c r="BB386" s="55"/>
      <c r="BC386" s="55"/>
      <c r="BD386" s="55"/>
      <c r="BE386" s="56"/>
      <c r="BF386" s="55"/>
      <c r="BG386" s="54"/>
      <c r="BH386" s="54"/>
      <c r="BI386" s="56">
        <v>1500000000</v>
      </c>
      <c r="BJ386" s="55"/>
      <c r="BK386" s="55"/>
      <c r="BL386" s="55"/>
      <c r="BM386" s="53">
        <f t="shared" si="854"/>
        <v>1535700000</v>
      </c>
      <c r="BN386" s="54">
        <f t="shared" si="855"/>
        <v>35700000</v>
      </c>
      <c r="BO386" s="54">
        <f t="shared" si="856"/>
        <v>27800000</v>
      </c>
      <c r="BP386" s="54">
        <f t="shared" si="857"/>
        <v>27800000</v>
      </c>
      <c r="BQ386" s="83"/>
      <c r="BR386" s="83"/>
      <c r="BS386" s="83"/>
      <c r="BT386" s="83"/>
      <c r="BU386" s="83"/>
      <c r="BV386" s="83"/>
      <c r="BW386" s="83"/>
      <c r="BX386" s="83"/>
      <c r="BY386" s="83"/>
      <c r="BZ386" s="84">
        <v>35700000</v>
      </c>
      <c r="CA386" s="82">
        <v>120200000</v>
      </c>
      <c r="CB386" s="82">
        <v>118002000</v>
      </c>
      <c r="CC386" s="82">
        <v>118002000</v>
      </c>
      <c r="CD386" s="82"/>
      <c r="CE386" s="83"/>
      <c r="CF386" s="83"/>
      <c r="CG386" s="83"/>
      <c r="CH386" s="83"/>
      <c r="CI386" s="83"/>
      <c r="CJ386" s="83"/>
      <c r="CK386" s="83"/>
      <c r="CL386" s="83"/>
      <c r="CM386" s="83"/>
      <c r="CN386" s="83"/>
      <c r="CO386" s="83"/>
      <c r="CP386" s="83"/>
      <c r="CQ386" s="83"/>
      <c r="CR386" s="83"/>
      <c r="CS386" s="83"/>
      <c r="CT386" s="83"/>
      <c r="CU386" s="83"/>
      <c r="CV386" s="83"/>
      <c r="CW386" s="83"/>
      <c r="CX386" s="83"/>
      <c r="CY386" s="83"/>
      <c r="CZ386" s="83"/>
      <c r="DA386" s="83">
        <v>500000000</v>
      </c>
      <c r="DB386" s="83"/>
      <c r="DC386" s="83"/>
      <c r="DD386" s="83"/>
      <c r="DE386" s="81">
        <f t="shared" si="858"/>
        <v>535700000</v>
      </c>
      <c r="DF386" s="95">
        <f t="shared" si="859"/>
        <v>120200000</v>
      </c>
      <c r="DG386" s="95">
        <f t="shared" si="860"/>
        <v>118002000</v>
      </c>
      <c r="DH386" s="95">
        <f t="shared" si="861"/>
        <v>118002000</v>
      </c>
      <c r="DI386" s="95"/>
      <c r="DJ386" s="84"/>
      <c r="DK386" s="65"/>
      <c r="DL386" s="84"/>
      <c r="DM386" s="84"/>
      <c r="DN386" s="84"/>
      <c r="DO386" s="84"/>
      <c r="DP386" s="84"/>
      <c r="DQ386" s="84"/>
      <c r="DR386" s="84"/>
      <c r="DS386" s="84">
        <v>35700000</v>
      </c>
      <c r="DT386" s="65">
        <v>105920000</v>
      </c>
      <c r="DU386" s="84">
        <v>90706660</v>
      </c>
      <c r="DV386" s="84">
        <v>90706660</v>
      </c>
      <c r="DW386" s="84"/>
      <c r="DX386" s="84"/>
      <c r="DY386" s="84"/>
      <c r="DZ386" s="84"/>
      <c r="EA386" s="84"/>
      <c r="EB386" s="84"/>
      <c r="EC386" s="84"/>
      <c r="ED386" s="84"/>
      <c r="EE386" s="84"/>
      <c r="EF386" s="84"/>
      <c r="EG386" s="84"/>
      <c r="EH386" s="84"/>
      <c r="EI386" s="84"/>
      <c r="EJ386" s="84"/>
      <c r="EK386" s="84"/>
      <c r="EL386" s="84"/>
      <c r="EM386" s="84"/>
      <c r="EN386" s="84"/>
      <c r="EO386" s="83"/>
      <c r="EP386" s="83"/>
      <c r="EQ386" s="83"/>
      <c r="ER386" s="83"/>
      <c r="ES386" s="83">
        <v>500000000</v>
      </c>
      <c r="ET386" s="83"/>
      <c r="EU386" s="83"/>
      <c r="EV386" s="83"/>
      <c r="EW386" s="81">
        <f t="shared" si="862"/>
        <v>535700000</v>
      </c>
      <c r="EX386" s="86">
        <f t="shared" si="862"/>
        <v>105920000</v>
      </c>
      <c r="EY386" s="86">
        <f t="shared" si="863"/>
        <v>90706660</v>
      </c>
      <c r="EZ386" s="86">
        <f t="shared" si="864"/>
        <v>90706660</v>
      </c>
      <c r="FA386" s="176"/>
      <c r="FB386" s="83"/>
      <c r="FC386" s="84"/>
      <c r="FD386" s="84"/>
      <c r="FE386" s="84"/>
      <c r="FF386" s="140"/>
      <c r="FG386" s="83"/>
      <c r="FH386" s="83">
        <v>61690000</v>
      </c>
      <c r="FI386" s="83">
        <v>48970000</v>
      </c>
      <c r="FJ386" s="83"/>
      <c r="FK386" s="83"/>
      <c r="FL386" s="84">
        <v>35700000</v>
      </c>
      <c r="FM386" s="83">
        <v>160000000</v>
      </c>
      <c r="FN386" s="83">
        <v>150485934</v>
      </c>
      <c r="FO386" s="83">
        <v>89444600</v>
      </c>
      <c r="FP386" s="83"/>
      <c r="FQ386" s="83"/>
      <c r="FR386" s="83"/>
      <c r="FS386" s="83"/>
      <c r="FT386" s="83"/>
      <c r="FU386" s="83"/>
      <c r="FV386" s="83"/>
      <c r="FW386" s="83"/>
      <c r="FX386" s="83"/>
      <c r="FY386" s="83"/>
      <c r="FZ386" s="83"/>
      <c r="GA386" s="83"/>
      <c r="GB386" s="83"/>
      <c r="GC386" s="83"/>
      <c r="GD386" s="83"/>
      <c r="GE386" s="83"/>
      <c r="GF386" s="83"/>
      <c r="GG386" s="83"/>
      <c r="GH386" s="83"/>
      <c r="GI386" s="83"/>
      <c r="GJ386" s="83"/>
      <c r="GK386" s="83"/>
      <c r="GL386" s="83"/>
      <c r="GM386" s="83"/>
      <c r="GN386" s="83"/>
      <c r="GO386" s="83"/>
      <c r="GP386" s="83">
        <v>500000000</v>
      </c>
      <c r="GQ386" s="83"/>
      <c r="GR386" s="83"/>
      <c r="GS386" s="83"/>
      <c r="GT386" s="83"/>
      <c r="GU386" s="81">
        <f t="shared" si="865"/>
        <v>535700000</v>
      </c>
      <c r="GV386" s="81">
        <f t="shared" si="866"/>
        <v>221690000</v>
      </c>
      <c r="GW386" s="81">
        <f t="shared" si="867"/>
        <v>199455934</v>
      </c>
      <c r="GX386" s="81">
        <f t="shared" si="868"/>
        <v>89444600</v>
      </c>
      <c r="GY386" s="673">
        <f t="shared" si="869"/>
        <v>0</v>
      </c>
      <c r="GZ386" s="67">
        <f t="shared" si="870"/>
        <v>3142800000</v>
      </c>
    </row>
    <row r="387" spans="1:208" ht="188.25" customHeight="1" x14ac:dyDescent="0.2">
      <c r="A387" s="326"/>
      <c r="B387" s="341"/>
      <c r="C387" s="279"/>
      <c r="D387" s="722"/>
      <c r="E387" s="279"/>
      <c r="F387" s="279"/>
      <c r="G387" s="265">
        <v>258</v>
      </c>
      <c r="H387" s="358" t="s">
        <v>861</v>
      </c>
      <c r="I387" s="258" t="s">
        <v>862</v>
      </c>
      <c r="J387" s="262" t="s">
        <v>822</v>
      </c>
      <c r="K387" s="415">
        <v>17</v>
      </c>
      <c r="L387" s="263" t="s">
        <v>58</v>
      </c>
      <c r="M387" s="264">
        <v>0</v>
      </c>
      <c r="N387" s="265">
        <v>1</v>
      </c>
      <c r="O387" s="265">
        <v>1</v>
      </c>
      <c r="P387" s="560">
        <f>BP387/BM387</f>
        <v>0</v>
      </c>
      <c r="Q387" s="265">
        <v>1</v>
      </c>
      <c r="R387" s="268"/>
      <c r="S387" s="266">
        <v>1</v>
      </c>
      <c r="T387" s="265">
        <v>1</v>
      </c>
      <c r="U387" s="265"/>
      <c r="V387" s="266">
        <v>0.8</v>
      </c>
      <c r="W387" s="264">
        <v>1</v>
      </c>
      <c r="X387" s="263"/>
      <c r="Y387" s="271">
        <v>0.6</v>
      </c>
      <c r="Z387" s="390">
        <f t="shared" si="853"/>
        <v>0.20846362309776945</v>
      </c>
      <c r="AA387" s="264">
        <v>15</v>
      </c>
      <c r="AB387" s="263" t="s">
        <v>59</v>
      </c>
      <c r="AC387" s="56"/>
      <c r="AD387" s="55"/>
      <c r="AE387" s="54"/>
      <c r="AF387" s="54"/>
      <c r="AG387" s="56"/>
      <c r="AH387" s="55"/>
      <c r="AI387" s="55"/>
      <c r="AJ387" s="55"/>
      <c r="AK387" s="55">
        <v>0</v>
      </c>
      <c r="AL387" s="55"/>
      <c r="AM387" s="55"/>
      <c r="AN387" s="55"/>
      <c r="AO387" s="56"/>
      <c r="AP387" s="55"/>
      <c r="AQ387" s="55"/>
      <c r="AR387" s="55"/>
      <c r="AS387" s="56"/>
      <c r="AT387" s="55"/>
      <c r="AU387" s="54"/>
      <c r="AV387" s="54"/>
      <c r="AW387" s="56"/>
      <c r="AX387" s="55"/>
      <c r="AY387" s="55"/>
      <c r="AZ387" s="55"/>
      <c r="BA387" s="56"/>
      <c r="BB387" s="55"/>
      <c r="BC387" s="55"/>
      <c r="BD387" s="55"/>
      <c r="BE387" s="56"/>
      <c r="BF387" s="55"/>
      <c r="BG387" s="54"/>
      <c r="BH387" s="54"/>
      <c r="BI387" s="56">
        <v>1000000000</v>
      </c>
      <c r="BJ387" s="55"/>
      <c r="BK387" s="55"/>
      <c r="BL387" s="55"/>
      <c r="BM387" s="53">
        <f t="shared" si="854"/>
        <v>1000000000</v>
      </c>
      <c r="BN387" s="54">
        <f t="shared" si="855"/>
        <v>0</v>
      </c>
      <c r="BO387" s="54">
        <f t="shared" si="856"/>
        <v>0</v>
      </c>
      <c r="BP387" s="54">
        <f t="shared" si="857"/>
        <v>0</v>
      </c>
      <c r="BQ387" s="83"/>
      <c r="BR387" s="83"/>
      <c r="BS387" s="83"/>
      <c r="BT387" s="83"/>
      <c r="BU387" s="83"/>
      <c r="BV387" s="83"/>
      <c r="BW387" s="83"/>
      <c r="BX387" s="83"/>
      <c r="BY387" s="83"/>
      <c r="BZ387" s="84">
        <v>20000000</v>
      </c>
      <c r="CA387" s="82">
        <v>20000000</v>
      </c>
      <c r="CB387" s="82">
        <v>20000000</v>
      </c>
      <c r="CC387" s="82">
        <v>20000000</v>
      </c>
      <c r="CD387" s="82"/>
      <c r="CE387" s="83"/>
      <c r="CF387" s="83"/>
      <c r="CG387" s="83"/>
      <c r="CH387" s="83"/>
      <c r="CI387" s="83"/>
      <c r="CJ387" s="83"/>
      <c r="CK387" s="83"/>
      <c r="CL387" s="83"/>
      <c r="CM387" s="83"/>
      <c r="CN387" s="83"/>
      <c r="CO387" s="83"/>
      <c r="CP387" s="83"/>
      <c r="CQ387" s="83"/>
      <c r="CR387" s="83"/>
      <c r="CS387" s="83"/>
      <c r="CT387" s="83"/>
      <c r="CU387" s="83"/>
      <c r="CV387" s="83"/>
      <c r="CW387" s="83"/>
      <c r="CX387" s="83"/>
      <c r="CY387" s="83"/>
      <c r="CZ387" s="83"/>
      <c r="DA387" s="83"/>
      <c r="DB387" s="83"/>
      <c r="DC387" s="83"/>
      <c r="DD387" s="83"/>
      <c r="DE387" s="81">
        <f t="shared" si="858"/>
        <v>20000000</v>
      </c>
      <c r="DF387" s="95">
        <f t="shared" si="859"/>
        <v>20000000</v>
      </c>
      <c r="DG387" s="95">
        <f t="shared" si="860"/>
        <v>20000000</v>
      </c>
      <c r="DH387" s="95">
        <f t="shared" si="861"/>
        <v>20000000</v>
      </c>
      <c r="DI387" s="95"/>
      <c r="DJ387" s="84"/>
      <c r="DK387" s="65"/>
      <c r="DL387" s="84"/>
      <c r="DM387" s="84"/>
      <c r="DN387" s="84"/>
      <c r="DO387" s="84"/>
      <c r="DP387" s="84"/>
      <c r="DQ387" s="84"/>
      <c r="DR387" s="84"/>
      <c r="DS387" s="84">
        <v>20000000</v>
      </c>
      <c r="DT387" s="84">
        <v>30000000</v>
      </c>
      <c r="DU387" s="84">
        <v>17000000</v>
      </c>
      <c r="DV387" s="84">
        <v>17000000</v>
      </c>
      <c r="DW387" s="84"/>
      <c r="DX387" s="84"/>
      <c r="DY387" s="84"/>
      <c r="DZ387" s="84"/>
      <c r="EA387" s="84"/>
      <c r="EB387" s="84"/>
      <c r="EC387" s="84"/>
      <c r="ED387" s="84"/>
      <c r="EE387" s="84"/>
      <c r="EF387" s="84"/>
      <c r="EG387" s="84"/>
      <c r="EH387" s="84"/>
      <c r="EI387" s="84"/>
      <c r="EJ387" s="84"/>
      <c r="EK387" s="84"/>
      <c r="EL387" s="84"/>
      <c r="EM387" s="84"/>
      <c r="EN387" s="84"/>
      <c r="EO387" s="83"/>
      <c r="EP387" s="83"/>
      <c r="EQ387" s="83"/>
      <c r="ER387" s="83"/>
      <c r="ES387" s="83"/>
      <c r="ET387" s="83"/>
      <c r="EU387" s="83"/>
      <c r="EV387" s="83"/>
      <c r="EW387" s="81">
        <f t="shared" si="862"/>
        <v>20000000</v>
      </c>
      <c r="EX387" s="86">
        <f t="shared" si="862"/>
        <v>30000000</v>
      </c>
      <c r="EY387" s="86">
        <f t="shared" si="863"/>
        <v>17000000</v>
      </c>
      <c r="EZ387" s="86">
        <f t="shared" si="864"/>
        <v>17000000</v>
      </c>
      <c r="FA387" s="176"/>
      <c r="FB387" s="83"/>
      <c r="FC387" s="84"/>
      <c r="FD387" s="84"/>
      <c r="FE387" s="84"/>
      <c r="FF387" s="140"/>
      <c r="FG387" s="83"/>
      <c r="FH387" s="83"/>
      <c r="FI387" s="83"/>
      <c r="FJ387" s="83"/>
      <c r="FK387" s="83"/>
      <c r="FL387" s="84">
        <v>20000000</v>
      </c>
      <c r="FM387" s="83">
        <v>29800000</v>
      </c>
      <c r="FN387" s="83">
        <v>22330672</v>
      </c>
      <c r="FO387" s="83">
        <v>10600000</v>
      </c>
      <c r="FP387" s="83"/>
      <c r="FQ387" s="83"/>
      <c r="FR387" s="83"/>
      <c r="FS387" s="83"/>
      <c r="FT387" s="83"/>
      <c r="FU387" s="83"/>
      <c r="FV387" s="83"/>
      <c r="FW387" s="83"/>
      <c r="FX387" s="83"/>
      <c r="FY387" s="83"/>
      <c r="FZ387" s="83"/>
      <c r="GA387" s="83"/>
      <c r="GB387" s="83"/>
      <c r="GC387" s="83"/>
      <c r="GD387" s="83"/>
      <c r="GE387" s="83"/>
      <c r="GF387" s="83"/>
      <c r="GG387" s="83"/>
      <c r="GH387" s="83"/>
      <c r="GI387" s="83"/>
      <c r="GJ387" s="83"/>
      <c r="GK387" s="83"/>
      <c r="GL387" s="83"/>
      <c r="GM387" s="83"/>
      <c r="GN387" s="83"/>
      <c r="GO387" s="83"/>
      <c r="GP387" s="83"/>
      <c r="GQ387" s="83"/>
      <c r="GR387" s="83"/>
      <c r="GS387" s="83"/>
      <c r="GT387" s="83"/>
      <c r="GU387" s="81">
        <f t="shared" si="865"/>
        <v>20000000</v>
      </c>
      <c r="GV387" s="81">
        <f t="shared" si="866"/>
        <v>29800000</v>
      </c>
      <c r="GW387" s="81">
        <f t="shared" si="867"/>
        <v>22330672</v>
      </c>
      <c r="GX387" s="81">
        <f t="shared" si="868"/>
        <v>10600000</v>
      </c>
      <c r="GY387" s="673">
        <f t="shared" si="869"/>
        <v>0</v>
      </c>
      <c r="GZ387" s="67">
        <f t="shared" si="870"/>
        <v>1060000000</v>
      </c>
    </row>
    <row r="388" spans="1:208" ht="68.25" customHeight="1" x14ac:dyDescent="0.2">
      <c r="A388" s="326"/>
      <c r="B388" s="341"/>
      <c r="C388" s="279"/>
      <c r="D388" s="722"/>
      <c r="E388" s="279"/>
      <c r="F388" s="279"/>
      <c r="G388" s="265">
        <v>259</v>
      </c>
      <c r="H388" s="358" t="s">
        <v>863</v>
      </c>
      <c r="I388" s="275" t="s">
        <v>864</v>
      </c>
      <c r="J388" s="262" t="s">
        <v>822</v>
      </c>
      <c r="K388" s="415">
        <v>17</v>
      </c>
      <c r="L388" s="304" t="s">
        <v>58</v>
      </c>
      <c r="M388" s="288">
        <v>1</v>
      </c>
      <c r="N388" s="288">
        <v>1</v>
      </c>
      <c r="O388" s="259">
        <v>1</v>
      </c>
      <c r="P388" s="560">
        <v>1</v>
      </c>
      <c r="Q388" s="288">
        <v>1</v>
      </c>
      <c r="R388" s="268"/>
      <c r="S388" s="389">
        <v>1</v>
      </c>
      <c r="T388" s="288">
        <v>1</v>
      </c>
      <c r="U388" s="288"/>
      <c r="V388" s="389">
        <v>0.8</v>
      </c>
      <c r="W388" s="288">
        <v>1</v>
      </c>
      <c r="X388" s="304"/>
      <c r="Y388" s="631">
        <v>0.6</v>
      </c>
      <c r="Z388" s="390">
        <f t="shared" si="853"/>
        <v>1.876172607879925E-3</v>
      </c>
      <c r="AA388" s="265">
        <v>13</v>
      </c>
      <c r="AB388" s="262" t="s">
        <v>155</v>
      </c>
      <c r="AC388" s="56"/>
      <c r="AD388" s="55"/>
      <c r="AE388" s="54"/>
      <c r="AF388" s="54"/>
      <c r="AG388" s="56"/>
      <c r="AH388" s="55"/>
      <c r="AI388" s="55"/>
      <c r="AJ388" s="55"/>
      <c r="AK388" s="54">
        <v>9000000</v>
      </c>
      <c r="AL388" s="54">
        <v>9000000</v>
      </c>
      <c r="AM388" s="54">
        <v>9000000</v>
      </c>
      <c r="AN388" s="54">
        <v>9000000</v>
      </c>
      <c r="AO388" s="60"/>
      <c r="AP388" s="59"/>
      <c r="AQ388" s="59"/>
      <c r="AR388" s="55"/>
      <c r="AS388" s="56"/>
      <c r="AT388" s="55"/>
      <c r="AU388" s="54"/>
      <c r="AV388" s="54"/>
      <c r="AW388" s="56"/>
      <c r="AX388" s="55"/>
      <c r="AY388" s="55"/>
      <c r="AZ388" s="55"/>
      <c r="BA388" s="56"/>
      <c r="BB388" s="55"/>
      <c r="BC388" s="55"/>
      <c r="BD388" s="55"/>
      <c r="BE388" s="56"/>
      <c r="BF388" s="55"/>
      <c r="BG388" s="54"/>
      <c r="BH388" s="54"/>
      <c r="BI388" s="56"/>
      <c r="BJ388" s="55"/>
      <c r="BK388" s="55"/>
      <c r="BL388" s="55"/>
      <c r="BM388" s="53">
        <f t="shared" si="854"/>
        <v>9000000</v>
      </c>
      <c r="BN388" s="54">
        <f t="shared" si="855"/>
        <v>9000000</v>
      </c>
      <c r="BO388" s="54">
        <f t="shared" si="856"/>
        <v>9000000</v>
      </c>
      <c r="BP388" s="54">
        <f t="shared" si="857"/>
        <v>9000000</v>
      </c>
      <c r="BQ388" s="83"/>
      <c r="BR388" s="83"/>
      <c r="BS388" s="83"/>
      <c r="BT388" s="83"/>
      <c r="BU388" s="83"/>
      <c r="BV388" s="83"/>
      <c r="BW388" s="83"/>
      <c r="BX388" s="83"/>
      <c r="BY388" s="83"/>
      <c r="BZ388" s="84">
        <v>9000000</v>
      </c>
      <c r="CA388" s="82">
        <v>9000000</v>
      </c>
      <c r="CB388" s="564">
        <v>5633333</v>
      </c>
      <c r="CC388" s="565">
        <v>5633333</v>
      </c>
      <c r="CD388" s="566"/>
      <c r="CE388" s="83"/>
      <c r="CF388" s="83"/>
      <c r="CG388" s="83"/>
      <c r="CH388" s="83"/>
      <c r="CI388" s="83"/>
      <c r="CJ388" s="83"/>
      <c r="CK388" s="83"/>
      <c r="CL388" s="83"/>
      <c r="CM388" s="83"/>
      <c r="CN388" s="83"/>
      <c r="CO388" s="83"/>
      <c r="CP388" s="83"/>
      <c r="CQ388" s="83"/>
      <c r="CR388" s="83"/>
      <c r="CS388" s="83"/>
      <c r="CT388" s="83"/>
      <c r="CU388" s="83"/>
      <c r="CV388" s="83"/>
      <c r="CW388" s="83"/>
      <c r="CX388" s="83"/>
      <c r="CY388" s="83"/>
      <c r="CZ388" s="83"/>
      <c r="DA388" s="83"/>
      <c r="DB388" s="83"/>
      <c r="DC388" s="83"/>
      <c r="DD388" s="83"/>
      <c r="DE388" s="81">
        <f t="shared" si="858"/>
        <v>9000000</v>
      </c>
      <c r="DF388" s="95">
        <f t="shared" si="859"/>
        <v>9000000</v>
      </c>
      <c r="DG388" s="95">
        <f t="shared" si="860"/>
        <v>5633333</v>
      </c>
      <c r="DH388" s="95">
        <f t="shared" si="861"/>
        <v>5633333</v>
      </c>
      <c r="DI388" s="95"/>
      <c r="DJ388" s="84"/>
      <c r="DK388" s="65"/>
      <c r="DL388" s="84"/>
      <c r="DM388" s="84"/>
      <c r="DN388" s="84"/>
      <c r="DO388" s="84"/>
      <c r="DP388" s="84"/>
      <c r="DQ388" s="84"/>
      <c r="DR388" s="84"/>
      <c r="DS388" s="84">
        <v>9000000</v>
      </c>
      <c r="DT388" s="84">
        <v>9000000</v>
      </c>
      <c r="DU388" s="84"/>
      <c r="DV388" s="84"/>
      <c r="DW388" s="84"/>
      <c r="DX388" s="84"/>
      <c r="DY388" s="84"/>
      <c r="DZ388" s="84"/>
      <c r="EA388" s="84"/>
      <c r="EB388" s="84"/>
      <c r="EC388" s="84"/>
      <c r="ED388" s="84"/>
      <c r="EE388" s="84"/>
      <c r="EF388" s="84"/>
      <c r="EG388" s="84"/>
      <c r="EH388" s="84"/>
      <c r="EI388" s="84"/>
      <c r="EJ388" s="84"/>
      <c r="EK388" s="84"/>
      <c r="EL388" s="84"/>
      <c r="EM388" s="84"/>
      <c r="EN388" s="84"/>
      <c r="EO388" s="83"/>
      <c r="EP388" s="83"/>
      <c r="EQ388" s="83"/>
      <c r="ER388" s="83"/>
      <c r="ES388" s="83"/>
      <c r="ET388" s="83"/>
      <c r="EU388" s="83"/>
      <c r="EV388" s="83"/>
      <c r="EW388" s="81">
        <f t="shared" si="862"/>
        <v>9000000</v>
      </c>
      <c r="EX388" s="86">
        <f t="shared" si="862"/>
        <v>9000000</v>
      </c>
      <c r="EY388" s="86">
        <f t="shared" si="863"/>
        <v>0</v>
      </c>
      <c r="EZ388" s="86">
        <f t="shared" si="864"/>
        <v>0</v>
      </c>
      <c r="FA388" s="176"/>
      <c r="FB388" s="83"/>
      <c r="FC388" s="84"/>
      <c r="FD388" s="84"/>
      <c r="FE388" s="84"/>
      <c r="FF388" s="140"/>
      <c r="FG388" s="83"/>
      <c r="FH388" s="83"/>
      <c r="FI388" s="83"/>
      <c r="FJ388" s="83"/>
      <c r="FK388" s="83"/>
      <c r="FL388" s="84">
        <v>9000000</v>
      </c>
      <c r="FM388" s="83">
        <v>8500000</v>
      </c>
      <c r="FN388" s="83"/>
      <c r="FO388" s="83"/>
      <c r="FP388" s="83"/>
      <c r="FQ388" s="83"/>
      <c r="FR388" s="83"/>
      <c r="FS388" s="83"/>
      <c r="FT388" s="83"/>
      <c r="FU388" s="83"/>
      <c r="FV388" s="83"/>
      <c r="FW388" s="83"/>
      <c r="FX388" s="83"/>
      <c r="FY388" s="83"/>
      <c r="FZ388" s="83"/>
      <c r="GA388" s="83"/>
      <c r="GB388" s="83"/>
      <c r="GC388" s="83"/>
      <c r="GD388" s="83"/>
      <c r="GE388" s="83"/>
      <c r="GF388" s="83"/>
      <c r="GG388" s="83"/>
      <c r="GH388" s="83"/>
      <c r="GI388" s="83"/>
      <c r="GJ388" s="83"/>
      <c r="GK388" s="83"/>
      <c r="GL388" s="83"/>
      <c r="GM388" s="83"/>
      <c r="GN388" s="83"/>
      <c r="GO388" s="83"/>
      <c r="GP388" s="83"/>
      <c r="GQ388" s="83"/>
      <c r="GR388" s="83"/>
      <c r="GS388" s="83"/>
      <c r="GT388" s="83"/>
      <c r="GU388" s="81">
        <f t="shared" si="865"/>
        <v>9000000</v>
      </c>
      <c r="GV388" s="81">
        <f t="shared" si="866"/>
        <v>8500000</v>
      </c>
      <c r="GW388" s="81">
        <f t="shared" si="867"/>
        <v>0</v>
      </c>
      <c r="GX388" s="81">
        <f t="shared" si="868"/>
        <v>0</v>
      </c>
      <c r="GY388" s="673">
        <f t="shared" si="869"/>
        <v>0</v>
      </c>
      <c r="GZ388" s="67">
        <f t="shared" si="870"/>
        <v>36000000</v>
      </c>
    </row>
    <row r="389" spans="1:208" ht="78.75" customHeight="1" x14ac:dyDescent="0.2">
      <c r="A389" s="326"/>
      <c r="B389" s="341"/>
      <c r="C389" s="279"/>
      <c r="D389" s="722"/>
      <c r="E389" s="279"/>
      <c r="F389" s="279"/>
      <c r="G389" s="265">
        <v>260</v>
      </c>
      <c r="H389" s="358" t="s">
        <v>865</v>
      </c>
      <c r="I389" s="275" t="s">
        <v>866</v>
      </c>
      <c r="J389" s="262" t="s">
        <v>822</v>
      </c>
      <c r="K389" s="415">
        <v>17</v>
      </c>
      <c r="L389" s="304" t="s">
        <v>58</v>
      </c>
      <c r="M389" s="288">
        <v>12</v>
      </c>
      <c r="N389" s="288">
        <v>12</v>
      </c>
      <c r="O389" s="259">
        <v>12</v>
      </c>
      <c r="P389" s="560">
        <v>12</v>
      </c>
      <c r="Q389" s="288">
        <v>12</v>
      </c>
      <c r="R389" s="268"/>
      <c r="S389" s="389">
        <v>12</v>
      </c>
      <c r="T389" s="288">
        <v>12</v>
      </c>
      <c r="U389" s="288"/>
      <c r="V389" s="389">
        <v>12</v>
      </c>
      <c r="W389" s="288">
        <v>12</v>
      </c>
      <c r="X389" s="304"/>
      <c r="Y389" s="631">
        <v>12</v>
      </c>
      <c r="Z389" s="390">
        <f t="shared" si="853"/>
        <v>3.8925370022930999E-3</v>
      </c>
      <c r="AA389" s="265">
        <v>13</v>
      </c>
      <c r="AB389" s="262" t="s">
        <v>155</v>
      </c>
      <c r="AC389" s="56"/>
      <c r="AD389" s="55"/>
      <c r="AE389" s="54"/>
      <c r="AF389" s="54"/>
      <c r="AG389" s="56"/>
      <c r="AH389" s="55"/>
      <c r="AI389" s="55"/>
      <c r="AJ389" s="55"/>
      <c r="AK389" s="54">
        <v>18672500</v>
      </c>
      <c r="AL389" s="54">
        <v>18672500</v>
      </c>
      <c r="AM389" s="55"/>
      <c r="AN389" s="54"/>
      <c r="AO389" s="60"/>
      <c r="AP389" s="59"/>
      <c r="AQ389" s="59"/>
      <c r="AR389" s="55"/>
      <c r="AS389" s="56"/>
      <c r="AT389" s="55"/>
      <c r="AU389" s="54"/>
      <c r="AV389" s="54"/>
      <c r="AW389" s="56"/>
      <c r="AX389" s="55"/>
      <c r="AY389" s="55"/>
      <c r="AZ389" s="55"/>
      <c r="BA389" s="56"/>
      <c r="BB389" s="55"/>
      <c r="BC389" s="55"/>
      <c r="BD389" s="55"/>
      <c r="BE389" s="56"/>
      <c r="BF389" s="55"/>
      <c r="BG389" s="54"/>
      <c r="BH389" s="54"/>
      <c r="BI389" s="56"/>
      <c r="BJ389" s="55"/>
      <c r="BK389" s="55"/>
      <c r="BL389" s="55"/>
      <c r="BM389" s="53">
        <f t="shared" si="854"/>
        <v>18672500</v>
      </c>
      <c r="BN389" s="54">
        <f t="shared" si="855"/>
        <v>18672500</v>
      </c>
      <c r="BO389" s="54">
        <f t="shared" si="856"/>
        <v>0</v>
      </c>
      <c r="BP389" s="54">
        <f t="shared" si="857"/>
        <v>0</v>
      </c>
      <c r="BQ389" s="83"/>
      <c r="BR389" s="83"/>
      <c r="BS389" s="83"/>
      <c r="BT389" s="83"/>
      <c r="BU389" s="83"/>
      <c r="BV389" s="83">
        <v>36667</v>
      </c>
      <c r="BW389" s="83"/>
      <c r="BX389" s="83"/>
      <c r="BY389" s="83"/>
      <c r="BZ389" s="84">
        <v>18000000</v>
      </c>
      <c r="CA389" s="82">
        <v>12841640</v>
      </c>
      <c r="CB389" s="82">
        <v>1500000</v>
      </c>
      <c r="CC389" s="82">
        <v>1500000</v>
      </c>
      <c r="CD389" s="82"/>
      <c r="CE389" s="83"/>
      <c r="CF389" s="83"/>
      <c r="CG389" s="83"/>
      <c r="CH389" s="83"/>
      <c r="CI389" s="83"/>
      <c r="CJ389" s="83"/>
      <c r="CK389" s="83"/>
      <c r="CL389" s="83"/>
      <c r="CM389" s="83"/>
      <c r="CN389" s="83"/>
      <c r="CO389" s="83"/>
      <c r="CP389" s="83"/>
      <c r="CQ389" s="83"/>
      <c r="CR389" s="83"/>
      <c r="CS389" s="83"/>
      <c r="CT389" s="83"/>
      <c r="CU389" s="83"/>
      <c r="CV389" s="83"/>
      <c r="CW389" s="83"/>
      <c r="CX389" s="83"/>
      <c r="CY389" s="83"/>
      <c r="CZ389" s="83"/>
      <c r="DA389" s="83"/>
      <c r="DB389" s="83"/>
      <c r="DC389" s="83"/>
      <c r="DD389" s="83"/>
      <c r="DE389" s="81">
        <f t="shared" si="858"/>
        <v>18000000</v>
      </c>
      <c r="DF389" s="95">
        <f t="shared" si="859"/>
        <v>12878307</v>
      </c>
      <c r="DG389" s="95">
        <f t="shared" si="860"/>
        <v>1500000</v>
      </c>
      <c r="DH389" s="95">
        <f t="shared" si="861"/>
        <v>1500000</v>
      </c>
      <c r="DI389" s="95"/>
      <c r="DJ389" s="65"/>
      <c r="DK389" s="65"/>
      <c r="DL389" s="84"/>
      <c r="DM389" s="84"/>
      <c r="DN389" s="84"/>
      <c r="DO389" s="84"/>
      <c r="DP389" s="84"/>
      <c r="DQ389" s="84"/>
      <c r="DR389" s="84"/>
      <c r="DS389" s="84">
        <v>18000000</v>
      </c>
      <c r="DT389" s="84">
        <v>10000000</v>
      </c>
      <c r="DU389" s="84"/>
      <c r="DV389" s="84"/>
      <c r="DW389" s="84"/>
      <c r="DX389" s="84"/>
      <c r="DY389" s="84"/>
      <c r="DZ389" s="84"/>
      <c r="EA389" s="84"/>
      <c r="EB389" s="84"/>
      <c r="EC389" s="84"/>
      <c r="ED389" s="84"/>
      <c r="EE389" s="84"/>
      <c r="EF389" s="84"/>
      <c r="EG389" s="84"/>
      <c r="EH389" s="84"/>
      <c r="EI389" s="84"/>
      <c r="EJ389" s="84"/>
      <c r="EK389" s="84"/>
      <c r="EL389" s="84"/>
      <c r="EM389" s="84"/>
      <c r="EN389" s="84"/>
      <c r="EO389" s="83"/>
      <c r="EP389" s="83"/>
      <c r="EQ389" s="83"/>
      <c r="ER389" s="83"/>
      <c r="ES389" s="83"/>
      <c r="ET389" s="83"/>
      <c r="EU389" s="83"/>
      <c r="EV389" s="83"/>
      <c r="EW389" s="81">
        <f t="shared" si="862"/>
        <v>18000000</v>
      </c>
      <c r="EX389" s="86">
        <f t="shared" si="862"/>
        <v>10000000</v>
      </c>
      <c r="EY389" s="86">
        <f t="shared" si="863"/>
        <v>0</v>
      </c>
      <c r="EZ389" s="86">
        <f t="shared" si="864"/>
        <v>0</v>
      </c>
      <c r="FA389" s="176"/>
      <c r="FB389" s="83"/>
      <c r="FC389" s="84"/>
      <c r="FD389" s="84"/>
      <c r="FE389" s="84"/>
      <c r="FF389" s="140"/>
      <c r="FG389" s="83"/>
      <c r="FH389" s="83"/>
      <c r="FI389" s="83"/>
      <c r="FJ389" s="83"/>
      <c r="FK389" s="83"/>
      <c r="FL389" s="84">
        <v>18000000</v>
      </c>
      <c r="FM389" s="83">
        <v>16387634</v>
      </c>
      <c r="FN389" s="83">
        <v>437634</v>
      </c>
      <c r="FO389" s="83"/>
      <c r="FP389" s="83"/>
      <c r="FQ389" s="83"/>
      <c r="FR389" s="83"/>
      <c r="FS389" s="83"/>
      <c r="FT389" s="83"/>
      <c r="FU389" s="83"/>
      <c r="FV389" s="83"/>
      <c r="FW389" s="83"/>
      <c r="FX389" s="83"/>
      <c r="FY389" s="83"/>
      <c r="FZ389" s="83"/>
      <c r="GA389" s="83"/>
      <c r="GB389" s="83"/>
      <c r="GC389" s="83"/>
      <c r="GD389" s="83"/>
      <c r="GE389" s="83"/>
      <c r="GF389" s="83"/>
      <c r="GG389" s="83"/>
      <c r="GH389" s="83"/>
      <c r="GI389" s="83"/>
      <c r="GJ389" s="83"/>
      <c r="GK389" s="83"/>
      <c r="GL389" s="83"/>
      <c r="GM389" s="83"/>
      <c r="GN389" s="83"/>
      <c r="GO389" s="83"/>
      <c r="GP389" s="83"/>
      <c r="GQ389" s="83"/>
      <c r="GR389" s="83"/>
      <c r="GS389" s="83"/>
      <c r="GT389" s="83"/>
      <c r="GU389" s="81">
        <f t="shared" si="865"/>
        <v>18000000</v>
      </c>
      <c r="GV389" s="81">
        <f t="shared" si="866"/>
        <v>16387634</v>
      </c>
      <c r="GW389" s="81">
        <f t="shared" si="867"/>
        <v>437634</v>
      </c>
      <c r="GX389" s="81">
        <f t="shared" si="868"/>
        <v>0</v>
      </c>
      <c r="GY389" s="673">
        <f t="shared" si="869"/>
        <v>0</v>
      </c>
      <c r="GZ389" s="67">
        <f t="shared" si="870"/>
        <v>72672500</v>
      </c>
    </row>
    <row r="390" spans="1:208" ht="54.75" customHeight="1" x14ac:dyDescent="0.2">
      <c r="A390" s="326"/>
      <c r="B390" s="341"/>
      <c r="C390" s="279"/>
      <c r="D390" s="722"/>
      <c r="E390" s="279"/>
      <c r="F390" s="279"/>
      <c r="G390" s="265">
        <v>261</v>
      </c>
      <c r="H390" s="358" t="s">
        <v>867</v>
      </c>
      <c r="I390" s="275" t="s">
        <v>868</v>
      </c>
      <c r="J390" s="262" t="s">
        <v>822</v>
      </c>
      <c r="K390" s="415">
        <v>17</v>
      </c>
      <c r="L390" s="304" t="s">
        <v>58</v>
      </c>
      <c r="M390" s="288">
        <v>1</v>
      </c>
      <c r="N390" s="288">
        <v>2</v>
      </c>
      <c r="O390" s="259">
        <v>2</v>
      </c>
      <c r="P390" s="560">
        <v>2</v>
      </c>
      <c r="Q390" s="288">
        <v>2</v>
      </c>
      <c r="R390" s="268"/>
      <c r="S390" s="389">
        <v>1.5</v>
      </c>
      <c r="T390" s="288">
        <v>2</v>
      </c>
      <c r="U390" s="288"/>
      <c r="V390" s="389">
        <v>1.5</v>
      </c>
      <c r="W390" s="288">
        <v>2</v>
      </c>
      <c r="X390" s="304"/>
      <c r="Y390" s="631">
        <v>2</v>
      </c>
      <c r="Z390" s="390">
        <f t="shared" si="853"/>
        <v>5.6702105482593287E-3</v>
      </c>
      <c r="AA390" s="265">
        <v>17</v>
      </c>
      <c r="AB390" s="262" t="s">
        <v>837</v>
      </c>
      <c r="AC390" s="56"/>
      <c r="AD390" s="55"/>
      <c r="AE390" s="54"/>
      <c r="AF390" s="54"/>
      <c r="AG390" s="56"/>
      <c r="AH390" s="55"/>
      <c r="AI390" s="55"/>
      <c r="AJ390" s="55"/>
      <c r="AK390" s="54">
        <v>27200000</v>
      </c>
      <c r="AL390" s="54">
        <v>27200000</v>
      </c>
      <c r="AM390" s="54">
        <v>20000000</v>
      </c>
      <c r="AN390" s="54">
        <v>20000000</v>
      </c>
      <c r="AO390" s="53"/>
      <c r="AP390" s="54"/>
      <c r="AQ390" s="54"/>
      <c r="AR390" s="55"/>
      <c r="AS390" s="56"/>
      <c r="AT390" s="55"/>
      <c r="AU390" s="54"/>
      <c r="AV390" s="54"/>
      <c r="AW390" s="56"/>
      <c r="AX390" s="55"/>
      <c r="AY390" s="55"/>
      <c r="AZ390" s="55"/>
      <c r="BA390" s="56"/>
      <c r="BB390" s="55"/>
      <c r="BC390" s="55"/>
      <c r="BD390" s="55"/>
      <c r="BE390" s="56"/>
      <c r="BF390" s="55"/>
      <c r="BG390" s="54"/>
      <c r="BH390" s="54"/>
      <c r="BI390" s="56"/>
      <c r="BJ390" s="55"/>
      <c r="BK390" s="55"/>
      <c r="BL390" s="55"/>
      <c r="BM390" s="53">
        <f t="shared" si="854"/>
        <v>27200000</v>
      </c>
      <c r="BN390" s="54">
        <f t="shared" si="855"/>
        <v>27200000</v>
      </c>
      <c r="BO390" s="54">
        <f t="shared" si="856"/>
        <v>20000000</v>
      </c>
      <c r="BP390" s="54">
        <f t="shared" si="857"/>
        <v>20000000</v>
      </c>
      <c r="BQ390" s="83"/>
      <c r="BR390" s="83"/>
      <c r="BS390" s="83"/>
      <c r="BT390" s="83"/>
      <c r="BU390" s="83"/>
      <c r="BV390" s="83"/>
      <c r="BW390" s="83"/>
      <c r="BX390" s="83"/>
      <c r="BY390" s="83"/>
      <c r="BZ390" s="83">
        <v>25000000</v>
      </c>
      <c r="CA390" s="82">
        <v>25000000</v>
      </c>
      <c r="CB390" s="82">
        <v>25000000</v>
      </c>
      <c r="CC390" s="82">
        <v>25000000</v>
      </c>
      <c r="CD390" s="82"/>
      <c r="CE390" s="83"/>
      <c r="CF390" s="83"/>
      <c r="CG390" s="83"/>
      <c r="CH390" s="83"/>
      <c r="CI390" s="83"/>
      <c r="CJ390" s="83"/>
      <c r="CK390" s="83"/>
      <c r="CL390" s="83"/>
      <c r="CM390" s="83"/>
      <c r="CN390" s="83"/>
      <c r="CO390" s="83"/>
      <c r="CP390" s="83"/>
      <c r="CQ390" s="83"/>
      <c r="CR390" s="83"/>
      <c r="CS390" s="83"/>
      <c r="CT390" s="83"/>
      <c r="CU390" s="83"/>
      <c r="CV390" s="83"/>
      <c r="CW390" s="83"/>
      <c r="CX390" s="83"/>
      <c r="CY390" s="83"/>
      <c r="CZ390" s="83"/>
      <c r="DA390" s="83"/>
      <c r="DB390" s="83"/>
      <c r="DC390" s="83"/>
      <c r="DD390" s="83"/>
      <c r="DE390" s="81">
        <f t="shared" si="858"/>
        <v>25000000</v>
      </c>
      <c r="DF390" s="95">
        <f t="shared" si="859"/>
        <v>25000000</v>
      </c>
      <c r="DG390" s="95">
        <f t="shared" si="860"/>
        <v>25000000</v>
      </c>
      <c r="DH390" s="95">
        <f t="shared" si="861"/>
        <v>25000000</v>
      </c>
      <c r="DI390" s="95"/>
      <c r="DJ390" s="83"/>
      <c r="DK390" s="82"/>
      <c r="DL390" s="83"/>
      <c r="DM390" s="83"/>
      <c r="DN390" s="83"/>
      <c r="DO390" s="83"/>
      <c r="DP390" s="83"/>
      <c r="DQ390" s="83"/>
      <c r="DR390" s="83"/>
      <c r="DS390" s="83">
        <v>25000000</v>
      </c>
      <c r="DT390" s="82">
        <v>69560000</v>
      </c>
      <c r="DU390" s="83">
        <v>52600000</v>
      </c>
      <c r="DV390" s="83">
        <v>52600000</v>
      </c>
      <c r="DW390" s="83"/>
      <c r="DX390" s="83"/>
      <c r="DY390" s="83"/>
      <c r="DZ390" s="83"/>
      <c r="EA390" s="83"/>
      <c r="EB390" s="83"/>
      <c r="EC390" s="83"/>
      <c r="ED390" s="83"/>
      <c r="EE390" s="83"/>
      <c r="EF390" s="83"/>
      <c r="EG390" s="83"/>
      <c r="EH390" s="83"/>
      <c r="EI390" s="83"/>
      <c r="EJ390" s="83"/>
      <c r="EK390" s="83"/>
      <c r="EL390" s="83"/>
      <c r="EM390" s="83"/>
      <c r="EN390" s="83"/>
      <c r="EO390" s="83"/>
      <c r="EP390" s="83"/>
      <c r="EQ390" s="83"/>
      <c r="ER390" s="83"/>
      <c r="ES390" s="83"/>
      <c r="ET390" s="83"/>
      <c r="EU390" s="83"/>
      <c r="EV390" s="83"/>
      <c r="EW390" s="81">
        <f t="shared" si="862"/>
        <v>25000000</v>
      </c>
      <c r="EX390" s="86">
        <f t="shared" si="862"/>
        <v>69560000</v>
      </c>
      <c r="EY390" s="86">
        <f t="shared" si="863"/>
        <v>52600000</v>
      </c>
      <c r="EZ390" s="86">
        <f t="shared" si="864"/>
        <v>52600000</v>
      </c>
      <c r="FA390" s="176"/>
      <c r="FB390" s="83"/>
      <c r="FC390" s="84"/>
      <c r="FD390" s="84"/>
      <c r="FE390" s="84"/>
      <c r="FF390" s="140"/>
      <c r="FG390" s="83"/>
      <c r="FH390" s="83">
        <v>19360000</v>
      </c>
      <c r="FI390" s="83">
        <v>17666667</v>
      </c>
      <c r="FJ390" s="83"/>
      <c r="FK390" s="83"/>
      <c r="FL390" s="83">
        <v>25000000</v>
      </c>
      <c r="FM390" s="83">
        <v>40000000</v>
      </c>
      <c r="FN390" s="83">
        <v>31800000</v>
      </c>
      <c r="FO390" s="83">
        <v>25440000</v>
      </c>
      <c r="FP390" s="83"/>
      <c r="FQ390" s="83"/>
      <c r="FR390" s="83"/>
      <c r="FS390" s="83"/>
      <c r="FT390" s="83"/>
      <c r="FU390" s="83"/>
      <c r="FV390" s="83"/>
      <c r="FW390" s="83"/>
      <c r="FX390" s="83"/>
      <c r="FY390" s="83"/>
      <c r="FZ390" s="83"/>
      <c r="GA390" s="83"/>
      <c r="GB390" s="83"/>
      <c r="GC390" s="83"/>
      <c r="GD390" s="83"/>
      <c r="GE390" s="83"/>
      <c r="GF390" s="83"/>
      <c r="GG390" s="83"/>
      <c r="GH390" s="83"/>
      <c r="GI390" s="83"/>
      <c r="GJ390" s="83"/>
      <c r="GK390" s="83"/>
      <c r="GL390" s="83"/>
      <c r="GM390" s="83"/>
      <c r="GN390" s="83"/>
      <c r="GO390" s="83"/>
      <c r="GP390" s="83"/>
      <c r="GQ390" s="83"/>
      <c r="GR390" s="83"/>
      <c r="GS390" s="83"/>
      <c r="GT390" s="83"/>
      <c r="GU390" s="81">
        <f t="shared" si="865"/>
        <v>25000000</v>
      </c>
      <c r="GV390" s="81">
        <f t="shared" si="866"/>
        <v>59360000</v>
      </c>
      <c r="GW390" s="81">
        <f t="shared" si="867"/>
        <v>49466667</v>
      </c>
      <c r="GX390" s="81">
        <f t="shared" si="868"/>
        <v>25440000</v>
      </c>
      <c r="GY390" s="673">
        <f t="shared" si="869"/>
        <v>0</v>
      </c>
      <c r="GZ390" s="67">
        <f t="shared" si="870"/>
        <v>102200000</v>
      </c>
    </row>
    <row r="391" spans="1:208" ht="78.75" customHeight="1" x14ac:dyDescent="0.2">
      <c r="A391" s="326"/>
      <c r="B391" s="341"/>
      <c r="C391" s="279"/>
      <c r="D391" s="722"/>
      <c r="E391" s="279"/>
      <c r="F391" s="279"/>
      <c r="G391" s="265">
        <v>262</v>
      </c>
      <c r="H391" s="358" t="s">
        <v>869</v>
      </c>
      <c r="I391" s="275" t="s">
        <v>870</v>
      </c>
      <c r="J391" s="262" t="s">
        <v>822</v>
      </c>
      <c r="K391" s="415">
        <v>17</v>
      </c>
      <c r="L391" s="304" t="s">
        <v>58</v>
      </c>
      <c r="M391" s="288">
        <v>1</v>
      </c>
      <c r="N391" s="288">
        <v>1</v>
      </c>
      <c r="O391" s="259">
        <v>1</v>
      </c>
      <c r="P391" s="560">
        <f>BP391/BM391</f>
        <v>0</v>
      </c>
      <c r="Q391" s="288">
        <v>1</v>
      </c>
      <c r="R391" s="268"/>
      <c r="S391" s="389">
        <v>1</v>
      </c>
      <c r="T391" s="288">
        <v>1</v>
      </c>
      <c r="U391" s="288"/>
      <c r="V391" s="389">
        <v>0.92</v>
      </c>
      <c r="W391" s="288">
        <v>1</v>
      </c>
      <c r="X391" s="304"/>
      <c r="Y391" s="631">
        <v>0.42</v>
      </c>
      <c r="Z391" s="390">
        <f t="shared" si="853"/>
        <v>0.10944340212632896</v>
      </c>
      <c r="AA391" s="265">
        <v>17</v>
      </c>
      <c r="AB391" s="262" t="s">
        <v>837</v>
      </c>
      <c r="AC391" s="56"/>
      <c r="AD391" s="55"/>
      <c r="AE391" s="54"/>
      <c r="AF391" s="54"/>
      <c r="AG391" s="56"/>
      <c r="AH391" s="55"/>
      <c r="AI391" s="55"/>
      <c r="AJ391" s="55"/>
      <c r="AK391" s="55">
        <v>25000000</v>
      </c>
      <c r="AL391" s="55">
        <v>100000000</v>
      </c>
      <c r="AM391" s="55"/>
      <c r="AN391" s="55"/>
      <c r="AO391" s="64"/>
      <c r="AP391" s="63"/>
      <c r="AQ391" s="63"/>
      <c r="AR391" s="55"/>
      <c r="AS391" s="56"/>
      <c r="AT391" s="55"/>
      <c r="AU391" s="54"/>
      <c r="AV391" s="54"/>
      <c r="AW391" s="56"/>
      <c r="AX391" s="55"/>
      <c r="AY391" s="55"/>
      <c r="AZ391" s="55"/>
      <c r="BA391" s="56"/>
      <c r="BB391" s="55"/>
      <c r="BC391" s="55"/>
      <c r="BD391" s="55"/>
      <c r="BE391" s="56"/>
      <c r="BF391" s="55"/>
      <c r="BG391" s="54"/>
      <c r="BH391" s="54"/>
      <c r="BI391" s="56">
        <v>500000000</v>
      </c>
      <c r="BJ391" s="55"/>
      <c r="BK391" s="55"/>
      <c r="BL391" s="55"/>
      <c r="BM391" s="53">
        <f t="shared" si="854"/>
        <v>525000000</v>
      </c>
      <c r="BN391" s="54">
        <f t="shared" si="855"/>
        <v>100000000</v>
      </c>
      <c r="BO391" s="54">
        <f t="shared" si="856"/>
        <v>0</v>
      </c>
      <c r="BP391" s="54">
        <f t="shared" si="857"/>
        <v>0</v>
      </c>
      <c r="BQ391" s="83"/>
      <c r="BR391" s="83"/>
      <c r="BS391" s="83"/>
      <c r="BT391" s="83"/>
      <c r="BU391" s="83"/>
      <c r="BV391" s="83"/>
      <c r="BW391" s="83"/>
      <c r="BX391" s="83"/>
      <c r="BY391" s="83"/>
      <c r="BZ391" s="83">
        <v>25000000</v>
      </c>
      <c r="CA391" s="82">
        <v>25000000</v>
      </c>
      <c r="CB391" s="82">
        <v>24710000</v>
      </c>
      <c r="CC391" s="82">
        <v>24710000</v>
      </c>
      <c r="CD391" s="82"/>
      <c r="CE391" s="83"/>
      <c r="CF391" s="83"/>
      <c r="CG391" s="83"/>
      <c r="CH391" s="83"/>
      <c r="CI391" s="83"/>
      <c r="CJ391" s="83"/>
      <c r="CK391" s="83"/>
      <c r="CL391" s="83"/>
      <c r="CM391" s="83"/>
      <c r="CN391" s="83"/>
      <c r="CO391" s="83"/>
      <c r="CP391" s="83"/>
      <c r="CQ391" s="83"/>
      <c r="CR391" s="83"/>
      <c r="CS391" s="83"/>
      <c r="CT391" s="83"/>
      <c r="CU391" s="83"/>
      <c r="CV391" s="83"/>
      <c r="CW391" s="83"/>
      <c r="CX391" s="83"/>
      <c r="CY391" s="83"/>
      <c r="CZ391" s="83"/>
      <c r="DA391" s="83">
        <v>500000000</v>
      </c>
      <c r="DB391" s="83"/>
      <c r="DC391" s="83"/>
      <c r="DD391" s="83"/>
      <c r="DE391" s="81">
        <f t="shared" si="858"/>
        <v>525000000</v>
      </c>
      <c r="DF391" s="95">
        <f t="shared" si="859"/>
        <v>25000000</v>
      </c>
      <c r="DG391" s="95">
        <f t="shared" si="860"/>
        <v>24710000</v>
      </c>
      <c r="DH391" s="95">
        <f t="shared" si="861"/>
        <v>24710000</v>
      </c>
      <c r="DI391" s="95"/>
      <c r="DJ391" s="83"/>
      <c r="DK391" s="82"/>
      <c r="DL391" s="83"/>
      <c r="DM391" s="83"/>
      <c r="DN391" s="83"/>
      <c r="DO391" s="83">
        <v>87000000</v>
      </c>
      <c r="DP391" s="83">
        <v>85679566</v>
      </c>
      <c r="DQ391" s="83">
        <v>62152800</v>
      </c>
      <c r="DR391" s="83"/>
      <c r="DS391" s="83">
        <v>25000000</v>
      </c>
      <c r="DT391" s="83">
        <v>30000000</v>
      </c>
      <c r="DU391" s="83">
        <v>29937319</v>
      </c>
      <c r="DV391" s="83">
        <v>28855769</v>
      </c>
      <c r="DW391" s="83"/>
      <c r="DX391" s="83"/>
      <c r="DY391" s="83"/>
      <c r="DZ391" s="83"/>
      <c r="EA391" s="83"/>
      <c r="EB391" s="83"/>
      <c r="EC391" s="83"/>
      <c r="ED391" s="83"/>
      <c r="EE391" s="83"/>
      <c r="EF391" s="83"/>
      <c r="EG391" s="83"/>
      <c r="EH391" s="83"/>
      <c r="EI391" s="83"/>
      <c r="EJ391" s="83"/>
      <c r="EK391" s="83"/>
      <c r="EL391" s="83"/>
      <c r="EM391" s="83"/>
      <c r="EN391" s="83"/>
      <c r="EO391" s="83"/>
      <c r="EP391" s="83"/>
      <c r="EQ391" s="83"/>
      <c r="ER391" s="83"/>
      <c r="ES391" s="83">
        <v>500000000</v>
      </c>
      <c r="ET391" s="83"/>
      <c r="EU391" s="83"/>
      <c r="EV391" s="83"/>
      <c r="EW391" s="81">
        <f t="shared" si="862"/>
        <v>525000000</v>
      </c>
      <c r="EX391" s="86">
        <f t="shared" si="862"/>
        <v>117000000</v>
      </c>
      <c r="EY391" s="86">
        <f t="shared" si="863"/>
        <v>115616885</v>
      </c>
      <c r="EZ391" s="86">
        <f t="shared" si="864"/>
        <v>91008569</v>
      </c>
      <c r="FA391" s="176"/>
      <c r="FB391" s="83"/>
      <c r="FC391" s="84"/>
      <c r="FD391" s="84"/>
      <c r="FE391" s="84"/>
      <c r="FF391" s="140"/>
      <c r="FG391" s="83"/>
      <c r="FH391" s="83">
        <v>40250000</v>
      </c>
      <c r="FI391" s="83"/>
      <c r="FJ391" s="83"/>
      <c r="FK391" s="83">
        <v>23526766</v>
      </c>
      <c r="FL391" s="83">
        <v>25000000</v>
      </c>
      <c r="FM391" s="83">
        <v>42350000</v>
      </c>
      <c r="FN391" s="83">
        <v>17915000</v>
      </c>
      <c r="FO391" s="83">
        <v>17915000</v>
      </c>
      <c r="FP391" s="83"/>
      <c r="FQ391" s="83"/>
      <c r="FR391" s="83"/>
      <c r="FS391" s="83"/>
      <c r="FT391" s="83"/>
      <c r="FU391" s="83"/>
      <c r="FV391" s="83"/>
      <c r="FW391" s="83"/>
      <c r="FX391" s="83"/>
      <c r="FY391" s="83"/>
      <c r="FZ391" s="83"/>
      <c r="GA391" s="83"/>
      <c r="GB391" s="83"/>
      <c r="GC391" s="83"/>
      <c r="GD391" s="83"/>
      <c r="GE391" s="83"/>
      <c r="GF391" s="83"/>
      <c r="GG391" s="83"/>
      <c r="GH391" s="83"/>
      <c r="GI391" s="83"/>
      <c r="GJ391" s="83"/>
      <c r="GK391" s="83"/>
      <c r="GL391" s="83"/>
      <c r="GM391" s="83"/>
      <c r="GN391" s="83"/>
      <c r="GO391" s="83"/>
      <c r="GP391" s="83">
        <v>500000000</v>
      </c>
      <c r="GQ391" s="83"/>
      <c r="GR391" s="83"/>
      <c r="GS391" s="83"/>
      <c r="GT391" s="83"/>
      <c r="GU391" s="81">
        <f t="shared" si="865"/>
        <v>525000000</v>
      </c>
      <c r="GV391" s="81">
        <f t="shared" si="866"/>
        <v>82600000</v>
      </c>
      <c r="GW391" s="81">
        <f t="shared" si="867"/>
        <v>17915000</v>
      </c>
      <c r="GX391" s="81">
        <f t="shared" si="868"/>
        <v>17915000</v>
      </c>
      <c r="GY391" s="673">
        <f t="shared" si="869"/>
        <v>23526766</v>
      </c>
      <c r="GZ391" s="67">
        <f t="shared" si="870"/>
        <v>2100000000</v>
      </c>
    </row>
    <row r="392" spans="1:208" ht="54.75" customHeight="1" x14ac:dyDescent="0.2">
      <c r="A392" s="326"/>
      <c r="B392" s="341"/>
      <c r="C392" s="279"/>
      <c r="D392" s="722"/>
      <c r="E392" s="279"/>
      <c r="F392" s="279"/>
      <c r="G392" s="265">
        <v>263</v>
      </c>
      <c r="H392" s="358" t="s">
        <v>871</v>
      </c>
      <c r="I392" s="275" t="s">
        <v>872</v>
      </c>
      <c r="J392" s="262" t="s">
        <v>822</v>
      </c>
      <c r="K392" s="415">
        <v>17</v>
      </c>
      <c r="L392" s="304" t="s">
        <v>58</v>
      </c>
      <c r="M392" s="288">
        <v>1</v>
      </c>
      <c r="N392" s="288">
        <v>1</v>
      </c>
      <c r="O392" s="259">
        <v>1</v>
      </c>
      <c r="P392" s="567">
        <v>0.6</v>
      </c>
      <c r="Q392" s="288">
        <v>1</v>
      </c>
      <c r="R392" s="268"/>
      <c r="S392" s="387">
        <v>1</v>
      </c>
      <c r="T392" s="288">
        <v>1</v>
      </c>
      <c r="U392" s="288"/>
      <c r="V392" s="389">
        <v>1</v>
      </c>
      <c r="W392" s="288">
        <v>1</v>
      </c>
      <c r="X392" s="304"/>
      <c r="Y392" s="631"/>
      <c r="Z392" s="390">
        <f t="shared" si="853"/>
        <v>1.2486971023556389E-2</v>
      </c>
      <c r="AA392" s="265">
        <v>17</v>
      </c>
      <c r="AB392" s="262" t="s">
        <v>837</v>
      </c>
      <c r="AC392" s="56"/>
      <c r="AD392" s="55"/>
      <c r="AE392" s="54"/>
      <c r="AF392" s="54"/>
      <c r="AG392" s="56"/>
      <c r="AH392" s="55"/>
      <c r="AI392" s="55"/>
      <c r="AJ392" s="55"/>
      <c r="AK392" s="55">
        <v>59900000</v>
      </c>
      <c r="AL392" s="54">
        <v>59900000</v>
      </c>
      <c r="AM392" s="55">
        <v>6400000</v>
      </c>
      <c r="AN392" s="55">
        <v>6400000</v>
      </c>
      <c r="AO392" s="64"/>
      <c r="AP392" s="63"/>
      <c r="AQ392" s="63"/>
      <c r="AR392" s="55"/>
      <c r="AS392" s="56"/>
      <c r="AT392" s="55"/>
      <c r="AU392" s="54"/>
      <c r="AV392" s="54"/>
      <c r="AW392" s="56"/>
      <c r="AX392" s="55"/>
      <c r="AY392" s="55"/>
      <c r="AZ392" s="55"/>
      <c r="BA392" s="56"/>
      <c r="BB392" s="55"/>
      <c r="BC392" s="55"/>
      <c r="BD392" s="55"/>
      <c r="BE392" s="56"/>
      <c r="BF392" s="55"/>
      <c r="BG392" s="54"/>
      <c r="BH392" s="54"/>
      <c r="BI392" s="56"/>
      <c r="BJ392" s="55"/>
      <c r="BK392" s="55"/>
      <c r="BL392" s="55"/>
      <c r="BM392" s="53">
        <f t="shared" si="854"/>
        <v>59900000</v>
      </c>
      <c r="BN392" s="54">
        <f t="shared" si="855"/>
        <v>59900000</v>
      </c>
      <c r="BO392" s="54">
        <f t="shared" si="856"/>
        <v>6400000</v>
      </c>
      <c r="BP392" s="54">
        <f t="shared" si="857"/>
        <v>6400000</v>
      </c>
      <c r="BQ392" s="83"/>
      <c r="BR392" s="83"/>
      <c r="BS392" s="83"/>
      <c r="BT392" s="83"/>
      <c r="BU392" s="83"/>
      <c r="BV392" s="83">
        <v>30000000</v>
      </c>
      <c r="BW392" s="83">
        <v>30000000</v>
      </c>
      <c r="BX392" s="83">
        <v>30000000</v>
      </c>
      <c r="BY392" s="83"/>
      <c r="BZ392" s="84">
        <v>35000000</v>
      </c>
      <c r="CA392" s="82">
        <v>56500000</v>
      </c>
      <c r="CB392" s="82">
        <v>54568477</v>
      </c>
      <c r="CC392" s="82">
        <v>54568477</v>
      </c>
      <c r="CD392" s="82"/>
      <c r="CE392" s="83"/>
      <c r="CF392" s="83"/>
      <c r="CG392" s="83"/>
      <c r="CH392" s="83"/>
      <c r="CI392" s="83"/>
      <c r="CJ392" s="83"/>
      <c r="CK392" s="83"/>
      <c r="CL392" s="83"/>
      <c r="CM392" s="83"/>
      <c r="CN392" s="83"/>
      <c r="CO392" s="83"/>
      <c r="CP392" s="83"/>
      <c r="CQ392" s="83"/>
      <c r="CR392" s="83"/>
      <c r="CS392" s="83"/>
      <c r="CT392" s="83"/>
      <c r="CU392" s="83"/>
      <c r="CV392" s="83"/>
      <c r="CW392" s="83"/>
      <c r="CX392" s="83"/>
      <c r="CY392" s="83"/>
      <c r="CZ392" s="83"/>
      <c r="DA392" s="83">
        <v>400000000</v>
      </c>
      <c r="DB392" s="83"/>
      <c r="DC392" s="83"/>
      <c r="DD392" s="83"/>
      <c r="DE392" s="81">
        <f t="shared" si="858"/>
        <v>435000000</v>
      </c>
      <c r="DF392" s="95">
        <f t="shared" si="859"/>
        <v>86500000</v>
      </c>
      <c r="DG392" s="95">
        <f t="shared" si="860"/>
        <v>84568477</v>
      </c>
      <c r="DH392" s="95">
        <f t="shared" si="861"/>
        <v>84568477</v>
      </c>
      <c r="DI392" s="95"/>
      <c r="DJ392" s="84"/>
      <c r="DK392" s="65"/>
      <c r="DL392" s="84"/>
      <c r="DM392" s="84"/>
      <c r="DN392" s="84"/>
      <c r="DO392" s="84">
        <v>40000000</v>
      </c>
      <c r="DP392" s="84">
        <v>40000000</v>
      </c>
      <c r="DQ392" s="84">
        <v>40000000</v>
      </c>
      <c r="DR392" s="84"/>
      <c r="DS392" s="84">
        <v>35000000</v>
      </c>
      <c r="DT392" s="65">
        <v>57520000</v>
      </c>
      <c r="DU392" s="84">
        <v>36460710</v>
      </c>
      <c r="DV392" s="84">
        <v>36460710</v>
      </c>
      <c r="DW392" s="84"/>
      <c r="DX392" s="84"/>
      <c r="DY392" s="84"/>
      <c r="DZ392" s="84"/>
      <c r="EA392" s="84"/>
      <c r="EB392" s="84"/>
      <c r="EC392" s="84"/>
      <c r="ED392" s="84"/>
      <c r="EE392" s="84"/>
      <c r="EF392" s="84"/>
      <c r="EG392" s="84"/>
      <c r="EH392" s="84"/>
      <c r="EI392" s="84"/>
      <c r="EJ392" s="84"/>
      <c r="EK392" s="84"/>
      <c r="EL392" s="84"/>
      <c r="EM392" s="84"/>
      <c r="EN392" s="84"/>
      <c r="EO392" s="83"/>
      <c r="EP392" s="83"/>
      <c r="EQ392" s="83"/>
      <c r="ER392" s="83"/>
      <c r="ES392" s="83">
        <v>400000000</v>
      </c>
      <c r="ET392" s="83"/>
      <c r="EU392" s="83"/>
      <c r="EV392" s="83"/>
      <c r="EW392" s="81">
        <f t="shared" si="862"/>
        <v>435000000</v>
      </c>
      <c r="EX392" s="86">
        <f t="shared" si="862"/>
        <v>97520000</v>
      </c>
      <c r="EY392" s="86">
        <f t="shared" si="863"/>
        <v>76460710</v>
      </c>
      <c r="EZ392" s="86">
        <f t="shared" si="864"/>
        <v>76460710</v>
      </c>
      <c r="FA392" s="176"/>
      <c r="FB392" s="83"/>
      <c r="FC392" s="84"/>
      <c r="FD392" s="84"/>
      <c r="FE392" s="84"/>
      <c r="FF392" s="140"/>
      <c r="FG392" s="83"/>
      <c r="FH392" s="83"/>
      <c r="FI392" s="83"/>
      <c r="FJ392" s="83"/>
      <c r="FK392" s="83"/>
      <c r="FL392" s="84">
        <v>35000000</v>
      </c>
      <c r="FM392" s="83">
        <v>80000000</v>
      </c>
      <c r="FN392" s="83"/>
      <c r="FO392" s="83"/>
      <c r="FP392" s="83"/>
      <c r="FQ392" s="83"/>
      <c r="FR392" s="83"/>
      <c r="FS392" s="83"/>
      <c r="FT392" s="83"/>
      <c r="FU392" s="83"/>
      <c r="FV392" s="83"/>
      <c r="FW392" s="83"/>
      <c r="FX392" s="83"/>
      <c r="FY392" s="83"/>
      <c r="FZ392" s="83"/>
      <c r="GA392" s="83"/>
      <c r="GB392" s="83"/>
      <c r="GC392" s="83"/>
      <c r="GD392" s="83"/>
      <c r="GE392" s="83"/>
      <c r="GF392" s="83"/>
      <c r="GG392" s="83"/>
      <c r="GH392" s="83"/>
      <c r="GI392" s="83"/>
      <c r="GJ392" s="83"/>
      <c r="GK392" s="83"/>
      <c r="GL392" s="83"/>
      <c r="GM392" s="83"/>
      <c r="GN392" s="83"/>
      <c r="GO392" s="83"/>
      <c r="GP392" s="83">
        <v>400000000</v>
      </c>
      <c r="GQ392" s="83"/>
      <c r="GR392" s="83"/>
      <c r="GS392" s="83"/>
      <c r="GT392" s="83"/>
      <c r="GU392" s="81">
        <f t="shared" si="865"/>
        <v>435000000</v>
      </c>
      <c r="GV392" s="81">
        <f t="shared" si="866"/>
        <v>80000000</v>
      </c>
      <c r="GW392" s="81">
        <f t="shared" si="867"/>
        <v>0</v>
      </c>
      <c r="GX392" s="81">
        <f t="shared" si="868"/>
        <v>0</v>
      </c>
      <c r="GY392" s="673">
        <f t="shared" si="869"/>
        <v>0</v>
      </c>
      <c r="GZ392" s="67">
        <f t="shared" si="870"/>
        <v>1364900000</v>
      </c>
    </row>
    <row r="393" spans="1:208" ht="75" customHeight="1" x14ac:dyDescent="0.2">
      <c r="A393" s="326"/>
      <c r="B393" s="341"/>
      <c r="C393" s="279"/>
      <c r="D393" s="722"/>
      <c r="E393" s="279"/>
      <c r="F393" s="279"/>
      <c r="G393" s="265">
        <v>264</v>
      </c>
      <c r="H393" s="358" t="s">
        <v>873</v>
      </c>
      <c r="I393" s="275" t="s">
        <v>874</v>
      </c>
      <c r="J393" s="262" t="s">
        <v>822</v>
      </c>
      <c r="K393" s="415">
        <v>17</v>
      </c>
      <c r="L393" s="304" t="s">
        <v>58</v>
      </c>
      <c r="M393" s="288">
        <v>0</v>
      </c>
      <c r="N393" s="288">
        <v>1</v>
      </c>
      <c r="O393" s="259">
        <v>1</v>
      </c>
      <c r="P393" s="560">
        <v>1</v>
      </c>
      <c r="Q393" s="288">
        <v>1</v>
      </c>
      <c r="R393" s="268"/>
      <c r="S393" s="389">
        <v>1</v>
      </c>
      <c r="T393" s="288">
        <v>1</v>
      </c>
      <c r="U393" s="288"/>
      <c r="V393" s="389">
        <v>0.85</v>
      </c>
      <c r="W393" s="288">
        <v>1</v>
      </c>
      <c r="X393" s="304"/>
      <c r="Y393" s="631">
        <v>0.5</v>
      </c>
      <c r="Z393" s="390">
        <f t="shared" si="853"/>
        <v>0.10944340212632896</v>
      </c>
      <c r="AA393" s="265">
        <v>17</v>
      </c>
      <c r="AB393" s="262" t="s">
        <v>837</v>
      </c>
      <c r="AC393" s="56"/>
      <c r="AD393" s="55"/>
      <c r="AE393" s="54"/>
      <c r="AF393" s="54"/>
      <c r="AG393" s="56"/>
      <c r="AH393" s="55"/>
      <c r="AI393" s="55"/>
      <c r="AJ393" s="55"/>
      <c r="AK393" s="1003">
        <v>25000000</v>
      </c>
      <c r="AL393" s="55">
        <v>100000000</v>
      </c>
      <c r="AM393" s="55">
        <v>67800000</v>
      </c>
      <c r="AN393" s="55">
        <v>63800000</v>
      </c>
      <c r="AO393" s="1003"/>
      <c r="AP393" s="55"/>
      <c r="AQ393" s="55"/>
      <c r="AR393" s="55"/>
      <c r="AS393" s="56"/>
      <c r="AT393" s="55"/>
      <c r="AU393" s="54"/>
      <c r="AV393" s="54"/>
      <c r="AW393" s="56"/>
      <c r="AX393" s="55"/>
      <c r="AY393" s="55"/>
      <c r="AZ393" s="55"/>
      <c r="BA393" s="56"/>
      <c r="BB393" s="55"/>
      <c r="BC393" s="55"/>
      <c r="BD393" s="55"/>
      <c r="BE393" s="56"/>
      <c r="BF393" s="55"/>
      <c r="BG393" s="54"/>
      <c r="BH393" s="54"/>
      <c r="BI393" s="56">
        <v>500000000</v>
      </c>
      <c r="BJ393" s="55"/>
      <c r="BK393" s="55"/>
      <c r="BL393" s="55"/>
      <c r="BM393" s="53">
        <f t="shared" si="854"/>
        <v>525000000</v>
      </c>
      <c r="BN393" s="54">
        <f t="shared" si="855"/>
        <v>100000000</v>
      </c>
      <c r="BO393" s="54">
        <f t="shared" si="856"/>
        <v>67800000</v>
      </c>
      <c r="BP393" s="54">
        <f t="shared" si="857"/>
        <v>63800000</v>
      </c>
      <c r="BQ393" s="83"/>
      <c r="BR393" s="83"/>
      <c r="BS393" s="83"/>
      <c r="BT393" s="83"/>
      <c r="BU393" s="83"/>
      <c r="BV393" s="83">
        <v>40000000</v>
      </c>
      <c r="BW393" s="83">
        <v>40000000</v>
      </c>
      <c r="BX393" s="83">
        <v>40000000</v>
      </c>
      <c r="BY393" s="83"/>
      <c r="BZ393" s="84">
        <v>25000000</v>
      </c>
      <c r="CA393" s="82">
        <v>175000000</v>
      </c>
      <c r="CB393" s="82">
        <v>174444749.22999999</v>
      </c>
      <c r="CC393" s="82">
        <v>174444749.22999999</v>
      </c>
      <c r="CD393" s="82"/>
      <c r="CE393" s="83"/>
      <c r="CF393" s="83"/>
      <c r="CG393" s="83"/>
      <c r="CH393" s="83"/>
      <c r="CI393" s="83"/>
      <c r="CJ393" s="83"/>
      <c r="CK393" s="83"/>
      <c r="CL393" s="83"/>
      <c r="CM393" s="83"/>
      <c r="CN393" s="83"/>
      <c r="CO393" s="83"/>
      <c r="CP393" s="83"/>
      <c r="CQ393" s="83"/>
      <c r="CR393" s="83"/>
      <c r="CS393" s="83"/>
      <c r="CT393" s="83"/>
      <c r="CU393" s="83"/>
      <c r="CV393" s="83"/>
      <c r="CW393" s="83"/>
      <c r="CX393" s="83"/>
      <c r="CY393" s="83"/>
      <c r="CZ393" s="83"/>
      <c r="DA393" s="83">
        <v>300000000</v>
      </c>
      <c r="DB393" s="83"/>
      <c r="DC393" s="83"/>
      <c r="DD393" s="83"/>
      <c r="DE393" s="81">
        <f t="shared" si="858"/>
        <v>325000000</v>
      </c>
      <c r="DF393" s="95">
        <f t="shared" si="859"/>
        <v>215000000</v>
      </c>
      <c r="DG393" s="95">
        <f t="shared" si="860"/>
        <v>214444749.22999999</v>
      </c>
      <c r="DH393" s="95">
        <f t="shared" si="861"/>
        <v>214444749.22999999</v>
      </c>
      <c r="DI393" s="95"/>
      <c r="DJ393" s="84"/>
      <c r="DK393" s="65"/>
      <c r="DL393" s="84"/>
      <c r="DM393" s="84"/>
      <c r="DN393" s="84"/>
      <c r="DO393" s="84">
        <v>100000000</v>
      </c>
      <c r="DP393" s="84">
        <v>46433332</v>
      </c>
      <c r="DQ393" s="84">
        <v>46433332</v>
      </c>
      <c r="DR393" s="84"/>
      <c r="DS393" s="84">
        <v>25000000</v>
      </c>
      <c r="DT393" s="65">
        <v>50000000</v>
      </c>
      <c r="DU393" s="84">
        <v>47376000</v>
      </c>
      <c r="DV393" s="84">
        <v>47376000</v>
      </c>
      <c r="DW393" s="84"/>
      <c r="DX393" s="84"/>
      <c r="DY393" s="84"/>
      <c r="DZ393" s="84"/>
      <c r="EA393" s="84"/>
      <c r="EB393" s="84"/>
      <c r="EC393" s="84"/>
      <c r="ED393" s="84"/>
      <c r="EE393" s="84"/>
      <c r="EF393" s="84"/>
      <c r="EG393" s="84"/>
      <c r="EH393" s="84"/>
      <c r="EI393" s="84"/>
      <c r="EJ393" s="84"/>
      <c r="EK393" s="84"/>
      <c r="EL393" s="84"/>
      <c r="EM393" s="84"/>
      <c r="EN393" s="84"/>
      <c r="EO393" s="83"/>
      <c r="EP393" s="83"/>
      <c r="EQ393" s="83"/>
      <c r="ER393" s="83"/>
      <c r="ES393" s="83">
        <v>300000000</v>
      </c>
      <c r="ET393" s="83"/>
      <c r="EU393" s="83"/>
      <c r="EV393" s="83"/>
      <c r="EW393" s="81">
        <f t="shared" si="862"/>
        <v>325000000</v>
      </c>
      <c r="EX393" s="86">
        <f t="shared" si="862"/>
        <v>150000000</v>
      </c>
      <c r="EY393" s="86">
        <f t="shared" si="863"/>
        <v>93809332</v>
      </c>
      <c r="EZ393" s="86">
        <f t="shared" si="864"/>
        <v>93809332</v>
      </c>
      <c r="FA393" s="176"/>
      <c r="FB393" s="83"/>
      <c r="FC393" s="84"/>
      <c r="FD393" s="84"/>
      <c r="FE393" s="84"/>
      <c r="FF393" s="140"/>
      <c r="FG393" s="83"/>
      <c r="FH393" s="83"/>
      <c r="FI393" s="83"/>
      <c r="FJ393" s="83"/>
      <c r="FK393" s="83"/>
      <c r="FL393" s="84">
        <v>25000000</v>
      </c>
      <c r="FM393" s="83">
        <v>37650000</v>
      </c>
      <c r="FN393" s="83"/>
      <c r="FO393" s="83"/>
      <c r="FP393" s="83"/>
      <c r="FQ393" s="83"/>
      <c r="FR393" s="83"/>
      <c r="FS393" s="83"/>
      <c r="FT393" s="83"/>
      <c r="FU393" s="83"/>
      <c r="FV393" s="83"/>
      <c r="FW393" s="83"/>
      <c r="FX393" s="83"/>
      <c r="FY393" s="83"/>
      <c r="FZ393" s="83"/>
      <c r="GA393" s="83"/>
      <c r="GB393" s="83"/>
      <c r="GC393" s="83"/>
      <c r="GD393" s="83"/>
      <c r="GE393" s="83"/>
      <c r="GF393" s="83"/>
      <c r="GG393" s="83"/>
      <c r="GH393" s="83"/>
      <c r="GI393" s="83"/>
      <c r="GJ393" s="83"/>
      <c r="GK393" s="83"/>
      <c r="GL393" s="83"/>
      <c r="GM393" s="83"/>
      <c r="GN393" s="83"/>
      <c r="GO393" s="83"/>
      <c r="GP393" s="83">
        <v>300000000</v>
      </c>
      <c r="GQ393" s="83"/>
      <c r="GR393" s="83"/>
      <c r="GS393" s="83"/>
      <c r="GT393" s="83"/>
      <c r="GU393" s="81">
        <f t="shared" si="865"/>
        <v>325000000</v>
      </c>
      <c r="GV393" s="81">
        <f t="shared" si="866"/>
        <v>37650000</v>
      </c>
      <c r="GW393" s="81">
        <f t="shared" si="867"/>
        <v>0</v>
      </c>
      <c r="GX393" s="81">
        <f t="shared" si="868"/>
        <v>0</v>
      </c>
      <c r="GY393" s="673">
        <f t="shared" si="869"/>
        <v>0</v>
      </c>
      <c r="GZ393" s="67">
        <f t="shared" si="870"/>
        <v>1500000000</v>
      </c>
    </row>
    <row r="394" spans="1:208" ht="102.75" customHeight="1" x14ac:dyDescent="0.2">
      <c r="A394" s="326"/>
      <c r="B394" s="341"/>
      <c r="C394" s="279"/>
      <c r="D394" s="722"/>
      <c r="E394" s="279"/>
      <c r="F394" s="279"/>
      <c r="G394" s="265">
        <v>265</v>
      </c>
      <c r="H394" s="261" t="s">
        <v>875</v>
      </c>
      <c r="I394" s="258" t="s">
        <v>876</v>
      </c>
      <c r="J394" s="262" t="s">
        <v>125</v>
      </c>
      <c r="K394" s="262">
        <v>13</v>
      </c>
      <c r="L394" s="263" t="s">
        <v>58</v>
      </c>
      <c r="M394" s="264">
        <v>0</v>
      </c>
      <c r="N394" s="264">
        <v>1</v>
      </c>
      <c r="O394" s="265">
        <v>1</v>
      </c>
      <c r="P394" s="560">
        <v>1</v>
      </c>
      <c r="Q394" s="264">
        <v>1</v>
      </c>
      <c r="R394" s="268"/>
      <c r="S394" s="389">
        <v>1</v>
      </c>
      <c r="T394" s="264">
        <v>1</v>
      </c>
      <c r="U394" s="264"/>
      <c r="V394" s="270">
        <v>0.8</v>
      </c>
      <c r="W394" s="264">
        <v>1</v>
      </c>
      <c r="X394" s="263"/>
      <c r="Y394" s="271">
        <v>0.57999999999999996</v>
      </c>
      <c r="Z394" s="390">
        <f t="shared" si="853"/>
        <v>0.15810923493850323</v>
      </c>
      <c r="AA394" s="265">
        <v>17</v>
      </c>
      <c r="AB394" s="262" t="s">
        <v>837</v>
      </c>
      <c r="AC394" s="56"/>
      <c r="AD394" s="55"/>
      <c r="AE394" s="54"/>
      <c r="AF394" s="54"/>
      <c r="AG394" s="56"/>
      <c r="AH394" s="55"/>
      <c r="AI394" s="55"/>
      <c r="AJ394" s="55"/>
      <c r="AK394" s="55">
        <v>161450000</v>
      </c>
      <c r="AL394" s="55">
        <v>291450000</v>
      </c>
      <c r="AM394" s="55">
        <v>171449999</v>
      </c>
      <c r="AN394" s="55">
        <v>171449999</v>
      </c>
      <c r="AO394" s="64"/>
      <c r="AP394" s="63"/>
      <c r="AQ394" s="63"/>
      <c r="AR394" s="55"/>
      <c r="AS394" s="56"/>
      <c r="AT394" s="55"/>
      <c r="AU394" s="54"/>
      <c r="AV394" s="54"/>
      <c r="AW394" s="56"/>
      <c r="AX394" s="55"/>
      <c r="AY394" s="55"/>
      <c r="AZ394" s="55"/>
      <c r="BA394" s="56"/>
      <c r="BB394" s="55"/>
      <c r="BC394" s="55"/>
      <c r="BD394" s="55"/>
      <c r="BE394" s="56"/>
      <c r="BF394" s="55"/>
      <c r="BG394" s="54"/>
      <c r="BH394" s="54"/>
      <c r="BI394" s="56">
        <v>597000000</v>
      </c>
      <c r="BJ394" s="55"/>
      <c r="BK394" s="55"/>
      <c r="BL394" s="55"/>
      <c r="BM394" s="53">
        <f t="shared" si="854"/>
        <v>758450000</v>
      </c>
      <c r="BN394" s="54">
        <f t="shared" si="855"/>
        <v>291450000</v>
      </c>
      <c r="BO394" s="54">
        <f t="shared" si="856"/>
        <v>171449999</v>
      </c>
      <c r="BP394" s="54">
        <f t="shared" si="857"/>
        <v>171449999</v>
      </c>
      <c r="BQ394" s="83"/>
      <c r="BR394" s="83"/>
      <c r="BS394" s="83"/>
      <c r="BT394" s="83"/>
      <c r="BU394" s="83"/>
      <c r="BV394" s="83">
        <v>45000000</v>
      </c>
      <c r="BW394" s="83">
        <v>45000000</v>
      </c>
      <c r="BX394" s="83">
        <v>45000000</v>
      </c>
      <c r="BY394" s="83"/>
      <c r="BZ394" s="65">
        <v>100000000</v>
      </c>
      <c r="CA394" s="82">
        <v>600000000</v>
      </c>
      <c r="CB394" s="82">
        <v>505120319</v>
      </c>
      <c r="CC394" s="82">
        <v>305120319</v>
      </c>
      <c r="CD394" s="82"/>
      <c r="CE394" s="82"/>
      <c r="CF394" s="82"/>
      <c r="CG394" s="82"/>
      <c r="CH394" s="82"/>
      <c r="CI394" s="82"/>
      <c r="CJ394" s="82"/>
      <c r="CK394" s="82"/>
      <c r="CL394" s="82"/>
      <c r="CM394" s="83"/>
      <c r="CN394" s="83"/>
      <c r="CO394" s="83"/>
      <c r="CP394" s="83"/>
      <c r="CQ394" s="83"/>
      <c r="CR394" s="83"/>
      <c r="CS394" s="83"/>
      <c r="CT394" s="83"/>
      <c r="CU394" s="83"/>
      <c r="CV394" s="83"/>
      <c r="CW394" s="83"/>
      <c r="CX394" s="83"/>
      <c r="CY394" s="83"/>
      <c r="CZ394" s="83"/>
      <c r="DA394" s="83">
        <v>300000000</v>
      </c>
      <c r="DB394" s="83"/>
      <c r="DC394" s="83"/>
      <c r="DD394" s="83"/>
      <c r="DE394" s="81">
        <f t="shared" si="858"/>
        <v>400000000</v>
      </c>
      <c r="DF394" s="95">
        <f>BR394+BV394+CA394+CF394+CJ394+CN394+CR394+CW394+DB394</f>
        <v>645000000</v>
      </c>
      <c r="DG394" s="95">
        <f>BS394+BW394+CB394+CG394+CK394+CO394+CS394+CX394+DC394</f>
        <v>550120319</v>
      </c>
      <c r="DH394" s="95">
        <f>BT394+BX394+CC394+CH394+CL394+CP394+CT394+CY394+DD394</f>
        <v>350120319</v>
      </c>
      <c r="DI394" s="95"/>
      <c r="DJ394" s="84"/>
      <c r="DK394" s="65"/>
      <c r="DL394" s="84"/>
      <c r="DM394" s="84"/>
      <c r="DN394" s="84"/>
      <c r="DO394" s="84">
        <v>126000000</v>
      </c>
      <c r="DP394" s="84">
        <v>87633332</v>
      </c>
      <c r="DQ394" s="84">
        <v>87633332</v>
      </c>
      <c r="DR394" s="84"/>
      <c r="DS394" s="65">
        <v>100000000</v>
      </c>
      <c r="DT394" s="65">
        <v>456500000</v>
      </c>
      <c r="DU394" s="65">
        <v>346782215</v>
      </c>
      <c r="DV394" s="65">
        <v>346782215</v>
      </c>
      <c r="DW394" s="65"/>
      <c r="DX394" s="65"/>
      <c r="DY394" s="65"/>
      <c r="DZ394" s="65"/>
      <c r="EA394" s="65"/>
      <c r="EB394" s="84"/>
      <c r="EC394" s="84"/>
      <c r="ED394" s="84"/>
      <c r="EE394" s="84"/>
      <c r="EF394" s="84"/>
      <c r="EG394" s="84"/>
      <c r="EH394" s="84"/>
      <c r="EI394" s="84"/>
      <c r="EJ394" s="84"/>
      <c r="EK394" s="84"/>
      <c r="EL394" s="84"/>
      <c r="EM394" s="84"/>
      <c r="EN394" s="84"/>
      <c r="EO394" s="83"/>
      <c r="EP394" s="83"/>
      <c r="EQ394" s="83"/>
      <c r="ER394" s="83"/>
      <c r="ES394" s="83">
        <v>300000000</v>
      </c>
      <c r="ET394" s="83"/>
      <c r="EU394" s="83"/>
      <c r="EV394" s="83"/>
      <c r="EW394" s="81">
        <f t="shared" si="862"/>
        <v>400000000</v>
      </c>
      <c r="EX394" s="86">
        <f t="shared" si="862"/>
        <v>582500000</v>
      </c>
      <c r="EY394" s="86">
        <f t="shared" si="863"/>
        <v>434415547</v>
      </c>
      <c r="EZ394" s="86">
        <f t="shared" si="864"/>
        <v>434415547</v>
      </c>
      <c r="FA394" s="176"/>
      <c r="FB394" s="83"/>
      <c r="FC394" s="84"/>
      <c r="FD394" s="84"/>
      <c r="FE394" s="84"/>
      <c r="FF394" s="140"/>
      <c r="FG394" s="83"/>
      <c r="FH394" s="83">
        <v>93700000</v>
      </c>
      <c r="FI394" s="83">
        <v>21329733</v>
      </c>
      <c r="FJ394" s="83">
        <v>4000000</v>
      </c>
      <c r="FK394" s="83"/>
      <c r="FL394" s="65">
        <v>80000000</v>
      </c>
      <c r="FM394" s="82">
        <v>400000000</v>
      </c>
      <c r="FN394" s="82">
        <v>361870501</v>
      </c>
      <c r="FO394" s="82">
        <v>215166467</v>
      </c>
      <c r="FP394" s="82"/>
      <c r="FQ394" s="82"/>
      <c r="FR394" s="82"/>
      <c r="FS394" s="82"/>
      <c r="FT394" s="82"/>
      <c r="FU394" s="82"/>
      <c r="FV394" s="83"/>
      <c r="FW394" s="83"/>
      <c r="FX394" s="83"/>
      <c r="FY394" s="83"/>
      <c r="FZ394" s="83"/>
      <c r="GA394" s="83"/>
      <c r="GB394" s="83"/>
      <c r="GC394" s="83"/>
      <c r="GD394" s="83"/>
      <c r="GE394" s="83"/>
      <c r="GF394" s="83"/>
      <c r="GG394" s="83"/>
      <c r="GH394" s="83"/>
      <c r="GI394" s="83"/>
      <c r="GJ394" s="83"/>
      <c r="GK394" s="83"/>
      <c r="GL394" s="83"/>
      <c r="GM394" s="83"/>
      <c r="GN394" s="83"/>
      <c r="GO394" s="83"/>
      <c r="GP394" s="83">
        <v>300000000</v>
      </c>
      <c r="GQ394" s="83"/>
      <c r="GR394" s="83"/>
      <c r="GS394" s="83"/>
      <c r="GT394" s="83"/>
      <c r="GU394" s="81">
        <f t="shared" si="865"/>
        <v>380000000</v>
      </c>
      <c r="GV394" s="81">
        <f t="shared" si="866"/>
        <v>493700000</v>
      </c>
      <c r="GW394" s="81">
        <f t="shared" si="867"/>
        <v>383200234</v>
      </c>
      <c r="GX394" s="81">
        <f t="shared" si="868"/>
        <v>219166467</v>
      </c>
      <c r="GY394" s="673">
        <f t="shared" si="869"/>
        <v>0</v>
      </c>
      <c r="GZ394" s="67">
        <f t="shared" si="870"/>
        <v>1938450000</v>
      </c>
    </row>
    <row r="395" spans="1:208" ht="153" customHeight="1" x14ac:dyDescent="0.2">
      <c r="A395" s="326"/>
      <c r="B395" s="341"/>
      <c r="C395" s="279"/>
      <c r="D395" s="722"/>
      <c r="E395" s="279"/>
      <c r="F395" s="279"/>
      <c r="G395" s="265">
        <v>266</v>
      </c>
      <c r="H395" s="358" t="s">
        <v>877</v>
      </c>
      <c r="I395" s="275" t="s">
        <v>878</v>
      </c>
      <c r="J395" s="262" t="s">
        <v>822</v>
      </c>
      <c r="K395" s="415">
        <v>17</v>
      </c>
      <c r="L395" s="304" t="s">
        <v>58</v>
      </c>
      <c r="M395" s="288">
        <v>1</v>
      </c>
      <c r="N395" s="288">
        <v>1</v>
      </c>
      <c r="O395" s="259">
        <v>1</v>
      </c>
      <c r="P395" s="560">
        <v>1</v>
      </c>
      <c r="Q395" s="288">
        <v>1</v>
      </c>
      <c r="R395" s="268"/>
      <c r="S395" s="389">
        <v>1</v>
      </c>
      <c r="T395" s="288">
        <v>1</v>
      </c>
      <c r="U395" s="288"/>
      <c r="V395" s="389">
        <v>1</v>
      </c>
      <c r="W395" s="288">
        <v>1</v>
      </c>
      <c r="X395" s="304"/>
      <c r="Y395" s="631">
        <v>0.6</v>
      </c>
      <c r="Z395" s="390">
        <f t="shared" si="853"/>
        <v>3.335417969564311E-3</v>
      </c>
      <c r="AA395" s="265">
        <v>16</v>
      </c>
      <c r="AB395" s="262" t="s">
        <v>376</v>
      </c>
      <c r="AC395" s="56"/>
      <c r="AD395" s="55"/>
      <c r="AE395" s="54"/>
      <c r="AF395" s="54"/>
      <c r="AG395" s="56"/>
      <c r="AH395" s="55"/>
      <c r="AI395" s="55"/>
      <c r="AJ395" s="55"/>
      <c r="AK395" s="54">
        <v>16000000</v>
      </c>
      <c r="AL395" s="55">
        <v>16000000</v>
      </c>
      <c r="AM395" s="54">
        <v>16000000</v>
      </c>
      <c r="AN395" s="54">
        <v>16000000</v>
      </c>
      <c r="AO395" s="60"/>
      <c r="AP395" s="59"/>
      <c r="AQ395" s="59"/>
      <c r="AR395" s="55"/>
      <c r="AS395" s="56"/>
      <c r="AT395" s="55"/>
      <c r="AU395" s="54"/>
      <c r="AV395" s="54"/>
      <c r="AW395" s="56"/>
      <c r="AX395" s="55"/>
      <c r="AY395" s="55"/>
      <c r="AZ395" s="55"/>
      <c r="BA395" s="56"/>
      <c r="BB395" s="55"/>
      <c r="BC395" s="55"/>
      <c r="BD395" s="55"/>
      <c r="BE395" s="56"/>
      <c r="BF395" s="55"/>
      <c r="BG395" s="54"/>
      <c r="BH395" s="54"/>
      <c r="BI395" s="56"/>
      <c r="BJ395" s="55"/>
      <c r="BK395" s="55"/>
      <c r="BL395" s="55"/>
      <c r="BM395" s="53">
        <f t="shared" si="854"/>
        <v>16000000</v>
      </c>
      <c r="BN395" s="54">
        <f t="shared" si="855"/>
        <v>16000000</v>
      </c>
      <c r="BO395" s="54">
        <f t="shared" si="856"/>
        <v>16000000</v>
      </c>
      <c r="BP395" s="54">
        <f t="shared" si="857"/>
        <v>16000000</v>
      </c>
      <c r="BQ395" s="83"/>
      <c r="BR395" s="83"/>
      <c r="BS395" s="83"/>
      <c r="BT395" s="83"/>
      <c r="BU395" s="83"/>
      <c r="BV395" s="83">
        <v>20000000</v>
      </c>
      <c r="BW395" s="83">
        <v>16111333</v>
      </c>
      <c r="BX395" s="83">
        <v>16111333</v>
      </c>
      <c r="BY395" s="83"/>
      <c r="BZ395" s="84">
        <v>16000000</v>
      </c>
      <c r="CA395" s="82">
        <v>16000000</v>
      </c>
      <c r="CB395" s="82">
        <v>15840000</v>
      </c>
      <c r="CC395" s="82">
        <v>15840000</v>
      </c>
      <c r="CD395" s="82"/>
      <c r="CE395" s="83"/>
      <c r="CF395" s="83"/>
      <c r="CG395" s="83"/>
      <c r="CH395" s="83"/>
      <c r="CI395" s="83"/>
      <c r="CJ395" s="83"/>
      <c r="CK395" s="83"/>
      <c r="CL395" s="83"/>
      <c r="CM395" s="83"/>
      <c r="CN395" s="83"/>
      <c r="CO395" s="83"/>
      <c r="CP395" s="83"/>
      <c r="CQ395" s="83"/>
      <c r="CR395" s="83"/>
      <c r="CS395" s="83"/>
      <c r="CT395" s="83"/>
      <c r="CU395" s="83"/>
      <c r="CV395" s="83"/>
      <c r="CW395" s="83"/>
      <c r="CX395" s="83"/>
      <c r="CY395" s="83"/>
      <c r="CZ395" s="83"/>
      <c r="DA395" s="83"/>
      <c r="DB395" s="83"/>
      <c r="DC395" s="83"/>
      <c r="DD395" s="83"/>
      <c r="DE395" s="81">
        <f t="shared" si="858"/>
        <v>16000000</v>
      </c>
      <c r="DF395" s="95">
        <f t="shared" si="859"/>
        <v>36000000</v>
      </c>
      <c r="DG395" s="95">
        <f t="shared" si="860"/>
        <v>31951333</v>
      </c>
      <c r="DH395" s="95">
        <f t="shared" si="861"/>
        <v>31951333</v>
      </c>
      <c r="DI395" s="95"/>
      <c r="DJ395" s="84"/>
      <c r="DK395" s="65"/>
      <c r="DL395" s="84"/>
      <c r="DM395" s="84"/>
      <c r="DN395" s="84"/>
      <c r="DO395" s="84"/>
      <c r="DP395" s="84"/>
      <c r="DQ395" s="84"/>
      <c r="DR395" s="84"/>
      <c r="DS395" s="84">
        <v>16000000</v>
      </c>
      <c r="DT395" s="84">
        <v>38500000</v>
      </c>
      <c r="DU395" s="84">
        <v>33800000</v>
      </c>
      <c r="DV395" s="84">
        <v>33800000</v>
      </c>
      <c r="DW395" s="84"/>
      <c r="DX395" s="84"/>
      <c r="DY395" s="84"/>
      <c r="DZ395" s="84"/>
      <c r="EA395" s="84"/>
      <c r="EB395" s="84"/>
      <c r="EC395" s="84"/>
      <c r="ED395" s="84"/>
      <c r="EE395" s="84"/>
      <c r="EF395" s="84"/>
      <c r="EG395" s="84"/>
      <c r="EH395" s="84"/>
      <c r="EI395" s="84"/>
      <c r="EJ395" s="84"/>
      <c r="EK395" s="84"/>
      <c r="EL395" s="84"/>
      <c r="EM395" s="84"/>
      <c r="EN395" s="84"/>
      <c r="EO395" s="83"/>
      <c r="EP395" s="83"/>
      <c r="EQ395" s="83"/>
      <c r="ER395" s="83"/>
      <c r="ES395" s="83"/>
      <c r="ET395" s="83"/>
      <c r="EU395" s="83"/>
      <c r="EV395" s="83"/>
      <c r="EW395" s="81">
        <f t="shared" si="862"/>
        <v>16000000</v>
      </c>
      <c r="EX395" s="86">
        <f t="shared" si="862"/>
        <v>38500000</v>
      </c>
      <c r="EY395" s="86">
        <f t="shared" si="863"/>
        <v>33800000</v>
      </c>
      <c r="EZ395" s="86">
        <f t="shared" si="864"/>
        <v>33800000</v>
      </c>
      <c r="FA395" s="176"/>
      <c r="FB395" s="83"/>
      <c r="FC395" s="84"/>
      <c r="FD395" s="84"/>
      <c r="FE395" s="84"/>
      <c r="FF395" s="140"/>
      <c r="FG395" s="83"/>
      <c r="FH395" s="83">
        <v>10000000</v>
      </c>
      <c r="FI395" s="83">
        <v>10000000</v>
      </c>
      <c r="FJ395" s="83"/>
      <c r="FK395" s="83"/>
      <c r="FL395" s="84">
        <v>16000000</v>
      </c>
      <c r="FM395" s="83">
        <v>38000000</v>
      </c>
      <c r="FN395" s="83">
        <v>27740933</v>
      </c>
      <c r="FO395" s="83">
        <v>14332000</v>
      </c>
      <c r="FP395" s="83"/>
      <c r="FQ395" s="83"/>
      <c r="FR395" s="83"/>
      <c r="FS395" s="83"/>
      <c r="FT395" s="83"/>
      <c r="FU395" s="83"/>
      <c r="FV395" s="83"/>
      <c r="FW395" s="83"/>
      <c r="FX395" s="83"/>
      <c r="FY395" s="83"/>
      <c r="FZ395" s="83"/>
      <c r="GA395" s="83"/>
      <c r="GB395" s="83"/>
      <c r="GC395" s="83"/>
      <c r="GD395" s="83"/>
      <c r="GE395" s="83"/>
      <c r="GF395" s="83"/>
      <c r="GG395" s="83"/>
      <c r="GH395" s="83"/>
      <c r="GI395" s="83"/>
      <c r="GJ395" s="83"/>
      <c r="GK395" s="83"/>
      <c r="GL395" s="83"/>
      <c r="GM395" s="83"/>
      <c r="GN395" s="83"/>
      <c r="GO395" s="83"/>
      <c r="GP395" s="83"/>
      <c r="GQ395" s="83"/>
      <c r="GR395" s="83"/>
      <c r="GS395" s="83"/>
      <c r="GT395" s="83"/>
      <c r="GU395" s="81">
        <f t="shared" si="865"/>
        <v>16000000</v>
      </c>
      <c r="GV395" s="81">
        <f t="shared" si="866"/>
        <v>48000000</v>
      </c>
      <c r="GW395" s="81">
        <f t="shared" si="867"/>
        <v>37740933</v>
      </c>
      <c r="GX395" s="81">
        <f t="shared" si="868"/>
        <v>14332000</v>
      </c>
      <c r="GY395" s="673">
        <f t="shared" si="869"/>
        <v>0</v>
      </c>
      <c r="GZ395" s="67">
        <f t="shared" si="870"/>
        <v>64000000</v>
      </c>
    </row>
    <row r="396" spans="1:208" ht="54.75" customHeight="1" x14ac:dyDescent="0.2">
      <c r="A396" s="326"/>
      <c r="B396" s="341"/>
      <c r="C396" s="279"/>
      <c r="D396" s="722"/>
      <c r="E396" s="279"/>
      <c r="F396" s="279"/>
      <c r="G396" s="265">
        <v>267</v>
      </c>
      <c r="H396" s="358" t="s">
        <v>879</v>
      </c>
      <c r="I396" s="275" t="s">
        <v>880</v>
      </c>
      <c r="J396" s="262" t="s">
        <v>822</v>
      </c>
      <c r="K396" s="415">
        <v>17</v>
      </c>
      <c r="L396" s="304" t="s">
        <v>58</v>
      </c>
      <c r="M396" s="288">
        <v>1</v>
      </c>
      <c r="N396" s="288">
        <v>1</v>
      </c>
      <c r="O396" s="259">
        <v>1</v>
      </c>
      <c r="P396" s="560">
        <v>1</v>
      </c>
      <c r="Q396" s="288">
        <v>1</v>
      </c>
      <c r="R396" s="268"/>
      <c r="S396" s="389">
        <v>1</v>
      </c>
      <c r="T396" s="288">
        <v>1</v>
      </c>
      <c r="U396" s="288"/>
      <c r="V396" s="389">
        <v>0.8</v>
      </c>
      <c r="W396" s="288">
        <v>1</v>
      </c>
      <c r="X396" s="304"/>
      <c r="Y396" s="631">
        <v>0.5</v>
      </c>
      <c r="Z396" s="390">
        <f t="shared" si="853"/>
        <v>3.6481134042109652E-3</v>
      </c>
      <c r="AA396" s="265">
        <v>17</v>
      </c>
      <c r="AB396" s="262" t="s">
        <v>837</v>
      </c>
      <c r="AC396" s="56"/>
      <c r="AD396" s="55"/>
      <c r="AE396" s="54"/>
      <c r="AF396" s="54"/>
      <c r="AG396" s="56"/>
      <c r="AH396" s="55"/>
      <c r="AI396" s="55"/>
      <c r="AJ396" s="55"/>
      <c r="AK396" s="54">
        <v>17500000</v>
      </c>
      <c r="AL396" s="54">
        <v>17500000</v>
      </c>
      <c r="AM396" s="72">
        <v>7230000</v>
      </c>
      <c r="AN396" s="54">
        <v>7230000</v>
      </c>
      <c r="AO396" s="60"/>
      <c r="AP396" s="59"/>
      <c r="AQ396" s="59"/>
      <c r="AR396" s="55"/>
      <c r="AS396" s="56"/>
      <c r="AT396" s="55"/>
      <c r="AU396" s="54"/>
      <c r="AV396" s="54"/>
      <c r="AW396" s="56"/>
      <c r="AX396" s="55"/>
      <c r="AY396" s="55"/>
      <c r="AZ396" s="55"/>
      <c r="BA396" s="56"/>
      <c r="BB396" s="55"/>
      <c r="BC396" s="55"/>
      <c r="BD396" s="55"/>
      <c r="BE396" s="56"/>
      <c r="BF396" s="55"/>
      <c r="BG396" s="54"/>
      <c r="BH396" s="54"/>
      <c r="BI396" s="56"/>
      <c r="BJ396" s="55"/>
      <c r="BK396" s="55"/>
      <c r="BL396" s="55"/>
      <c r="BM396" s="53">
        <f t="shared" si="854"/>
        <v>17500000</v>
      </c>
      <c r="BN396" s="54">
        <f t="shared" si="855"/>
        <v>17500000</v>
      </c>
      <c r="BO396" s="54">
        <f t="shared" si="856"/>
        <v>7230000</v>
      </c>
      <c r="BP396" s="54">
        <f t="shared" si="857"/>
        <v>7230000</v>
      </c>
      <c r="BQ396" s="83"/>
      <c r="BR396" s="83"/>
      <c r="BS396" s="83"/>
      <c r="BT396" s="83"/>
      <c r="BU396" s="83"/>
      <c r="BV396" s="83"/>
      <c r="BW396" s="83"/>
      <c r="BX396" s="83"/>
      <c r="BY396" s="83"/>
      <c r="BZ396" s="84">
        <v>12000000</v>
      </c>
      <c r="CA396" s="82">
        <v>12000000</v>
      </c>
      <c r="CB396" s="82">
        <v>3436000</v>
      </c>
      <c r="CC396" s="82">
        <v>3436000</v>
      </c>
      <c r="CD396" s="82"/>
      <c r="CE396" s="83"/>
      <c r="CF396" s="83"/>
      <c r="CG396" s="83"/>
      <c r="CH396" s="83"/>
      <c r="CI396" s="83"/>
      <c r="CJ396" s="83"/>
      <c r="CK396" s="83"/>
      <c r="CL396" s="83"/>
      <c r="CM396" s="83"/>
      <c r="CN396" s="83"/>
      <c r="CO396" s="83"/>
      <c r="CP396" s="83"/>
      <c r="CQ396" s="83"/>
      <c r="CR396" s="83"/>
      <c r="CS396" s="83"/>
      <c r="CT396" s="83"/>
      <c r="CU396" s="83"/>
      <c r="CV396" s="83"/>
      <c r="CW396" s="83"/>
      <c r="CX396" s="83"/>
      <c r="CY396" s="83"/>
      <c r="CZ396" s="83"/>
      <c r="DA396" s="83"/>
      <c r="DB396" s="83"/>
      <c r="DC396" s="83"/>
      <c r="DD396" s="83"/>
      <c r="DE396" s="81">
        <f t="shared" si="858"/>
        <v>12000000</v>
      </c>
      <c r="DF396" s="95">
        <f t="shared" si="859"/>
        <v>12000000</v>
      </c>
      <c r="DG396" s="95">
        <f t="shared" si="860"/>
        <v>3436000</v>
      </c>
      <c r="DH396" s="95">
        <f t="shared" si="861"/>
        <v>3436000</v>
      </c>
      <c r="DI396" s="95"/>
      <c r="DJ396" s="84"/>
      <c r="DK396" s="84"/>
      <c r="DL396" s="84"/>
      <c r="DM396" s="84"/>
      <c r="DN396" s="84"/>
      <c r="DO396" s="84"/>
      <c r="DP396" s="84"/>
      <c r="DQ396" s="84"/>
      <c r="DR396" s="84"/>
      <c r="DS396" s="84">
        <v>12000000</v>
      </c>
      <c r="DT396" s="84">
        <v>10000000</v>
      </c>
      <c r="DU396" s="84">
        <v>1802500</v>
      </c>
      <c r="DV396" s="84">
        <v>1802500</v>
      </c>
      <c r="DW396" s="84"/>
      <c r="DX396" s="84"/>
      <c r="DY396" s="84"/>
      <c r="DZ396" s="84"/>
      <c r="EA396" s="84"/>
      <c r="EB396" s="84"/>
      <c r="EC396" s="84"/>
      <c r="ED396" s="84"/>
      <c r="EE396" s="84"/>
      <c r="EF396" s="84"/>
      <c r="EG396" s="84"/>
      <c r="EH396" s="84"/>
      <c r="EI396" s="84"/>
      <c r="EJ396" s="84"/>
      <c r="EK396" s="84"/>
      <c r="EL396" s="84"/>
      <c r="EM396" s="84"/>
      <c r="EN396" s="84"/>
      <c r="EO396" s="83"/>
      <c r="EP396" s="83"/>
      <c r="EQ396" s="83"/>
      <c r="ER396" s="83"/>
      <c r="ES396" s="83"/>
      <c r="ET396" s="83"/>
      <c r="EU396" s="83"/>
      <c r="EV396" s="83"/>
      <c r="EW396" s="81">
        <f t="shared" si="862"/>
        <v>12000000</v>
      </c>
      <c r="EX396" s="86">
        <f t="shared" si="862"/>
        <v>10000000</v>
      </c>
      <c r="EY396" s="86">
        <f t="shared" si="863"/>
        <v>1802500</v>
      </c>
      <c r="EZ396" s="86">
        <f t="shared" si="864"/>
        <v>1802500</v>
      </c>
      <c r="FA396" s="176"/>
      <c r="FB396" s="83"/>
      <c r="FC396" s="84"/>
      <c r="FD396" s="84"/>
      <c r="FE396" s="84"/>
      <c r="FF396" s="140"/>
      <c r="FG396" s="83"/>
      <c r="FH396" s="83">
        <v>15420000</v>
      </c>
      <c r="FI396" s="83"/>
      <c r="FJ396" s="83"/>
      <c r="FK396" s="83"/>
      <c r="FL396" s="84">
        <v>12000000</v>
      </c>
      <c r="FM396" s="83">
        <v>9500000</v>
      </c>
      <c r="FN396" s="83">
        <v>4500000</v>
      </c>
      <c r="FO396" s="83"/>
      <c r="FP396" s="83"/>
      <c r="FQ396" s="83"/>
      <c r="FR396" s="83"/>
      <c r="FS396" s="83"/>
      <c r="FT396" s="83"/>
      <c r="FU396" s="83"/>
      <c r="FV396" s="83"/>
      <c r="FW396" s="83"/>
      <c r="FX396" s="83"/>
      <c r="FY396" s="83"/>
      <c r="FZ396" s="83"/>
      <c r="GA396" s="83"/>
      <c r="GB396" s="83"/>
      <c r="GC396" s="83"/>
      <c r="GD396" s="83"/>
      <c r="GE396" s="83"/>
      <c r="GF396" s="83"/>
      <c r="GG396" s="83"/>
      <c r="GH396" s="83"/>
      <c r="GI396" s="83"/>
      <c r="GJ396" s="83"/>
      <c r="GK396" s="83"/>
      <c r="GL396" s="83"/>
      <c r="GM396" s="83"/>
      <c r="GN396" s="83"/>
      <c r="GO396" s="83"/>
      <c r="GP396" s="83"/>
      <c r="GQ396" s="83"/>
      <c r="GR396" s="83"/>
      <c r="GS396" s="83"/>
      <c r="GT396" s="83"/>
      <c r="GU396" s="81">
        <f t="shared" si="865"/>
        <v>12000000</v>
      </c>
      <c r="GV396" s="81">
        <f t="shared" si="866"/>
        <v>24920000</v>
      </c>
      <c r="GW396" s="81">
        <f t="shared" si="867"/>
        <v>4500000</v>
      </c>
      <c r="GX396" s="81">
        <f t="shared" si="868"/>
        <v>0</v>
      </c>
      <c r="GY396" s="673">
        <f t="shared" si="869"/>
        <v>0</v>
      </c>
      <c r="GZ396" s="67">
        <f t="shared" si="870"/>
        <v>53500000</v>
      </c>
    </row>
    <row r="397" spans="1:208" ht="102.75" customHeight="1" x14ac:dyDescent="0.2">
      <c r="A397" s="326"/>
      <c r="B397" s="341"/>
      <c r="C397" s="279"/>
      <c r="D397" s="722"/>
      <c r="E397" s="279"/>
      <c r="F397" s="279"/>
      <c r="G397" s="265">
        <v>268</v>
      </c>
      <c r="H397" s="358" t="s">
        <v>881</v>
      </c>
      <c r="I397" s="275" t="s">
        <v>882</v>
      </c>
      <c r="J397" s="262" t="s">
        <v>822</v>
      </c>
      <c r="K397" s="415">
        <v>17</v>
      </c>
      <c r="L397" s="304" t="s">
        <v>58</v>
      </c>
      <c r="M397" s="288">
        <v>12</v>
      </c>
      <c r="N397" s="288">
        <v>12</v>
      </c>
      <c r="O397" s="259">
        <v>12</v>
      </c>
      <c r="P397" s="560">
        <v>12</v>
      </c>
      <c r="Q397" s="288">
        <v>12</v>
      </c>
      <c r="R397" s="268"/>
      <c r="S397" s="389">
        <v>12</v>
      </c>
      <c r="T397" s="288">
        <v>12</v>
      </c>
      <c r="U397" s="288"/>
      <c r="V397" s="389">
        <v>12</v>
      </c>
      <c r="W397" s="288">
        <v>12</v>
      </c>
      <c r="X397" s="304"/>
      <c r="Y397" s="631">
        <v>12</v>
      </c>
      <c r="Z397" s="390">
        <f t="shared" si="853"/>
        <v>3.8925370022930999E-3</v>
      </c>
      <c r="AA397" s="265">
        <v>13</v>
      </c>
      <c r="AB397" s="262" t="s">
        <v>155</v>
      </c>
      <c r="AC397" s="56"/>
      <c r="AD397" s="55"/>
      <c r="AE397" s="54"/>
      <c r="AF397" s="54"/>
      <c r="AG397" s="55"/>
      <c r="AH397" s="55"/>
      <c r="AI397" s="55"/>
      <c r="AJ397" s="55"/>
      <c r="AK397" s="55">
        <v>18672500</v>
      </c>
      <c r="AL397" s="54">
        <v>18672500</v>
      </c>
      <c r="AM397" s="54">
        <v>11200000</v>
      </c>
      <c r="AN397" s="55">
        <v>11200000</v>
      </c>
      <c r="AO397" s="56"/>
      <c r="AP397" s="55"/>
      <c r="AQ397" s="55"/>
      <c r="AR397" s="55"/>
      <c r="AS397" s="56"/>
      <c r="AT397" s="55"/>
      <c r="AU397" s="54"/>
      <c r="AV397" s="54"/>
      <c r="AW397" s="56"/>
      <c r="AX397" s="55"/>
      <c r="AY397" s="55"/>
      <c r="AZ397" s="55"/>
      <c r="BA397" s="56"/>
      <c r="BB397" s="55"/>
      <c r="BC397" s="55"/>
      <c r="BD397" s="55"/>
      <c r="BE397" s="56"/>
      <c r="BF397" s="55"/>
      <c r="BG397" s="54"/>
      <c r="BH397" s="54"/>
      <c r="BI397" s="56"/>
      <c r="BJ397" s="55"/>
      <c r="BK397" s="55"/>
      <c r="BL397" s="55"/>
      <c r="BM397" s="53">
        <f t="shared" si="854"/>
        <v>18672500</v>
      </c>
      <c r="BN397" s="54">
        <f t="shared" si="855"/>
        <v>18672500</v>
      </c>
      <c r="BO397" s="54">
        <f t="shared" si="856"/>
        <v>11200000</v>
      </c>
      <c r="BP397" s="54">
        <f t="shared" si="857"/>
        <v>11200000</v>
      </c>
      <c r="BQ397" s="83"/>
      <c r="BR397" s="83"/>
      <c r="BS397" s="83"/>
      <c r="BT397" s="83"/>
      <c r="BU397" s="83"/>
      <c r="BV397" s="83"/>
      <c r="BW397" s="83"/>
      <c r="BX397" s="83"/>
      <c r="BY397" s="83"/>
      <c r="BZ397" s="84">
        <v>12000000</v>
      </c>
      <c r="CA397" s="82">
        <v>12000000</v>
      </c>
      <c r="CB397" s="82">
        <v>11560000</v>
      </c>
      <c r="CC397" s="82">
        <v>11560000</v>
      </c>
      <c r="CD397" s="82"/>
      <c r="CE397" s="83"/>
      <c r="CF397" s="83"/>
      <c r="CG397" s="83"/>
      <c r="CH397" s="83"/>
      <c r="CI397" s="83"/>
      <c r="CJ397" s="83"/>
      <c r="CK397" s="83"/>
      <c r="CL397" s="83"/>
      <c r="CM397" s="83"/>
      <c r="CN397" s="83"/>
      <c r="CO397" s="83"/>
      <c r="CP397" s="83"/>
      <c r="CQ397" s="83"/>
      <c r="CR397" s="83"/>
      <c r="CS397" s="83"/>
      <c r="CT397" s="83"/>
      <c r="CU397" s="83"/>
      <c r="CV397" s="83"/>
      <c r="CW397" s="83"/>
      <c r="CX397" s="83"/>
      <c r="CY397" s="83"/>
      <c r="CZ397" s="83"/>
      <c r="DA397" s="83"/>
      <c r="DB397" s="83"/>
      <c r="DC397" s="83"/>
      <c r="DD397" s="83"/>
      <c r="DE397" s="81">
        <f t="shared" si="858"/>
        <v>12000000</v>
      </c>
      <c r="DF397" s="95">
        <f t="shared" si="859"/>
        <v>12000000</v>
      </c>
      <c r="DG397" s="95">
        <f t="shared" si="860"/>
        <v>11560000</v>
      </c>
      <c r="DH397" s="95">
        <f t="shared" si="861"/>
        <v>11560000</v>
      </c>
      <c r="DI397" s="95"/>
      <c r="DJ397" s="84"/>
      <c r="DK397" s="65"/>
      <c r="DL397" s="84"/>
      <c r="DM397" s="84"/>
      <c r="DN397" s="84"/>
      <c r="DO397" s="84">
        <v>49000000</v>
      </c>
      <c r="DP397" s="84">
        <v>28933333</v>
      </c>
      <c r="DQ397" s="84">
        <v>28933333</v>
      </c>
      <c r="DR397" s="84"/>
      <c r="DS397" s="84">
        <v>12000000</v>
      </c>
      <c r="DT397" s="84">
        <v>21000000</v>
      </c>
      <c r="DU397" s="84">
        <v>8946667</v>
      </c>
      <c r="DV397" s="84">
        <v>8946667</v>
      </c>
      <c r="DW397" s="84"/>
      <c r="DX397" s="84"/>
      <c r="DY397" s="84"/>
      <c r="DZ397" s="84"/>
      <c r="EA397" s="84"/>
      <c r="EB397" s="84"/>
      <c r="EC397" s="84"/>
      <c r="ED397" s="84"/>
      <c r="EE397" s="84"/>
      <c r="EF397" s="84"/>
      <c r="EG397" s="84"/>
      <c r="EH397" s="84"/>
      <c r="EI397" s="84"/>
      <c r="EJ397" s="84"/>
      <c r="EK397" s="84"/>
      <c r="EL397" s="84"/>
      <c r="EM397" s="84"/>
      <c r="EN397" s="84"/>
      <c r="EO397" s="83"/>
      <c r="EP397" s="83"/>
      <c r="EQ397" s="83"/>
      <c r="ER397" s="83"/>
      <c r="ES397" s="83"/>
      <c r="ET397" s="83"/>
      <c r="EU397" s="83"/>
      <c r="EV397" s="83"/>
      <c r="EW397" s="81">
        <f t="shared" si="862"/>
        <v>12000000</v>
      </c>
      <c r="EX397" s="86">
        <f t="shared" si="862"/>
        <v>70000000</v>
      </c>
      <c r="EY397" s="86">
        <f t="shared" si="863"/>
        <v>37880000</v>
      </c>
      <c r="EZ397" s="86">
        <f t="shared" si="864"/>
        <v>37880000</v>
      </c>
      <c r="FA397" s="176"/>
      <c r="FB397" s="83"/>
      <c r="FC397" s="84"/>
      <c r="FD397" s="84"/>
      <c r="FE397" s="84"/>
      <c r="FF397" s="140"/>
      <c r="FG397" s="83"/>
      <c r="FH397" s="83">
        <v>9860000</v>
      </c>
      <c r="FI397" s="83"/>
      <c r="FJ397" s="83"/>
      <c r="FK397" s="83"/>
      <c r="FL397" s="84">
        <v>12000000</v>
      </c>
      <c r="FM397" s="83">
        <v>20500000</v>
      </c>
      <c r="FN397" s="83">
        <v>14396933</v>
      </c>
      <c r="FO397" s="83">
        <v>11192000</v>
      </c>
      <c r="FP397" s="83"/>
      <c r="FQ397" s="83"/>
      <c r="FR397" s="83"/>
      <c r="FS397" s="83"/>
      <c r="FT397" s="83"/>
      <c r="FU397" s="83"/>
      <c r="FV397" s="83"/>
      <c r="FW397" s="83"/>
      <c r="FX397" s="83"/>
      <c r="FY397" s="83"/>
      <c r="FZ397" s="83"/>
      <c r="GA397" s="83"/>
      <c r="GB397" s="83"/>
      <c r="GC397" s="83"/>
      <c r="GD397" s="83"/>
      <c r="GE397" s="83"/>
      <c r="GF397" s="83"/>
      <c r="GG397" s="83"/>
      <c r="GH397" s="83"/>
      <c r="GI397" s="83"/>
      <c r="GJ397" s="83"/>
      <c r="GK397" s="83"/>
      <c r="GL397" s="83"/>
      <c r="GM397" s="83"/>
      <c r="GN397" s="83"/>
      <c r="GO397" s="83"/>
      <c r="GP397" s="83"/>
      <c r="GQ397" s="83"/>
      <c r="GR397" s="83"/>
      <c r="GS397" s="83"/>
      <c r="GT397" s="83"/>
      <c r="GU397" s="81">
        <f t="shared" si="865"/>
        <v>12000000</v>
      </c>
      <c r="GV397" s="81">
        <f t="shared" si="866"/>
        <v>30360000</v>
      </c>
      <c r="GW397" s="81">
        <f t="shared" si="867"/>
        <v>14396933</v>
      </c>
      <c r="GX397" s="81">
        <f t="shared" si="868"/>
        <v>11192000</v>
      </c>
      <c r="GY397" s="673">
        <f t="shared" si="869"/>
        <v>0</v>
      </c>
      <c r="GZ397" s="67">
        <f t="shared" si="870"/>
        <v>54672500</v>
      </c>
    </row>
    <row r="398" spans="1:208" s="711" customFormat="1" ht="97.5" customHeight="1" x14ac:dyDescent="0.2">
      <c r="A398" s="703"/>
      <c r="B398" s="703"/>
      <c r="C398" s="822"/>
      <c r="D398" s="685"/>
      <c r="E398" s="822"/>
      <c r="F398" s="822"/>
      <c r="G398" s="682">
        <v>269</v>
      </c>
      <c r="H398" s="939" t="s">
        <v>883</v>
      </c>
      <c r="I398" s="821" t="s">
        <v>884</v>
      </c>
      <c r="J398" s="813" t="s">
        <v>822</v>
      </c>
      <c r="K398" s="892">
        <v>17</v>
      </c>
      <c r="L398" s="892" t="s">
        <v>58</v>
      </c>
      <c r="M398" s="621">
        <v>12</v>
      </c>
      <c r="N398" s="621">
        <v>12</v>
      </c>
      <c r="O398" s="621">
        <v>12</v>
      </c>
      <c r="P398" s="940">
        <v>12</v>
      </c>
      <c r="Q398" s="621">
        <v>12</v>
      </c>
      <c r="R398" s="814"/>
      <c r="S398" s="893">
        <v>12</v>
      </c>
      <c r="T398" s="621">
        <v>12</v>
      </c>
      <c r="U398" s="621"/>
      <c r="V398" s="893">
        <v>12</v>
      </c>
      <c r="W398" s="621">
        <v>12</v>
      </c>
      <c r="X398" s="892"/>
      <c r="Y398" s="639">
        <v>12</v>
      </c>
      <c r="Z398" s="852">
        <f t="shared" si="853"/>
        <v>3.2254534083802377E-3</v>
      </c>
      <c r="AA398" s="682">
        <v>16</v>
      </c>
      <c r="AB398" s="813" t="s">
        <v>376</v>
      </c>
      <c r="AC398" s="830"/>
      <c r="AD398" s="831"/>
      <c r="AE398" s="818"/>
      <c r="AF398" s="818"/>
      <c r="AG398" s="831"/>
      <c r="AH398" s="831"/>
      <c r="AI398" s="831"/>
      <c r="AJ398" s="831"/>
      <c r="AK398" s="818">
        <v>15472500</v>
      </c>
      <c r="AL398" s="818">
        <v>15172500</v>
      </c>
      <c r="AM398" s="831">
        <v>12800000</v>
      </c>
      <c r="AN398" s="831">
        <v>12800000</v>
      </c>
      <c r="AO398" s="951"/>
      <c r="AP398" s="952"/>
      <c r="AQ398" s="952"/>
      <c r="AR398" s="831"/>
      <c r="AS398" s="830"/>
      <c r="AT398" s="831"/>
      <c r="AU398" s="818"/>
      <c r="AV398" s="818"/>
      <c r="AW398" s="830"/>
      <c r="AX398" s="831"/>
      <c r="AY398" s="831"/>
      <c r="AZ398" s="831"/>
      <c r="BA398" s="830"/>
      <c r="BB398" s="831"/>
      <c r="BC398" s="831"/>
      <c r="BD398" s="831"/>
      <c r="BE398" s="830"/>
      <c r="BF398" s="831"/>
      <c r="BG398" s="818"/>
      <c r="BH398" s="818"/>
      <c r="BI398" s="830"/>
      <c r="BJ398" s="831"/>
      <c r="BK398" s="831"/>
      <c r="BL398" s="831"/>
      <c r="BM398" s="817">
        <f t="shared" si="854"/>
        <v>15472500</v>
      </c>
      <c r="BN398" s="818">
        <f t="shared" si="855"/>
        <v>15172500</v>
      </c>
      <c r="BO398" s="818">
        <f t="shared" si="856"/>
        <v>12800000</v>
      </c>
      <c r="BP398" s="818">
        <f t="shared" si="857"/>
        <v>12800000</v>
      </c>
      <c r="BQ398" s="667"/>
      <c r="BR398" s="667"/>
      <c r="BS398" s="667"/>
      <c r="BT398" s="667"/>
      <c r="BU398" s="667"/>
      <c r="BV398" s="667"/>
      <c r="BW398" s="667"/>
      <c r="BX398" s="667"/>
      <c r="BY398" s="667"/>
      <c r="BZ398" s="706">
        <v>12000000</v>
      </c>
      <c r="CA398" s="667">
        <v>27210000</v>
      </c>
      <c r="CB398" s="667">
        <v>27210000</v>
      </c>
      <c r="CC398" s="667">
        <v>27210000</v>
      </c>
      <c r="CD398" s="667"/>
      <c r="CE398" s="667"/>
      <c r="CF398" s="667"/>
      <c r="CG398" s="667"/>
      <c r="CH398" s="667"/>
      <c r="CI398" s="667"/>
      <c r="CJ398" s="667"/>
      <c r="CK398" s="667"/>
      <c r="CL398" s="667"/>
      <c r="CM398" s="667"/>
      <c r="CN398" s="667"/>
      <c r="CO398" s="667"/>
      <c r="CP398" s="667"/>
      <c r="CQ398" s="667"/>
      <c r="CR398" s="667"/>
      <c r="CS398" s="667"/>
      <c r="CT398" s="667"/>
      <c r="CU398" s="667"/>
      <c r="CV398" s="667"/>
      <c r="CW398" s="667"/>
      <c r="CX398" s="667"/>
      <c r="CY398" s="667"/>
      <c r="CZ398" s="667"/>
      <c r="DA398" s="667"/>
      <c r="DB398" s="667"/>
      <c r="DC398" s="667"/>
      <c r="DD398" s="667"/>
      <c r="DE398" s="708">
        <f t="shared" si="858"/>
        <v>12000000</v>
      </c>
      <c r="DF398" s="953">
        <f t="shared" si="859"/>
        <v>27210000</v>
      </c>
      <c r="DG398" s="953">
        <f t="shared" si="860"/>
        <v>27210000</v>
      </c>
      <c r="DH398" s="708">
        <f t="shared" si="861"/>
        <v>27210000</v>
      </c>
      <c r="DI398" s="708"/>
      <c r="DJ398" s="706"/>
      <c r="DK398" s="706"/>
      <c r="DL398" s="706"/>
      <c r="DM398" s="706"/>
      <c r="DN398" s="706"/>
      <c r="DO398" s="706">
        <v>9000000</v>
      </c>
      <c r="DP398" s="706"/>
      <c r="DQ398" s="706"/>
      <c r="DR398" s="706"/>
      <c r="DS398" s="706">
        <v>12000000</v>
      </c>
      <c r="DT398" s="706">
        <v>21000000</v>
      </c>
      <c r="DU398" s="706">
        <v>21000000</v>
      </c>
      <c r="DV398" s="706">
        <v>21000000</v>
      </c>
      <c r="DW398" s="706"/>
      <c r="DX398" s="706"/>
      <c r="DY398" s="706"/>
      <c r="DZ398" s="706"/>
      <c r="EA398" s="706"/>
      <c r="EB398" s="706"/>
      <c r="EC398" s="706"/>
      <c r="ED398" s="706"/>
      <c r="EE398" s="706"/>
      <c r="EF398" s="706"/>
      <c r="EG398" s="706"/>
      <c r="EH398" s="706"/>
      <c r="EI398" s="706"/>
      <c r="EJ398" s="706"/>
      <c r="EK398" s="706"/>
      <c r="EL398" s="706"/>
      <c r="EM398" s="706"/>
      <c r="EN398" s="706"/>
      <c r="EO398" s="667"/>
      <c r="EP398" s="667"/>
      <c r="EQ398" s="667"/>
      <c r="ER398" s="667"/>
      <c r="ES398" s="667"/>
      <c r="ET398" s="667"/>
      <c r="EU398" s="667"/>
      <c r="EV398" s="667"/>
      <c r="EW398" s="708">
        <f t="shared" si="862"/>
        <v>12000000</v>
      </c>
      <c r="EX398" s="819">
        <f t="shared" si="862"/>
        <v>30000000</v>
      </c>
      <c r="EY398" s="819">
        <f t="shared" si="863"/>
        <v>21000000</v>
      </c>
      <c r="EZ398" s="819">
        <f t="shared" si="864"/>
        <v>21000000</v>
      </c>
      <c r="FA398" s="820"/>
      <c r="FB398" s="667"/>
      <c r="FC398" s="706"/>
      <c r="FD398" s="706"/>
      <c r="FE398" s="706"/>
      <c r="FF398" s="707"/>
      <c r="FG398" s="667"/>
      <c r="FH398" s="667"/>
      <c r="FI398" s="667"/>
      <c r="FJ398" s="667"/>
      <c r="FK398" s="667"/>
      <c r="FL398" s="706">
        <v>12000000</v>
      </c>
      <c r="FM398" s="667">
        <v>21000000</v>
      </c>
      <c r="FN398" s="667">
        <v>21000000</v>
      </c>
      <c r="FO398" s="667">
        <v>17915000</v>
      </c>
      <c r="FP398" s="667"/>
      <c r="FQ398" s="667"/>
      <c r="FR398" s="667"/>
      <c r="FS398" s="667"/>
      <c r="FT398" s="667"/>
      <c r="FU398" s="667"/>
      <c r="FV398" s="667"/>
      <c r="FW398" s="667"/>
      <c r="FX398" s="667"/>
      <c r="FY398" s="667"/>
      <c r="FZ398" s="667"/>
      <c r="GA398" s="667"/>
      <c r="GB398" s="667"/>
      <c r="GC398" s="667"/>
      <c r="GD398" s="667"/>
      <c r="GE398" s="667"/>
      <c r="GF398" s="667"/>
      <c r="GG398" s="667"/>
      <c r="GH398" s="667"/>
      <c r="GI398" s="667"/>
      <c r="GJ398" s="667"/>
      <c r="GK398" s="667"/>
      <c r="GL398" s="667"/>
      <c r="GM398" s="667"/>
      <c r="GN398" s="667"/>
      <c r="GO398" s="667"/>
      <c r="GP398" s="667"/>
      <c r="GQ398" s="667"/>
      <c r="GR398" s="667"/>
      <c r="GS398" s="667"/>
      <c r="GT398" s="667"/>
      <c r="GU398" s="708">
        <f t="shared" si="865"/>
        <v>12000000</v>
      </c>
      <c r="GV398" s="708">
        <f t="shared" si="866"/>
        <v>21000000</v>
      </c>
      <c r="GW398" s="708">
        <f t="shared" si="867"/>
        <v>21000000</v>
      </c>
      <c r="GX398" s="708">
        <f t="shared" si="868"/>
        <v>17915000</v>
      </c>
      <c r="GY398" s="709">
        <f t="shared" si="869"/>
        <v>0</v>
      </c>
      <c r="GZ398" s="710">
        <f t="shared" si="870"/>
        <v>51472500</v>
      </c>
    </row>
    <row r="399" spans="1:208" s="711" customFormat="1" ht="141" customHeight="1" x14ac:dyDescent="0.2">
      <c r="A399" s="703"/>
      <c r="B399" s="703"/>
      <c r="C399" s="822"/>
      <c r="D399" s="685"/>
      <c r="E399" s="822"/>
      <c r="F399" s="822"/>
      <c r="G399" s="682">
        <v>270</v>
      </c>
      <c r="H399" s="939" t="s">
        <v>885</v>
      </c>
      <c r="I399" s="821" t="s">
        <v>886</v>
      </c>
      <c r="J399" s="813" t="s">
        <v>822</v>
      </c>
      <c r="K399" s="892">
        <v>17</v>
      </c>
      <c r="L399" s="892" t="s">
        <v>58</v>
      </c>
      <c r="M399" s="621" t="s">
        <v>53</v>
      </c>
      <c r="N399" s="621">
        <v>12</v>
      </c>
      <c r="O399" s="621">
        <v>12</v>
      </c>
      <c r="P399" s="940">
        <v>12</v>
      </c>
      <c r="Q399" s="621">
        <v>12</v>
      </c>
      <c r="R399" s="814"/>
      <c r="S399" s="893">
        <v>12</v>
      </c>
      <c r="T399" s="621">
        <v>12</v>
      </c>
      <c r="U399" s="621"/>
      <c r="V399" s="893">
        <v>12</v>
      </c>
      <c r="W399" s="621">
        <v>12</v>
      </c>
      <c r="X399" s="892"/>
      <c r="Y399" s="639">
        <v>12</v>
      </c>
      <c r="Z399" s="852">
        <f t="shared" si="853"/>
        <v>3.1629143214509069E-3</v>
      </c>
      <c r="AA399" s="682">
        <v>16</v>
      </c>
      <c r="AB399" s="813" t="s">
        <v>376</v>
      </c>
      <c r="AC399" s="830"/>
      <c r="AD399" s="831"/>
      <c r="AE399" s="818"/>
      <c r="AF399" s="818"/>
      <c r="AG399" s="831"/>
      <c r="AH399" s="831"/>
      <c r="AI399" s="831"/>
      <c r="AJ399" s="831"/>
      <c r="AK399" s="818">
        <v>15172500</v>
      </c>
      <c r="AL399" s="818">
        <v>15172500</v>
      </c>
      <c r="AM399" s="831">
        <v>10000000</v>
      </c>
      <c r="AN399" s="831">
        <v>10000000</v>
      </c>
      <c r="AO399" s="817"/>
      <c r="AP399" s="818"/>
      <c r="AQ399" s="818"/>
      <c r="AR399" s="831"/>
      <c r="AS399" s="830"/>
      <c r="AT399" s="831"/>
      <c r="AU399" s="818"/>
      <c r="AV399" s="818"/>
      <c r="AW399" s="830"/>
      <c r="AX399" s="831"/>
      <c r="AY399" s="831"/>
      <c r="AZ399" s="831"/>
      <c r="BA399" s="830"/>
      <c r="BB399" s="831"/>
      <c r="BC399" s="831"/>
      <c r="BD399" s="831"/>
      <c r="BE399" s="830"/>
      <c r="BF399" s="831"/>
      <c r="BG399" s="818"/>
      <c r="BH399" s="818"/>
      <c r="BI399" s="830"/>
      <c r="BJ399" s="831"/>
      <c r="BK399" s="831"/>
      <c r="BL399" s="831"/>
      <c r="BM399" s="817">
        <f t="shared" si="854"/>
        <v>15172500</v>
      </c>
      <c r="BN399" s="818">
        <f t="shared" si="855"/>
        <v>15172500</v>
      </c>
      <c r="BO399" s="818">
        <f t="shared" si="856"/>
        <v>10000000</v>
      </c>
      <c r="BP399" s="818">
        <f t="shared" si="857"/>
        <v>10000000</v>
      </c>
      <c r="BQ399" s="667"/>
      <c r="BR399" s="667"/>
      <c r="BS399" s="667"/>
      <c r="BT399" s="667"/>
      <c r="BU399" s="667"/>
      <c r="BV399" s="667"/>
      <c r="BW399" s="667"/>
      <c r="BX399" s="667"/>
      <c r="BY399" s="667"/>
      <c r="BZ399" s="706">
        <v>15000000</v>
      </c>
      <c r="CA399" s="667">
        <v>15000000</v>
      </c>
      <c r="CB399" s="667">
        <v>11080000</v>
      </c>
      <c r="CC399" s="667">
        <v>11080000</v>
      </c>
      <c r="CD399" s="667"/>
      <c r="CE399" s="667"/>
      <c r="CF399" s="667"/>
      <c r="CG399" s="667"/>
      <c r="CH399" s="667"/>
      <c r="CI399" s="667"/>
      <c r="CJ399" s="667"/>
      <c r="CK399" s="667"/>
      <c r="CL399" s="667"/>
      <c r="CM399" s="667"/>
      <c r="CN399" s="667"/>
      <c r="CO399" s="667"/>
      <c r="CP399" s="667"/>
      <c r="CQ399" s="667"/>
      <c r="CR399" s="667"/>
      <c r="CS399" s="667"/>
      <c r="CT399" s="667"/>
      <c r="CU399" s="667"/>
      <c r="CV399" s="667"/>
      <c r="CW399" s="667"/>
      <c r="CX399" s="667"/>
      <c r="CY399" s="667"/>
      <c r="CZ399" s="667"/>
      <c r="DA399" s="667"/>
      <c r="DB399" s="667"/>
      <c r="DC399" s="667"/>
      <c r="DD399" s="667"/>
      <c r="DE399" s="708">
        <f t="shared" si="858"/>
        <v>15000000</v>
      </c>
      <c r="DF399" s="708">
        <f t="shared" si="859"/>
        <v>15000000</v>
      </c>
      <c r="DG399" s="708">
        <f t="shared" si="860"/>
        <v>11080000</v>
      </c>
      <c r="DH399" s="708">
        <f t="shared" si="861"/>
        <v>11080000</v>
      </c>
      <c r="DI399" s="708"/>
      <c r="DJ399" s="706"/>
      <c r="DK399" s="706"/>
      <c r="DL399" s="706"/>
      <c r="DM399" s="706"/>
      <c r="DN399" s="706"/>
      <c r="DO399" s="706"/>
      <c r="DP399" s="706"/>
      <c r="DQ399" s="706"/>
      <c r="DR399" s="706"/>
      <c r="DS399" s="706">
        <v>15000000</v>
      </c>
      <c r="DT399" s="706">
        <v>21000000</v>
      </c>
      <c r="DU399" s="706">
        <v>17620000</v>
      </c>
      <c r="DV399" s="706">
        <v>17620000</v>
      </c>
      <c r="DW399" s="706"/>
      <c r="DX399" s="706"/>
      <c r="DY399" s="706"/>
      <c r="DZ399" s="706"/>
      <c r="EA399" s="706"/>
      <c r="EB399" s="706"/>
      <c r="EC399" s="706"/>
      <c r="ED399" s="706"/>
      <c r="EE399" s="706"/>
      <c r="EF399" s="706"/>
      <c r="EG399" s="706"/>
      <c r="EH399" s="706"/>
      <c r="EI399" s="706"/>
      <c r="EJ399" s="706"/>
      <c r="EK399" s="706"/>
      <c r="EL399" s="706"/>
      <c r="EM399" s="706"/>
      <c r="EN399" s="706"/>
      <c r="EO399" s="667"/>
      <c r="EP399" s="667"/>
      <c r="EQ399" s="667"/>
      <c r="ER399" s="667"/>
      <c r="ES399" s="667"/>
      <c r="ET399" s="667"/>
      <c r="EU399" s="667"/>
      <c r="EV399" s="667"/>
      <c r="EW399" s="708">
        <f t="shared" si="862"/>
        <v>15000000</v>
      </c>
      <c r="EX399" s="819">
        <f t="shared" si="862"/>
        <v>21000000</v>
      </c>
      <c r="EY399" s="819">
        <f t="shared" si="863"/>
        <v>17620000</v>
      </c>
      <c r="EZ399" s="819">
        <f t="shared" si="864"/>
        <v>17620000</v>
      </c>
      <c r="FA399" s="820"/>
      <c r="FB399" s="667"/>
      <c r="FC399" s="706"/>
      <c r="FD399" s="706"/>
      <c r="FE399" s="706"/>
      <c r="FF399" s="707"/>
      <c r="FG399" s="667"/>
      <c r="FH399" s="667"/>
      <c r="FI399" s="667"/>
      <c r="FJ399" s="667"/>
      <c r="FK399" s="667"/>
      <c r="FL399" s="706">
        <v>15000000</v>
      </c>
      <c r="FM399" s="667">
        <v>21000000</v>
      </c>
      <c r="FN399" s="667">
        <v>18140933</v>
      </c>
      <c r="FO399" s="667"/>
      <c r="FP399" s="667"/>
      <c r="FQ399" s="667"/>
      <c r="FR399" s="667"/>
      <c r="FS399" s="667"/>
      <c r="FT399" s="667"/>
      <c r="FU399" s="667"/>
      <c r="FV399" s="667"/>
      <c r="FW399" s="667"/>
      <c r="FX399" s="667"/>
      <c r="FY399" s="667"/>
      <c r="FZ399" s="667"/>
      <c r="GA399" s="667"/>
      <c r="GB399" s="667"/>
      <c r="GC399" s="667"/>
      <c r="GD399" s="667"/>
      <c r="GE399" s="667"/>
      <c r="GF399" s="667"/>
      <c r="GG399" s="667"/>
      <c r="GH399" s="667"/>
      <c r="GI399" s="667"/>
      <c r="GJ399" s="667"/>
      <c r="GK399" s="667"/>
      <c r="GL399" s="667"/>
      <c r="GM399" s="667"/>
      <c r="GN399" s="667"/>
      <c r="GO399" s="667"/>
      <c r="GP399" s="667"/>
      <c r="GQ399" s="667"/>
      <c r="GR399" s="667"/>
      <c r="GS399" s="667"/>
      <c r="GT399" s="667"/>
      <c r="GU399" s="708">
        <f t="shared" si="865"/>
        <v>15000000</v>
      </c>
      <c r="GV399" s="708">
        <f t="shared" si="866"/>
        <v>21000000</v>
      </c>
      <c r="GW399" s="708">
        <f t="shared" si="867"/>
        <v>18140933</v>
      </c>
      <c r="GX399" s="708">
        <f t="shared" si="868"/>
        <v>0</v>
      </c>
      <c r="GY399" s="709">
        <f t="shared" si="869"/>
        <v>0</v>
      </c>
      <c r="GZ399" s="710">
        <f t="shared" si="870"/>
        <v>60172500</v>
      </c>
    </row>
    <row r="400" spans="1:208" s="711" customFormat="1" ht="149.25" customHeight="1" x14ac:dyDescent="0.2">
      <c r="A400" s="703"/>
      <c r="B400" s="703"/>
      <c r="C400" s="822"/>
      <c r="D400" s="685"/>
      <c r="E400" s="822"/>
      <c r="F400" s="822"/>
      <c r="G400" s="682">
        <v>271</v>
      </c>
      <c r="H400" s="939" t="s">
        <v>887</v>
      </c>
      <c r="I400" s="821" t="s">
        <v>886</v>
      </c>
      <c r="J400" s="813" t="s">
        <v>822</v>
      </c>
      <c r="K400" s="892">
        <v>17</v>
      </c>
      <c r="L400" s="892" t="s">
        <v>58</v>
      </c>
      <c r="M400" s="621">
        <v>12</v>
      </c>
      <c r="N400" s="621">
        <v>12</v>
      </c>
      <c r="O400" s="621">
        <v>12</v>
      </c>
      <c r="P400" s="940">
        <v>12</v>
      </c>
      <c r="Q400" s="621">
        <v>12</v>
      </c>
      <c r="R400" s="814"/>
      <c r="S400" s="893">
        <v>12</v>
      </c>
      <c r="T400" s="621">
        <v>12</v>
      </c>
      <c r="U400" s="621"/>
      <c r="V400" s="893">
        <v>12</v>
      </c>
      <c r="W400" s="621">
        <v>12</v>
      </c>
      <c r="X400" s="892"/>
      <c r="Y400" s="639">
        <v>12</v>
      </c>
      <c r="Z400" s="852">
        <f t="shared" si="853"/>
        <v>5.5644152595372108E-3</v>
      </c>
      <c r="AA400" s="682">
        <v>3</v>
      </c>
      <c r="AB400" s="813" t="s">
        <v>455</v>
      </c>
      <c r="AC400" s="830"/>
      <c r="AD400" s="831"/>
      <c r="AE400" s="818"/>
      <c r="AF400" s="818"/>
      <c r="AG400" s="831"/>
      <c r="AH400" s="831"/>
      <c r="AI400" s="831"/>
      <c r="AJ400" s="831"/>
      <c r="AK400" s="818">
        <v>26692500</v>
      </c>
      <c r="AL400" s="818">
        <v>28492500</v>
      </c>
      <c r="AM400" s="818">
        <v>20400000</v>
      </c>
      <c r="AN400" s="818">
        <v>20400000</v>
      </c>
      <c r="AO400" s="817"/>
      <c r="AP400" s="818"/>
      <c r="AQ400" s="818"/>
      <c r="AR400" s="831"/>
      <c r="AS400" s="830"/>
      <c r="AT400" s="831"/>
      <c r="AU400" s="818"/>
      <c r="AV400" s="818"/>
      <c r="AW400" s="830"/>
      <c r="AX400" s="831"/>
      <c r="AY400" s="831"/>
      <c r="AZ400" s="831"/>
      <c r="BA400" s="830"/>
      <c r="BB400" s="831"/>
      <c r="BC400" s="831"/>
      <c r="BD400" s="831"/>
      <c r="BE400" s="830"/>
      <c r="BF400" s="831"/>
      <c r="BG400" s="818"/>
      <c r="BH400" s="818"/>
      <c r="BI400" s="830"/>
      <c r="BJ400" s="831"/>
      <c r="BK400" s="831"/>
      <c r="BL400" s="831"/>
      <c r="BM400" s="817">
        <f t="shared" si="854"/>
        <v>26692500</v>
      </c>
      <c r="BN400" s="818">
        <f t="shared" si="855"/>
        <v>28492500</v>
      </c>
      <c r="BO400" s="818">
        <f t="shared" si="856"/>
        <v>20400000</v>
      </c>
      <c r="BP400" s="818">
        <f t="shared" si="857"/>
        <v>20400000</v>
      </c>
      <c r="BQ400" s="667"/>
      <c r="BR400" s="667"/>
      <c r="BS400" s="667"/>
      <c r="BT400" s="667"/>
      <c r="BU400" s="667"/>
      <c r="BV400" s="667">
        <v>17463333</v>
      </c>
      <c r="BW400" s="667">
        <v>17463333</v>
      </c>
      <c r="BX400" s="667">
        <v>17463333</v>
      </c>
      <c r="BY400" s="667"/>
      <c r="BZ400" s="706">
        <v>28492500</v>
      </c>
      <c r="CA400" s="667">
        <v>18440860</v>
      </c>
      <c r="CB400" s="667">
        <v>18440860</v>
      </c>
      <c r="CC400" s="667">
        <v>18440860</v>
      </c>
      <c r="CD400" s="667"/>
      <c r="CE400" s="667"/>
      <c r="CF400" s="667"/>
      <c r="CG400" s="667"/>
      <c r="CH400" s="667"/>
      <c r="CI400" s="667"/>
      <c r="CJ400" s="667"/>
      <c r="CK400" s="667"/>
      <c r="CL400" s="667"/>
      <c r="CM400" s="667"/>
      <c r="CN400" s="667"/>
      <c r="CO400" s="667"/>
      <c r="CP400" s="667"/>
      <c r="CQ400" s="667"/>
      <c r="CR400" s="667"/>
      <c r="CS400" s="667"/>
      <c r="CT400" s="667"/>
      <c r="CU400" s="667"/>
      <c r="CV400" s="667"/>
      <c r="CW400" s="667"/>
      <c r="CX400" s="667"/>
      <c r="CY400" s="667"/>
      <c r="CZ400" s="667"/>
      <c r="DA400" s="667"/>
      <c r="DB400" s="667"/>
      <c r="DC400" s="667"/>
      <c r="DD400" s="667"/>
      <c r="DE400" s="708">
        <f t="shared" si="858"/>
        <v>28492500</v>
      </c>
      <c r="DF400" s="708">
        <f>BR400+BV400+CA400+CF400+CJ400+CN400+CR400+CW400+DB400</f>
        <v>35904193</v>
      </c>
      <c r="DG400" s="708">
        <f>BS400+BW400+CB400+CG400+CK400+CO400+CS400+CX400+DC400</f>
        <v>35904193</v>
      </c>
      <c r="DH400" s="708">
        <f>BT400+BX400+CC400+CH400+CL400+CP400+CT400+CY400+DD400</f>
        <v>35904193</v>
      </c>
      <c r="DI400" s="708"/>
      <c r="DJ400" s="667"/>
      <c r="DK400" s="667"/>
      <c r="DL400" s="667"/>
      <c r="DM400" s="667"/>
      <c r="DN400" s="667"/>
      <c r="DO400" s="667"/>
      <c r="DP400" s="667"/>
      <c r="DQ400" s="667"/>
      <c r="DR400" s="667"/>
      <c r="DS400" s="706">
        <v>28492500</v>
      </c>
      <c r="DT400" s="667">
        <v>38500000</v>
      </c>
      <c r="DU400" s="667">
        <v>38500000</v>
      </c>
      <c r="DV400" s="667">
        <v>38500000</v>
      </c>
      <c r="DW400" s="667"/>
      <c r="DX400" s="667"/>
      <c r="DY400" s="667"/>
      <c r="DZ400" s="667"/>
      <c r="EA400" s="667"/>
      <c r="EB400" s="667"/>
      <c r="EC400" s="667"/>
      <c r="ED400" s="667"/>
      <c r="EE400" s="667"/>
      <c r="EF400" s="667"/>
      <c r="EG400" s="667"/>
      <c r="EH400" s="667"/>
      <c r="EI400" s="667"/>
      <c r="EJ400" s="667"/>
      <c r="EK400" s="667"/>
      <c r="EL400" s="667"/>
      <c r="EM400" s="667"/>
      <c r="EN400" s="667"/>
      <c r="EO400" s="667"/>
      <c r="EP400" s="667"/>
      <c r="EQ400" s="667"/>
      <c r="ER400" s="667"/>
      <c r="ES400" s="667"/>
      <c r="ET400" s="667"/>
      <c r="EU400" s="667"/>
      <c r="EV400" s="667"/>
      <c r="EW400" s="708">
        <f t="shared" si="862"/>
        <v>28492500</v>
      </c>
      <c r="EX400" s="819">
        <f t="shared" si="862"/>
        <v>38500000</v>
      </c>
      <c r="EY400" s="819">
        <f t="shared" si="863"/>
        <v>38500000</v>
      </c>
      <c r="EZ400" s="819">
        <f t="shared" si="864"/>
        <v>38500000</v>
      </c>
      <c r="FA400" s="820"/>
      <c r="FB400" s="667"/>
      <c r="FC400" s="706"/>
      <c r="FD400" s="706"/>
      <c r="FE400" s="706"/>
      <c r="FF400" s="707"/>
      <c r="FG400" s="667"/>
      <c r="FH400" s="667">
        <v>2030000</v>
      </c>
      <c r="FI400" s="667">
        <v>2030000</v>
      </c>
      <c r="FJ400" s="667"/>
      <c r="FK400" s="667"/>
      <c r="FL400" s="706">
        <v>28492500</v>
      </c>
      <c r="FM400" s="667">
        <v>38200000</v>
      </c>
      <c r="FN400" s="667">
        <v>37456400</v>
      </c>
      <c r="FO400" s="667">
        <v>17915000</v>
      </c>
      <c r="FP400" s="667"/>
      <c r="FQ400" s="667"/>
      <c r="FR400" s="667"/>
      <c r="FS400" s="667"/>
      <c r="FT400" s="667"/>
      <c r="FU400" s="667"/>
      <c r="FV400" s="667"/>
      <c r="FW400" s="667"/>
      <c r="FX400" s="667"/>
      <c r="FY400" s="667"/>
      <c r="FZ400" s="667"/>
      <c r="GA400" s="667"/>
      <c r="GB400" s="667"/>
      <c r="GC400" s="667"/>
      <c r="GD400" s="667"/>
      <c r="GE400" s="667"/>
      <c r="GF400" s="667"/>
      <c r="GG400" s="667"/>
      <c r="GH400" s="667"/>
      <c r="GI400" s="667"/>
      <c r="GJ400" s="667"/>
      <c r="GK400" s="667"/>
      <c r="GL400" s="667"/>
      <c r="GM400" s="667"/>
      <c r="GN400" s="667"/>
      <c r="GO400" s="667"/>
      <c r="GP400" s="667"/>
      <c r="GQ400" s="667"/>
      <c r="GR400" s="667"/>
      <c r="GS400" s="667"/>
      <c r="GT400" s="667"/>
      <c r="GU400" s="708">
        <f t="shared" si="865"/>
        <v>28492500</v>
      </c>
      <c r="GV400" s="708">
        <f t="shared" si="866"/>
        <v>40230000</v>
      </c>
      <c r="GW400" s="708">
        <f t="shared" si="867"/>
        <v>39486400</v>
      </c>
      <c r="GX400" s="708">
        <f t="shared" si="868"/>
        <v>17915000</v>
      </c>
      <c r="GY400" s="709">
        <f t="shared" si="869"/>
        <v>0</v>
      </c>
      <c r="GZ400" s="710">
        <f t="shared" si="870"/>
        <v>112170000</v>
      </c>
    </row>
    <row r="401" spans="1:208" s="711" customFormat="1" ht="192.75" customHeight="1" x14ac:dyDescent="0.2">
      <c r="A401" s="703"/>
      <c r="B401" s="703"/>
      <c r="C401" s="822"/>
      <c r="D401" s="685"/>
      <c r="E401" s="822"/>
      <c r="F401" s="822"/>
      <c r="G401" s="682">
        <v>272</v>
      </c>
      <c r="H401" s="939" t="s">
        <v>888</v>
      </c>
      <c r="I401" s="821" t="s">
        <v>886</v>
      </c>
      <c r="J401" s="813" t="s">
        <v>822</v>
      </c>
      <c r="K401" s="892">
        <v>17</v>
      </c>
      <c r="L401" s="892" t="s">
        <v>58</v>
      </c>
      <c r="M401" s="621" t="s">
        <v>53</v>
      </c>
      <c r="N401" s="621">
        <v>12</v>
      </c>
      <c r="O401" s="621">
        <v>12</v>
      </c>
      <c r="P401" s="940">
        <v>12</v>
      </c>
      <c r="Q401" s="621">
        <v>12</v>
      </c>
      <c r="R401" s="814"/>
      <c r="S401" s="893">
        <v>12</v>
      </c>
      <c r="T401" s="621">
        <v>12</v>
      </c>
      <c r="U401" s="621"/>
      <c r="V401" s="893">
        <v>12</v>
      </c>
      <c r="W401" s="621">
        <v>12</v>
      </c>
      <c r="X401" s="892"/>
      <c r="Y401" s="639">
        <v>10</v>
      </c>
      <c r="Z401" s="852">
        <f t="shared" si="853"/>
        <v>3.475609756097561E-3</v>
      </c>
      <c r="AA401" s="682">
        <v>16</v>
      </c>
      <c r="AB401" s="813" t="s">
        <v>376</v>
      </c>
      <c r="AC401" s="830"/>
      <c r="AD401" s="831"/>
      <c r="AE401" s="818"/>
      <c r="AF401" s="818"/>
      <c r="AG401" s="831"/>
      <c r="AH401" s="831"/>
      <c r="AI401" s="831"/>
      <c r="AJ401" s="831"/>
      <c r="AK401" s="818">
        <v>16672500</v>
      </c>
      <c r="AL401" s="818">
        <v>15172500</v>
      </c>
      <c r="AM401" s="831">
        <v>14000000</v>
      </c>
      <c r="AN401" s="831">
        <v>14000000</v>
      </c>
      <c r="AO401" s="830"/>
      <c r="AP401" s="831"/>
      <c r="AQ401" s="831"/>
      <c r="AR401" s="831"/>
      <c r="AS401" s="830"/>
      <c r="AT401" s="831"/>
      <c r="AU401" s="818"/>
      <c r="AV401" s="818"/>
      <c r="AW401" s="830"/>
      <c r="AX401" s="831"/>
      <c r="AY401" s="831"/>
      <c r="AZ401" s="831"/>
      <c r="BA401" s="830"/>
      <c r="BB401" s="831"/>
      <c r="BC401" s="831"/>
      <c r="BD401" s="831"/>
      <c r="BE401" s="830"/>
      <c r="BF401" s="831"/>
      <c r="BG401" s="818"/>
      <c r="BH401" s="818"/>
      <c r="BI401" s="830"/>
      <c r="BJ401" s="831"/>
      <c r="BK401" s="831"/>
      <c r="BL401" s="831"/>
      <c r="BM401" s="817">
        <f t="shared" si="854"/>
        <v>16672500</v>
      </c>
      <c r="BN401" s="818">
        <f t="shared" si="855"/>
        <v>15172500</v>
      </c>
      <c r="BO401" s="818">
        <f t="shared" si="856"/>
        <v>14000000</v>
      </c>
      <c r="BP401" s="818">
        <f t="shared" si="857"/>
        <v>14000000</v>
      </c>
      <c r="BQ401" s="667"/>
      <c r="BR401" s="667"/>
      <c r="BS401" s="667"/>
      <c r="BT401" s="667"/>
      <c r="BU401" s="667"/>
      <c r="BV401" s="667">
        <v>17500000</v>
      </c>
      <c r="BW401" s="667">
        <v>17463333</v>
      </c>
      <c r="BX401" s="667">
        <v>17463333</v>
      </c>
      <c r="BY401" s="667"/>
      <c r="BZ401" s="706">
        <v>15000000</v>
      </c>
      <c r="CA401" s="667">
        <v>15000000</v>
      </c>
      <c r="CB401" s="667">
        <v>14995333</v>
      </c>
      <c r="CC401" s="667">
        <v>14995333</v>
      </c>
      <c r="CD401" s="667"/>
      <c r="CE401" s="667"/>
      <c r="CF401" s="667"/>
      <c r="CG401" s="667"/>
      <c r="CH401" s="667"/>
      <c r="CI401" s="667"/>
      <c r="CJ401" s="667"/>
      <c r="CK401" s="667"/>
      <c r="CL401" s="667"/>
      <c r="CM401" s="667"/>
      <c r="CN401" s="667"/>
      <c r="CO401" s="667"/>
      <c r="CP401" s="667"/>
      <c r="CQ401" s="667"/>
      <c r="CR401" s="667"/>
      <c r="CS401" s="667"/>
      <c r="CT401" s="667"/>
      <c r="CU401" s="667"/>
      <c r="CV401" s="667"/>
      <c r="CW401" s="667"/>
      <c r="CX401" s="667"/>
      <c r="CY401" s="667"/>
      <c r="CZ401" s="667"/>
      <c r="DA401" s="667"/>
      <c r="DB401" s="667"/>
      <c r="DC401" s="667"/>
      <c r="DD401" s="667"/>
      <c r="DE401" s="708">
        <f t="shared" si="858"/>
        <v>15000000</v>
      </c>
      <c r="DF401" s="708">
        <f t="shared" si="859"/>
        <v>32500000</v>
      </c>
      <c r="DG401" s="708">
        <f t="shared" si="860"/>
        <v>32458666</v>
      </c>
      <c r="DH401" s="708">
        <f t="shared" si="861"/>
        <v>32458666</v>
      </c>
      <c r="DI401" s="708"/>
      <c r="DJ401" s="667"/>
      <c r="DK401" s="667"/>
      <c r="DL401" s="667"/>
      <c r="DM401" s="667"/>
      <c r="DN401" s="667"/>
      <c r="DO401" s="667"/>
      <c r="DP401" s="667"/>
      <c r="DQ401" s="667"/>
      <c r="DR401" s="667"/>
      <c r="DS401" s="706">
        <v>15000000</v>
      </c>
      <c r="DT401" s="667">
        <v>38500000</v>
      </c>
      <c r="DU401" s="667">
        <v>36246667</v>
      </c>
      <c r="DV401" s="667">
        <v>36246667</v>
      </c>
      <c r="DW401" s="667"/>
      <c r="DX401" s="667"/>
      <c r="DY401" s="667"/>
      <c r="DZ401" s="667"/>
      <c r="EA401" s="667"/>
      <c r="EB401" s="667"/>
      <c r="EC401" s="667"/>
      <c r="ED401" s="667"/>
      <c r="EE401" s="667"/>
      <c r="EF401" s="667"/>
      <c r="EG401" s="667"/>
      <c r="EH401" s="667"/>
      <c r="EI401" s="667"/>
      <c r="EJ401" s="667"/>
      <c r="EK401" s="667"/>
      <c r="EL401" s="667"/>
      <c r="EM401" s="667"/>
      <c r="EN401" s="667"/>
      <c r="EO401" s="667"/>
      <c r="EP401" s="667"/>
      <c r="EQ401" s="667"/>
      <c r="ER401" s="667"/>
      <c r="ES401" s="667"/>
      <c r="ET401" s="667"/>
      <c r="EU401" s="667"/>
      <c r="EV401" s="667"/>
      <c r="EW401" s="708">
        <f t="shared" si="862"/>
        <v>15000000</v>
      </c>
      <c r="EX401" s="819">
        <f t="shared" si="862"/>
        <v>38500000</v>
      </c>
      <c r="EY401" s="819">
        <f t="shared" si="863"/>
        <v>36246667</v>
      </c>
      <c r="EZ401" s="819">
        <f t="shared" si="864"/>
        <v>36246667</v>
      </c>
      <c r="FA401" s="820"/>
      <c r="FB401" s="667"/>
      <c r="FC401" s="706"/>
      <c r="FD401" s="706"/>
      <c r="FE401" s="706"/>
      <c r="FF401" s="707"/>
      <c r="FG401" s="667"/>
      <c r="FH401" s="667">
        <v>2030000</v>
      </c>
      <c r="FI401" s="667">
        <v>1910567</v>
      </c>
      <c r="FJ401" s="667"/>
      <c r="FK401" s="667"/>
      <c r="FL401" s="706">
        <v>15000000</v>
      </c>
      <c r="FM401" s="667">
        <v>38200000</v>
      </c>
      <c r="FN401" s="667">
        <v>37456400</v>
      </c>
      <c r="FO401" s="667">
        <v>14332000</v>
      </c>
      <c r="FP401" s="667"/>
      <c r="FQ401" s="667"/>
      <c r="FR401" s="667"/>
      <c r="FS401" s="667"/>
      <c r="FT401" s="667"/>
      <c r="FU401" s="667"/>
      <c r="FV401" s="667"/>
      <c r="FW401" s="667"/>
      <c r="FX401" s="667"/>
      <c r="FY401" s="667"/>
      <c r="FZ401" s="667"/>
      <c r="GA401" s="667"/>
      <c r="GB401" s="667"/>
      <c r="GC401" s="667"/>
      <c r="GD401" s="667"/>
      <c r="GE401" s="667"/>
      <c r="GF401" s="667"/>
      <c r="GG401" s="667"/>
      <c r="GH401" s="667"/>
      <c r="GI401" s="667"/>
      <c r="GJ401" s="667"/>
      <c r="GK401" s="667"/>
      <c r="GL401" s="667"/>
      <c r="GM401" s="667"/>
      <c r="GN401" s="667"/>
      <c r="GO401" s="667"/>
      <c r="GP401" s="667"/>
      <c r="GQ401" s="667"/>
      <c r="GR401" s="667"/>
      <c r="GS401" s="667"/>
      <c r="GT401" s="667"/>
      <c r="GU401" s="708">
        <f t="shared" si="865"/>
        <v>15000000</v>
      </c>
      <c r="GV401" s="708">
        <f t="shared" si="866"/>
        <v>40230000</v>
      </c>
      <c r="GW401" s="708">
        <f t="shared" si="867"/>
        <v>39366967</v>
      </c>
      <c r="GX401" s="708">
        <f t="shared" si="868"/>
        <v>14332000</v>
      </c>
      <c r="GY401" s="709">
        <f t="shared" si="869"/>
        <v>0</v>
      </c>
      <c r="GZ401" s="710">
        <f t="shared" si="870"/>
        <v>61672500</v>
      </c>
    </row>
    <row r="402" spans="1:208" s="711" customFormat="1" ht="102.75" customHeight="1" x14ac:dyDescent="0.2">
      <c r="A402" s="703"/>
      <c r="B402" s="703"/>
      <c r="C402" s="822"/>
      <c r="D402" s="685"/>
      <c r="E402" s="822"/>
      <c r="F402" s="822"/>
      <c r="G402" s="682">
        <v>273</v>
      </c>
      <c r="H402" s="939" t="s">
        <v>889</v>
      </c>
      <c r="I402" s="821" t="s">
        <v>884</v>
      </c>
      <c r="J402" s="813" t="s">
        <v>822</v>
      </c>
      <c r="K402" s="892">
        <v>17</v>
      </c>
      <c r="L402" s="892" t="s">
        <v>58</v>
      </c>
      <c r="M402" s="621">
        <v>12</v>
      </c>
      <c r="N402" s="621">
        <v>12</v>
      </c>
      <c r="O402" s="621">
        <v>12</v>
      </c>
      <c r="P402" s="940">
        <v>12</v>
      </c>
      <c r="Q402" s="621">
        <v>12</v>
      </c>
      <c r="R402" s="814"/>
      <c r="S402" s="893">
        <v>12</v>
      </c>
      <c r="T402" s="621">
        <v>12</v>
      </c>
      <c r="U402" s="621"/>
      <c r="V402" s="893">
        <v>12</v>
      </c>
      <c r="W402" s="621">
        <v>12</v>
      </c>
      <c r="X402" s="892"/>
      <c r="Y402" s="639">
        <v>9</v>
      </c>
      <c r="Z402" s="852">
        <f t="shared" si="853"/>
        <v>5.5711903272878888E-4</v>
      </c>
      <c r="AA402" s="682">
        <v>17</v>
      </c>
      <c r="AB402" s="813" t="s">
        <v>837</v>
      </c>
      <c r="AC402" s="830"/>
      <c r="AD402" s="831"/>
      <c r="AE402" s="818"/>
      <c r="AF402" s="818"/>
      <c r="AG402" s="830"/>
      <c r="AH402" s="831"/>
      <c r="AI402" s="831"/>
      <c r="AJ402" s="831"/>
      <c r="AK402" s="818">
        <v>2672500</v>
      </c>
      <c r="AL402" s="818">
        <v>2672500</v>
      </c>
      <c r="AM402" s="818">
        <v>0</v>
      </c>
      <c r="AN402" s="818">
        <v>0</v>
      </c>
      <c r="AO402" s="817"/>
      <c r="AP402" s="818"/>
      <c r="AQ402" s="818"/>
      <c r="AR402" s="831"/>
      <c r="AS402" s="830"/>
      <c r="AT402" s="831"/>
      <c r="AU402" s="818"/>
      <c r="AV402" s="818"/>
      <c r="AW402" s="830"/>
      <c r="AX402" s="831"/>
      <c r="AY402" s="831"/>
      <c r="AZ402" s="831"/>
      <c r="BA402" s="830"/>
      <c r="BB402" s="831"/>
      <c r="BC402" s="831"/>
      <c r="BD402" s="831"/>
      <c r="BE402" s="830"/>
      <c r="BF402" s="831"/>
      <c r="BG402" s="818"/>
      <c r="BH402" s="818"/>
      <c r="BI402" s="830"/>
      <c r="BJ402" s="831"/>
      <c r="BK402" s="831"/>
      <c r="BL402" s="831"/>
      <c r="BM402" s="817">
        <f t="shared" si="854"/>
        <v>2672500</v>
      </c>
      <c r="BN402" s="818">
        <f t="shared" si="855"/>
        <v>2672500</v>
      </c>
      <c r="BO402" s="818">
        <f t="shared" si="856"/>
        <v>0</v>
      </c>
      <c r="BP402" s="818">
        <f t="shared" si="857"/>
        <v>0</v>
      </c>
      <c r="BQ402" s="667"/>
      <c r="BR402" s="667"/>
      <c r="BS402" s="667"/>
      <c r="BT402" s="667"/>
      <c r="BU402" s="667"/>
      <c r="BV402" s="667"/>
      <c r="BW402" s="667"/>
      <c r="BX402" s="667"/>
      <c r="BY402" s="667"/>
      <c r="BZ402" s="706">
        <v>2672500</v>
      </c>
      <c r="CA402" s="667">
        <v>2672500</v>
      </c>
      <c r="CB402" s="667">
        <v>2672500</v>
      </c>
      <c r="CC402" s="667">
        <v>2672500</v>
      </c>
      <c r="CD402" s="667"/>
      <c r="CE402" s="667"/>
      <c r="CF402" s="667"/>
      <c r="CG402" s="667"/>
      <c r="CH402" s="667"/>
      <c r="CI402" s="667"/>
      <c r="CJ402" s="667"/>
      <c r="CK402" s="667"/>
      <c r="CL402" s="667"/>
      <c r="CM402" s="667"/>
      <c r="CN402" s="667"/>
      <c r="CO402" s="667"/>
      <c r="CP402" s="667"/>
      <c r="CQ402" s="667"/>
      <c r="CR402" s="667"/>
      <c r="CS402" s="667"/>
      <c r="CT402" s="667"/>
      <c r="CU402" s="667"/>
      <c r="CV402" s="667"/>
      <c r="CW402" s="667"/>
      <c r="CX402" s="667"/>
      <c r="CY402" s="667"/>
      <c r="CZ402" s="667"/>
      <c r="DA402" s="667"/>
      <c r="DB402" s="667"/>
      <c r="DC402" s="667"/>
      <c r="DD402" s="667"/>
      <c r="DE402" s="708">
        <f t="shared" si="858"/>
        <v>2672500</v>
      </c>
      <c r="DF402" s="708">
        <f t="shared" si="859"/>
        <v>2672500</v>
      </c>
      <c r="DG402" s="708">
        <f t="shared" si="860"/>
        <v>2672500</v>
      </c>
      <c r="DH402" s="708">
        <f t="shared" si="861"/>
        <v>2672500</v>
      </c>
      <c r="DI402" s="708"/>
      <c r="DJ402" s="667"/>
      <c r="DK402" s="667"/>
      <c r="DL402" s="667"/>
      <c r="DM402" s="667"/>
      <c r="DN402" s="667"/>
      <c r="DO402" s="667"/>
      <c r="DP402" s="667"/>
      <c r="DQ402" s="667"/>
      <c r="DR402" s="667"/>
      <c r="DS402" s="706">
        <v>2672500</v>
      </c>
      <c r="DT402" s="667">
        <v>2000000</v>
      </c>
      <c r="DU402" s="667">
        <v>2000000</v>
      </c>
      <c r="DV402" s="667">
        <v>2000000</v>
      </c>
      <c r="DW402" s="667"/>
      <c r="DX402" s="667"/>
      <c r="DY402" s="667"/>
      <c r="DZ402" s="667"/>
      <c r="EA402" s="667"/>
      <c r="EB402" s="667"/>
      <c r="EC402" s="667"/>
      <c r="ED402" s="667"/>
      <c r="EE402" s="667"/>
      <c r="EF402" s="667"/>
      <c r="EG402" s="667"/>
      <c r="EH402" s="667"/>
      <c r="EI402" s="667"/>
      <c r="EJ402" s="667"/>
      <c r="EK402" s="667"/>
      <c r="EL402" s="667"/>
      <c r="EM402" s="667"/>
      <c r="EN402" s="667"/>
      <c r="EO402" s="667"/>
      <c r="EP402" s="667"/>
      <c r="EQ402" s="667"/>
      <c r="ER402" s="667"/>
      <c r="ES402" s="667"/>
      <c r="ET402" s="667"/>
      <c r="EU402" s="667"/>
      <c r="EV402" s="667"/>
      <c r="EW402" s="708">
        <f t="shared" si="862"/>
        <v>2672500</v>
      </c>
      <c r="EX402" s="819">
        <f t="shared" si="862"/>
        <v>2000000</v>
      </c>
      <c r="EY402" s="819">
        <f t="shared" si="863"/>
        <v>2000000</v>
      </c>
      <c r="EZ402" s="819">
        <f t="shared" si="864"/>
        <v>2000000</v>
      </c>
      <c r="FA402" s="820"/>
      <c r="FB402" s="667"/>
      <c r="FC402" s="706"/>
      <c r="FD402" s="706"/>
      <c r="FE402" s="706"/>
      <c r="FF402" s="707"/>
      <c r="FG402" s="667"/>
      <c r="FH402" s="667"/>
      <c r="FI402" s="667"/>
      <c r="FJ402" s="667"/>
      <c r="FK402" s="667"/>
      <c r="FL402" s="706">
        <v>2672500</v>
      </c>
      <c r="FM402" s="667">
        <v>1900000</v>
      </c>
      <c r="FN402" s="667">
        <v>1900000</v>
      </c>
      <c r="FO402" s="667"/>
      <c r="FP402" s="667"/>
      <c r="FQ402" s="667"/>
      <c r="FR402" s="667"/>
      <c r="FS402" s="667"/>
      <c r="FT402" s="667"/>
      <c r="FU402" s="667"/>
      <c r="FV402" s="667"/>
      <c r="FW402" s="667"/>
      <c r="FX402" s="667"/>
      <c r="FY402" s="667"/>
      <c r="FZ402" s="667"/>
      <c r="GA402" s="667"/>
      <c r="GB402" s="667"/>
      <c r="GC402" s="667"/>
      <c r="GD402" s="667"/>
      <c r="GE402" s="667"/>
      <c r="GF402" s="667"/>
      <c r="GG402" s="667"/>
      <c r="GH402" s="667"/>
      <c r="GI402" s="667"/>
      <c r="GJ402" s="667"/>
      <c r="GK402" s="667"/>
      <c r="GL402" s="667"/>
      <c r="GM402" s="667"/>
      <c r="GN402" s="667"/>
      <c r="GO402" s="667"/>
      <c r="GP402" s="667"/>
      <c r="GQ402" s="667"/>
      <c r="GR402" s="667"/>
      <c r="GS402" s="667"/>
      <c r="GT402" s="667"/>
      <c r="GU402" s="708">
        <f t="shared" si="865"/>
        <v>2672500</v>
      </c>
      <c r="GV402" s="708">
        <f t="shared" si="866"/>
        <v>1900000</v>
      </c>
      <c r="GW402" s="708">
        <f t="shared" si="867"/>
        <v>1900000</v>
      </c>
      <c r="GX402" s="708">
        <f t="shared" si="868"/>
        <v>0</v>
      </c>
      <c r="GY402" s="709">
        <f t="shared" si="869"/>
        <v>0</v>
      </c>
      <c r="GZ402" s="710">
        <f t="shared" si="870"/>
        <v>10690000</v>
      </c>
    </row>
    <row r="403" spans="1:208" s="711" customFormat="1" ht="83.25" customHeight="1" x14ac:dyDescent="0.2">
      <c r="A403" s="703"/>
      <c r="B403" s="703"/>
      <c r="C403" s="715"/>
      <c r="D403" s="826"/>
      <c r="E403" s="715"/>
      <c r="F403" s="715"/>
      <c r="G403" s="682">
        <v>274</v>
      </c>
      <c r="H403" s="939" t="s">
        <v>890</v>
      </c>
      <c r="I403" s="821" t="s">
        <v>884</v>
      </c>
      <c r="J403" s="813" t="s">
        <v>822</v>
      </c>
      <c r="K403" s="892">
        <v>17</v>
      </c>
      <c r="L403" s="892" t="s">
        <v>58</v>
      </c>
      <c r="M403" s="621" t="s">
        <v>53</v>
      </c>
      <c r="N403" s="621">
        <v>12</v>
      </c>
      <c r="O403" s="621">
        <v>12</v>
      </c>
      <c r="P403" s="940">
        <v>12</v>
      </c>
      <c r="Q403" s="621">
        <v>12</v>
      </c>
      <c r="R403" s="814"/>
      <c r="S403" s="893">
        <v>12</v>
      </c>
      <c r="T403" s="621">
        <v>12</v>
      </c>
      <c r="U403" s="621"/>
      <c r="V403" s="893">
        <v>12</v>
      </c>
      <c r="W403" s="621">
        <v>12</v>
      </c>
      <c r="X403" s="892"/>
      <c r="Y403" s="639">
        <v>12</v>
      </c>
      <c r="Z403" s="852">
        <f t="shared" si="853"/>
        <v>2.6417552637064833E-3</v>
      </c>
      <c r="AA403" s="682">
        <v>16</v>
      </c>
      <c r="AB403" s="813" t="s">
        <v>376</v>
      </c>
      <c r="AC403" s="830"/>
      <c r="AD403" s="831"/>
      <c r="AE403" s="818"/>
      <c r="AF403" s="818"/>
      <c r="AG403" s="830"/>
      <c r="AH403" s="831"/>
      <c r="AI403" s="831"/>
      <c r="AJ403" s="831"/>
      <c r="AK403" s="818">
        <v>12672500</v>
      </c>
      <c r="AL403" s="818">
        <v>12672500</v>
      </c>
      <c r="AM403" s="831">
        <v>9166666</v>
      </c>
      <c r="AN403" s="818">
        <v>9166666</v>
      </c>
      <c r="AO403" s="817"/>
      <c r="AP403" s="818"/>
      <c r="AQ403" s="818"/>
      <c r="AR403" s="831"/>
      <c r="AS403" s="830"/>
      <c r="AT403" s="831"/>
      <c r="AU403" s="818"/>
      <c r="AV403" s="818"/>
      <c r="AW403" s="830"/>
      <c r="AX403" s="831"/>
      <c r="AY403" s="831"/>
      <c r="AZ403" s="831"/>
      <c r="BA403" s="830"/>
      <c r="BB403" s="831"/>
      <c r="BC403" s="831"/>
      <c r="BD403" s="831"/>
      <c r="BE403" s="830"/>
      <c r="BF403" s="831"/>
      <c r="BG403" s="818"/>
      <c r="BH403" s="818"/>
      <c r="BI403" s="830"/>
      <c r="BJ403" s="831"/>
      <c r="BK403" s="831"/>
      <c r="BL403" s="831"/>
      <c r="BM403" s="817">
        <f t="shared" si="854"/>
        <v>12672500</v>
      </c>
      <c r="BN403" s="818">
        <f t="shared" si="855"/>
        <v>12672500</v>
      </c>
      <c r="BO403" s="818">
        <f t="shared" si="856"/>
        <v>9166666</v>
      </c>
      <c r="BP403" s="818">
        <f t="shared" si="857"/>
        <v>9166666</v>
      </c>
      <c r="BQ403" s="667"/>
      <c r="BR403" s="667"/>
      <c r="BS403" s="667"/>
      <c r="BT403" s="667"/>
      <c r="BU403" s="667"/>
      <c r="BV403" s="667"/>
      <c r="BW403" s="667"/>
      <c r="BX403" s="667"/>
      <c r="BY403" s="667"/>
      <c r="BZ403" s="706">
        <v>14135000</v>
      </c>
      <c r="CA403" s="667">
        <v>14135000</v>
      </c>
      <c r="CB403" s="667">
        <v>935000</v>
      </c>
      <c r="CC403" s="667">
        <v>935000</v>
      </c>
      <c r="CD403" s="667"/>
      <c r="CE403" s="667"/>
      <c r="CF403" s="667"/>
      <c r="CG403" s="667"/>
      <c r="CH403" s="667"/>
      <c r="CI403" s="667"/>
      <c r="CJ403" s="667"/>
      <c r="CK403" s="667"/>
      <c r="CL403" s="667"/>
      <c r="CM403" s="667"/>
      <c r="CN403" s="667"/>
      <c r="CO403" s="667"/>
      <c r="CP403" s="667"/>
      <c r="CQ403" s="667"/>
      <c r="CR403" s="667"/>
      <c r="CS403" s="667"/>
      <c r="CT403" s="667"/>
      <c r="CU403" s="667"/>
      <c r="CV403" s="667"/>
      <c r="CW403" s="667"/>
      <c r="CX403" s="667"/>
      <c r="CY403" s="667"/>
      <c r="CZ403" s="667"/>
      <c r="DA403" s="667"/>
      <c r="DB403" s="667"/>
      <c r="DC403" s="667"/>
      <c r="DD403" s="667"/>
      <c r="DE403" s="708">
        <f t="shared" si="858"/>
        <v>14135000</v>
      </c>
      <c r="DF403" s="708">
        <f t="shared" si="859"/>
        <v>14135000</v>
      </c>
      <c r="DG403" s="708">
        <f t="shared" si="860"/>
        <v>935000</v>
      </c>
      <c r="DH403" s="708">
        <f t="shared" si="861"/>
        <v>935000</v>
      </c>
      <c r="DI403" s="708"/>
      <c r="DJ403" s="667"/>
      <c r="DK403" s="667"/>
      <c r="DL403" s="667"/>
      <c r="DM403" s="667"/>
      <c r="DN403" s="667"/>
      <c r="DO403" s="667">
        <v>9000000</v>
      </c>
      <c r="DP403" s="667">
        <v>8200000</v>
      </c>
      <c r="DQ403" s="667">
        <v>8200000</v>
      </c>
      <c r="DR403" s="667"/>
      <c r="DS403" s="706">
        <v>14135000</v>
      </c>
      <c r="DT403" s="667">
        <v>21000000</v>
      </c>
      <c r="DU403" s="667">
        <v>21000000</v>
      </c>
      <c r="DV403" s="667">
        <v>21000000</v>
      </c>
      <c r="DW403" s="667"/>
      <c r="DX403" s="667"/>
      <c r="DY403" s="667"/>
      <c r="DZ403" s="667"/>
      <c r="EA403" s="667"/>
      <c r="EB403" s="667"/>
      <c r="EC403" s="667"/>
      <c r="ED403" s="667"/>
      <c r="EE403" s="667"/>
      <c r="EF403" s="667"/>
      <c r="EG403" s="667"/>
      <c r="EH403" s="667"/>
      <c r="EI403" s="667"/>
      <c r="EJ403" s="667"/>
      <c r="EK403" s="667"/>
      <c r="EL403" s="667"/>
      <c r="EM403" s="667"/>
      <c r="EN403" s="667"/>
      <c r="EO403" s="667"/>
      <c r="EP403" s="667"/>
      <c r="EQ403" s="667"/>
      <c r="ER403" s="667"/>
      <c r="ES403" s="667"/>
      <c r="ET403" s="667"/>
      <c r="EU403" s="667"/>
      <c r="EV403" s="667"/>
      <c r="EW403" s="708">
        <f t="shared" si="862"/>
        <v>14135000</v>
      </c>
      <c r="EX403" s="819">
        <f t="shared" si="862"/>
        <v>30000000</v>
      </c>
      <c r="EY403" s="819">
        <f t="shared" si="863"/>
        <v>29200000</v>
      </c>
      <c r="EZ403" s="819">
        <f t="shared" si="864"/>
        <v>29200000</v>
      </c>
      <c r="FA403" s="820"/>
      <c r="FB403" s="667"/>
      <c r="FC403" s="706"/>
      <c r="FD403" s="706"/>
      <c r="FE403" s="706"/>
      <c r="FF403" s="707"/>
      <c r="FG403" s="667"/>
      <c r="FH403" s="667">
        <v>15660000</v>
      </c>
      <c r="FI403" s="667"/>
      <c r="FJ403" s="667"/>
      <c r="FK403" s="667"/>
      <c r="FL403" s="706">
        <v>14135000</v>
      </c>
      <c r="FM403" s="667">
        <v>20500000</v>
      </c>
      <c r="FN403" s="667">
        <v>16084633</v>
      </c>
      <c r="FO403" s="667">
        <v>10749000</v>
      </c>
      <c r="FP403" s="667"/>
      <c r="FQ403" s="667"/>
      <c r="FR403" s="667"/>
      <c r="FS403" s="667"/>
      <c r="FT403" s="667"/>
      <c r="FU403" s="667"/>
      <c r="FV403" s="667"/>
      <c r="FW403" s="667"/>
      <c r="FX403" s="667"/>
      <c r="FY403" s="667"/>
      <c r="FZ403" s="667"/>
      <c r="GA403" s="667"/>
      <c r="GB403" s="667"/>
      <c r="GC403" s="667"/>
      <c r="GD403" s="667"/>
      <c r="GE403" s="667"/>
      <c r="GF403" s="667"/>
      <c r="GG403" s="667"/>
      <c r="GH403" s="667"/>
      <c r="GI403" s="667"/>
      <c r="GJ403" s="667"/>
      <c r="GK403" s="667"/>
      <c r="GL403" s="667"/>
      <c r="GM403" s="667"/>
      <c r="GN403" s="667"/>
      <c r="GO403" s="667"/>
      <c r="GP403" s="667"/>
      <c r="GQ403" s="667"/>
      <c r="GR403" s="667"/>
      <c r="GS403" s="667"/>
      <c r="GT403" s="667"/>
      <c r="GU403" s="708">
        <f t="shared" si="865"/>
        <v>14135000</v>
      </c>
      <c r="GV403" s="708">
        <f t="shared" si="866"/>
        <v>36160000</v>
      </c>
      <c r="GW403" s="708">
        <f t="shared" si="867"/>
        <v>16084633</v>
      </c>
      <c r="GX403" s="708">
        <f t="shared" si="868"/>
        <v>10749000</v>
      </c>
      <c r="GY403" s="709">
        <f t="shared" si="869"/>
        <v>0</v>
      </c>
      <c r="GZ403" s="710">
        <f t="shared" si="870"/>
        <v>55077500</v>
      </c>
    </row>
    <row r="404" spans="1:208" ht="24.75" customHeight="1" x14ac:dyDescent="0.2">
      <c r="A404" s="326"/>
      <c r="B404" s="341"/>
      <c r="C404" s="246">
        <v>88</v>
      </c>
      <c r="D404" s="247" t="s">
        <v>891</v>
      </c>
      <c r="E404" s="250"/>
      <c r="F404" s="250"/>
      <c r="G404" s="251"/>
      <c r="H404" s="251"/>
      <c r="I404" s="251"/>
      <c r="J404" s="251"/>
      <c r="K404" s="251"/>
      <c r="L404" s="251"/>
      <c r="M404" s="251"/>
      <c r="N404" s="251"/>
      <c r="O404" s="251"/>
      <c r="P404" s="251"/>
      <c r="Q404" s="251"/>
      <c r="R404" s="251"/>
      <c r="S404" s="251"/>
      <c r="T404" s="251"/>
      <c r="U404" s="251"/>
      <c r="V404" s="251"/>
      <c r="W404" s="251"/>
      <c r="X404" s="251"/>
      <c r="Y404" s="252"/>
      <c r="Z404" s="251"/>
      <c r="AA404" s="251"/>
      <c r="AB404" s="251"/>
      <c r="AC404" s="51">
        <f t="shared" ref="AC404:BL404" si="871">SUM(AC405:AC409)</f>
        <v>0</v>
      </c>
      <c r="AD404" s="51">
        <f t="shared" si="871"/>
        <v>0</v>
      </c>
      <c r="AE404" s="51">
        <f t="shared" si="871"/>
        <v>0</v>
      </c>
      <c r="AF404" s="51">
        <f t="shared" si="871"/>
        <v>0</v>
      </c>
      <c r="AG404" s="51">
        <f t="shared" si="871"/>
        <v>64260244</v>
      </c>
      <c r="AH404" s="51">
        <f t="shared" si="871"/>
        <v>46963067.460000001</v>
      </c>
      <c r="AI404" s="51">
        <f t="shared" si="871"/>
        <v>12320000</v>
      </c>
      <c r="AJ404" s="51">
        <f t="shared" si="871"/>
        <v>12320000</v>
      </c>
      <c r="AK404" s="51">
        <f t="shared" si="871"/>
        <v>955795535</v>
      </c>
      <c r="AL404" s="51">
        <f t="shared" si="871"/>
        <v>955795535</v>
      </c>
      <c r="AM404" s="51">
        <f t="shared" si="871"/>
        <v>928222141</v>
      </c>
      <c r="AN404" s="51">
        <f t="shared" si="871"/>
        <v>867988562</v>
      </c>
      <c r="AO404" s="51">
        <f t="shared" si="871"/>
        <v>435000000</v>
      </c>
      <c r="AP404" s="51">
        <f t="shared" si="871"/>
        <v>170000000</v>
      </c>
      <c r="AQ404" s="51">
        <f t="shared" si="871"/>
        <v>164266414</v>
      </c>
      <c r="AR404" s="51">
        <f t="shared" si="871"/>
        <v>125928628</v>
      </c>
      <c r="AS404" s="51">
        <f t="shared" si="871"/>
        <v>0</v>
      </c>
      <c r="AT404" s="51">
        <f t="shared" si="871"/>
        <v>0</v>
      </c>
      <c r="AU404" s="51">
        <f t="shared" si="871"/>
        <v>0</v>
      </c>
      <c r="AV404" s="51">
        <f t="shared" si="871"/>
        <v>0</v>
      </c>
      <c r="AW404" s="51">
        <f t="shared" si="871"/>
        <v>0</v>
      </c>
      <c r="AX404" s="51">
        <f t="shared" si="871"/>
        <v>0</v>
      </c>
      <c r="AY404" s="51">
        <f t="shared" si="871"/>
        <v>0</v>
      </c>
      <c r="AZ404" s="51">
        <f t="shared" si="871"/>
        <v>0</v>
      </c>
      <c r="BA404" s="51">
        <f t="shared" si="871"/>
        <v>0</v>
      </c>
      <c r="BB404" s="51">
        <f t="shared" si="871"/>
        <v>0</v>
      </c>
      <c r="BC404" s="51">
        <f t="shared" si="871"/>
        <v>0</v>
      </c>
      <c r="BD404" s="51">
        <f t="shared" si="871"/>
        <v>0</v>
      </c>
      <c r="BE404" s="51">
        <f t="shared" si="871"/>
        <v>0</v>
      </c>
      <c r="BF404" s="51">
        <f t="shared" si="871"/>
        <v>0</v>
      </c>
      <c r="BG404" s="51">
        <f t="shared" si="871"/>
        <v>0</v>
      </c>
      <c r="BH404" s="51">
        <f t="shared" si="871"/>
        <v>0</v>
      </c>
      <c r="BI404" s="51">
        <f t="shared" si="871"/>
        <v>0</v>
      </c>
      <c r="BJ404" s="51">
        <f t="shared" si="871"/>
        <v>0</v>
      </c>
      <c r="BK404" s="51">
        <f t="shared" si="871"/>
        <v>0</v>
      </c>
      <c r="BL404" s="51">
        <f t="shared" si="871"/>
        <v>0</v>
      </c>
      <c r="BM404" s="51">
        <f t="shared" ref="BM404:DX404" si="872">SUM(BM405:BM409)</f>
        <v>1455055779</v>
      </c>
      <c r="BN404" s="51">
        <f t="shared" si="872"/>
        <v>1172758602.46</v>
      </c>
      <c r="BO404" s="51">
        <f t="shared" si="872"/>
        <v>1104808555</v>
      </c>
      <c r="BP404" s="51">
        <f t="shared" si="872"/>
        <v>1006237190</v>
      </c>
      <c r="BQ404" s="51">
        <f t="shared" si="872"/>
        <v>0</v>
      </c>
      <c r="BR404" s="51">
        <f t="shared" si="872"/>
        <v>0</v>
      </c>
      <c r="BS404" s="51">
        <f t="shared" si="872"/>
        <v>0</v>
      </c>
      <c r="BT404" s="51">
        <f t="shared" si="872"/>
        <v>0</v>
      </c>
      <c r="BU404" s="51">
        <f t="shared" si="872"/>
        <v>41200000</v>
      </c>
      <c r="BV404" s="51">
        <f t="shared" si="872"/>
        <v>221129201</v>
      </c>
      <c r="BW404" s="51">
        <f t="shared" si="872"/>
        <v>158379434</v>
      </c>
      <c r="BX404" s="51">
        <f t="shared" si="872"/>
        <v>158379434</v>
      </c>
      <c r="BY404" s="51">
        <f t="shared" si="872"/>
        <v>0</v>
      </c>
      <c r="BZ404" s="51">
        <f t="shared" si="872"/>
        <v>800000000</v>
      </c>
      <c r="CA404" s="51">
        <f t="shared" si="872"/>
        <v>1724964149</v>
      </c>
      <c r="CB404" s="51">
        <f t="shared" si="872"/>
        <v>1625568331</v>
      </c>
      <c r="CC404" s="51">
        <f t="shared" si="872"/>
        <v>1500944201</v>
      </c>
      <c r="CD404" s="51">
        <f t="shared" si="872"/>
        <v>0</v>
      </c>
      <c r="CE404" s="51">
        <f t="shared" si="872"/>
        <v>200000000</v>
      </c>
      <c r="CF404" s="51">
        <f t="shared" si="872"/>
        <v>284641017</v>
      </c>
      <c r="CG404" s="51">
        <f t="shared" si="872"/>
        <v>241082281</v>
      </c>
      <c r="CH404" s="51">
        <f t="shared" si="872"/>
        <v>218243781</v>
      </c>
      <c r="CI404" s="51">
        <f t="shared" si="872"/>
        <v>0</v>
      </c>
      <c r="CJ404" s="51">
        <f t="shared" si="872"/>
        <v>0</v>
      </c>
      <c r="CK404" s="51">
        <f t="shared" si="872"/>
        <v>0</v>
      </c>
      <c r="CL404" s="51">
        <f t="shared" si="872"/>
        <v>0</v>
      </c>
      <c r="CM404" s="51">
        <f t="shared" si="872"/>
        <v>0</v>
      </c>
      <c r="CN404" s="51">
        <f t="shared" si="872"/>
        <v>0</v>
      </c>
      <c r="CO404" s="51">
        <f t="shared" si="872"/>
        <v>0</v>
      </c>
      <c r="CP404" s="51">
        <f t="shared" si="872"/>
        <v>0</v>
      </c>
      <c r="CQ404" s="51">
        <f t="shared" si="872"/>
        <v>0</v>
      </c>
      <c r="CR404" s="51">
        <f t="shared" si="872"/>
        <v>0</v>
      </c>
      <c r="CS404" s="51">
        <f t="shared" si="872"/>
        <v>0</v>
      </c>
      <c r="CT404" s="51">
        <f t="shared" si="872"/>
        <v>0</v>
      </c>
      <c r="CU404" s="51">
        <f t="shared" si="872"/>
        <v>0</v>
      </c>
      <c r="CV404" s="51">
        <f t="shared" si="872"/>
        <v>0</v>
      </c>
      <c r="CW404" s="51">
        <f t="shared" si="872"/>
        <v>0</v>
      </c>
      <c r="CX404" s="51">
        <f t="shared" si="872"/>
        <v>0</v>
      </c>
      <c r="CY404" s="51">
        <f t="shared" si="872"/>
        <v>0</v>
      </c>
      <c r="CZ404" s="51">
        <f t="shared" si="872"/>
        <v>0</v>
      </c>
      <c r="DA404" s="51">
        <f t="shared" si="872"/>
        <v>0</v>
      </c>
      <c r="DB404" s="51">
        <f t="shared" si="872"/>
        <v>0</v>
      </c>
      <c r="DC404" s="51">
        <f t="shared" si="872"/>
        <v>0</v>
      </c>
      <c r="DD404" s="51">
        <f t="shared" si="872"/>
        <v>0</v>
      </c>
      <c r="DE404" s="51">
        <f t="shared" si="872"/>
        <v>1041200000</v>
      </c>
      <c r="DF404" s="51">
        <f t="shared" si="872"/>
        <v>2230734367</v>
      </c>
      <c r="DG404" s="51">
        <f t="shared" si="872"/>
        <v>2025030046</v>
      </c>
      <c r="DH404" s="51">
        <f t="shared" si="872"/>
        <v>1877567416</v>
      </c>
      <c r="DI404" s="51">
        <f t="shared" si="872"/>
        <v>0</v>
      </c>
      <c r="DJ404" s="51">
        <f t="shared" si="872"/>
        <v>0</v>
      </c>
      <c r="DK404" s="51">
        <f t="shared" si="872"/>
        <v>0</v>
      </c>
      <c r="DL404" s="51">
        <f t="shared" si="872"/>
        <v>0</v>
      </c>
      <c r="DM404" s="51">
        <f t="shared" si="872"/>
        <v>0</v>
      </c>
      <c r="DN404" s="51">
        <f t="shared" si="872"/>
        <v>42436000</v>
      </c>
      <c r="DO404" s="51">
        <f t="shared" si="872"/>
        <v>763382721</v>
      </c>
      <c r="DP404" s="51">
        <f t="shared" si="872"/>
        <v>750306449</v>
      </c>
      <c r="DQ404" s="51">
        <f t="shared" si="872"/>
        <v>480913203</v>
      </c>
      <c r="DR404" s="51">
        <f t="shared" si="872"/>
        <v>0</v>
      </c>
      <c r="DS404" s="51">
        <f t="shared" si="872"/>
        <v>600000000</v>
      </c>
      <c r="DT404" s="51">
        <f t="shared" si="872"/>
        <v>1518000000</v>
      </c>
      <c r="DU404" s="51">
        <f t="shared" si="872"/>
        <v>1505147113</v>
      </c>
      <c r="DV404" s="51">
        <f t="shared" si="872"/>
        <v>1493671500</v>
      </c>
      <c r="DW404" s="51">
        <f t="shared" si="872"/>
        <v>0</v>
      </c>
      <c r="DX404" s="51">
        <f t="shared" si="872"/>
        <v>200000000</v>
      </c>
      <c r="DY404" s="51">
        <f t="shared" ref="DY404:EW404" si="873">SUM(DY405:DY409)</f>
        <v>43558736</v>
      </c>
      <c r="DZ404" s="51">
        <f t="shared" si="873"/>
        <v>41390000</v>
      </c>
      <c r="EA404" s="51">
        <f t="shared" si="873"/>
        <v>41273000</v>
      </c>
      <c r="EB404" s="51">
        <f t="shared" si="873"/>
        <v>0</v>
      </c>
      <c r="EC404" s="51">
        <f t="shared" si="873"/>
        <v>0</v>
      </c>
      <c r="ED404" s="51">
        <f t="shared" si="873"/>
        <v>0</v>
      </c>
      <c r="EE404" s="51">
        <f t="shared" si="873"/>
        <v>0</v>
      </c>
      <c r="EF404" s="51">
        <f t="shared" si="873"/>
        <v>0</v>
      </c>
      <c r="EG404" s="51">
        <f t="shared" si="873"/>
        <v>0</v>
      </c>
      <c r="EH404" s="51">
        <f t="shared" si="873"/>
        <v>0</v>
      </c>
      <c r="EI404" s="51">
        <f t="shared" si="873"/>
        <v>0</v>
      </c>
      <c r="EJ404" s="51">
        <f t="shared" si="873"/>
        <v>0</v>
      </c>
      <c r="EK404" s="51">
        <f t="shared" si="873"/>
        <v>0</v>
      </c>
      <c r="EL404" s="51">
        <f t="shared" si="873"/>
        <v>0</v>
      </c>
      <c r="EM404" s="51">
        <f t="shared" si="873"/>
        <v>0</v>
      </c>
      <c r="EN404" s="51">
        <f t="shared" si="873"/>
        <v>0</v>
      </c>
      <c r="EO404" s="51">
        <f t="shared" si="873"/>
        <v>0</v>
      </c>
      <c r="EP404" s="51">
        <f t="shared" si="873"/>
        <v>0</v>
      </c>
      <c r="EQ404" s="51">
        <f t="shared" si="873"/>
        <v>0</v>
      </c>
      <c r="ER404" s="51">
        <f t="shared" si="873"/>
        <v>0</v>
      </c>
      <c r="ES404" s="51">
        <f t="shared" si="873"/>
        <v>0</v>
      </c>
      <c r="ET404" s="51">
        <f t="shared" si="873"/>
        <v>0</v>
      </c>
      <c r="EU404" s="51">
        <f t="shared" si="873"/>
        <v>0</v>
      </c>
      <c r="EV404" s="51">
        <f t="shared" si="873"/>
        <v>0</v>
      </c>
      <c r="EW404" s="51">
        <f t="shared" si="873"/>
        <v>842436000</v>
      </c>
      <c r="EX404" s="51">
        <f t="shared" ref="EX404:GZ404" si="874">SUM(EX405:EX409)</f>
        <v>2324941457</v>
      </c>
      <c r="EY404" s="51">
        <f t="shared" si="874"/>
        <v>2296843562</v>
      </c>
      <c r="EZ404" s="51">
        <f t="shared" si="874"/>
        <v>2015857703</v>
      </c>
      <c r="FA404" s="51">
        <f t="shared" si="874"/>
        <v>0</v>
      </c>
      <c r="FB404" s="51">
        <f t="shared" si="874"/>
        <v>0</v>
      </c>
      <c r="FC404" s="51">
        <f t="shared" si="874"/>
        <v>0</v>
      </c>
      <c r="FD404" s="51">
        <f t="shared" si="874"/>
        <v>0</v>
      </c>
      <c r="FE404" s="51">
        <f t="shared" si="874"/>
        <v>0</v>
      </c>
      <c r="FF404" s="51">
        <f t="shared" si="874"/>
        <v>0</v>
      </c>
      <c r="FG404" s="51">
        <f t="shared" si="874"/>
        <v>43709080</v>
      </c>
      <c r="FH404" s="51">
        <f t="shared" si="874"/>
        <v>590000000</v>
      </c>
      <c r="FI404" s="51">
        <f t="shared" si="874"/>
        <v>15894000</v>
      </c>
      <c r="FJ404" s="51">
        <f t="shared" si="874"/>
        <v>0</v>
      </c>
      <c r="FK404" s="51">
        <f t="shared" si="874"/>
        <v>0</v>
      </c>
      <c r="FL404" s="51">
        <f t="shared" si="874"/>
        <v>600000000</v>
      </c>
      <c r="FM404" s="51">
        <f t="shared" si="874"/>
        <v>1508473039</v>
      </c>
      <c r="FN404" s="51">
        <f t="shared" si="874"/>
        <v>1061346961</v>
      </c>
      <c r="FO404" s="51">
        <f t="shared" si="874"/>
        <v>579203289.75</v>
      </c>
      <c r="FP404" s="51">
        <f t="shared" si="874"/>
        <v>0</v>
      </c>
      <c r="FQ404" s="51">
        <f t="shared" si="874"/>
        <v>200000000</v>
      </c>
      <c r="FR404" s="51">
        <f t="shared" si="874"/>
        <v>250000000</v>
      </c>
      <c r="FS404" s="51">
        <f t="shared" si="874"/>
        <v>0</v>
      </c>
      <c r="FT404" s="51">
        <f t="shared" si="874"/>
        <v>0</v>
      </c>
      <c r="FU404" s="51">
        <f t="shared" si="874"/>
        <v>0</v>
      </c>
      <c r="FV404" s="51">
        <f t="shared" si="874"/>
        <v>0</v>
      </c>
      <c r="FW404" s="51">
        <f t="shared" si="874"/>
        <v>0</v>
      </c>
      <c r="FX404" s="51">
        <f t="shared" si="874"/>
        <v>0</v>
      </c>
      <c r="FY404" s="51">
        <f t="shared" si="874"/>
        <v>0</v>
      </c>
      <c r="FZ404" s="51">
        <f t="shared" si="874"/>
        <v>0</v>
      </c>
      <c r="GA404" s="51">
        <f t="shared" si="874"/>
        <v>0</v>
      </c>
      <c r="GB404" s="51">
        <f t="shared" si="874"/>
        <v>0</v>
      </c>
      <c r="GC404" s="51">
        <f t="shared" si="874"/>
        <v>0</v>
      </c>
      <c r="GD404" s="51">
        <f t="shared" si="874"/>
        <v>0</v>
      </c>
      <c r="GE404" s="51">
        <f t="shared" si="874"/>
        <v>0</v>
      </c>
      <c r="GF404" s="51">
        <f t="shared" si="874"/>
        <v>0</v>
      </c>
      <c r="GG404" s="51">
        <f t="shared" si="874"/>
        <v>0</v>
      </c>
      <c r="GH404" s="51">
        <f t="shared" si="874"/>
        <v>0</v>
      </c>
      <c r="GI404" s="51">
        <f t="shared" si="874"/>
        <v>0</v>
      </c>
      <c r="GJ404" s="51">
        <f t="shared" si="874"/>
        <v>0</v>
      </c>
      <c r="GK404" s="51">
        <f t="shared" si="874"/>
        <v>0</v>
      </c>
      <c r="GL404" s="51">
        <f t="shared" si="874"/>
        <v>0</v>
      </c>
      <c r="GM404" s="51">
        <f t="shared" si="874"/>
        <v>0</v>
      </c>
      <c r="GN404" s="51">
        <f t="shared" si="874"/>
        <v>0</v>
      </c>
      <c r="GO404" s="51">
        <f t="shared" si="874"/>
        <v>0</v>
      </c>
      <c r="GP404" s="51">
        <f t="shared" si="874"/>
        <v>0</v>
      </c>
      <c r="GQ404" s="51">
        <f t="shared" si="874"/>
        <v>0</v>
      </c>
      <c r="GR404" s="51">
        <f t="shared" si="874"/>
        <v>0</v>
      </c>
      <c r="GS404" s="51">
        <f t="shared" si="874"/>
        <v>0</v>
      </c>
      <c r="GT404" s="51">
        <f t="shared" si="874"/>
        <v>0</v>
      </c>
      <c r="GU404" s="51">
        <f t="shared" si="874"/>
        <v>843709080</v>
      </c>
      <c r="GV404" s="51">
        <f t="shared" si="874"/>
        <v>2348473039</v>
      </c>
      <c r="GW404" s="51">
        <f t="shared" si="874"/>
        <v>1077240961</v>
      </c>
      <c r="GX404" s="51">
        <f t="shared" si="874"/>
        <v>579203289.75</v>
      </c>
      <c r="GY404" s="51">
        <f t="shared" si="874"/>
        <v>0</v>
      </c>
      <c r="GZ404" s="51">
        <f t="shared" si="874"/>
        <v>4182400859</v>
      </c>
    </row>
    <row r="405" spans="1:208" ht="266.25" customHeight="1" x14ac:dyDescent="0.2">
      <c r="A405" s="326"/>
      <c r="B405" s="341"/>
      <c r="C405" s="456">
        <v>38</v>
      </c>
      <c r="D405" s="721" t="s">
        <v>800</v>
      </c>
      <c r="E405" s="456">
        <v>0</v>
      </c>
      <c r="F405" s="456">
        <v>2</v>
      </c>
      <c r="G405" s="265">
        <v>275</v>
      </c>
      <c r="H405" s="358" t="s">
        <v>892</v>
      </c>
      <c r="I405" s="275" t="s">
        <v>893</v>
      </c>
      <c r="J405" s="262" t="s">
        <v>822</v>
      </c>
      <c r="K405" s="415">
        <v>17</v>
      </c>
      <c r="L405" s="304" t="s">
        <v>58</v>
      </c>
      <c r="M405" s="288" t="s">
        <v>53</v>
      </c>
      <c r="N405" s="288">
        <v>4</v>
      </c>
      <c r="O405" s="259">
        <v>4</v>
      </c>
      <c r="P405" s="560">
        <v>4</v>
      </c>
      <c r="Q405" s="288">
        <v>4</v>
      </c>
      <c r="R405" s="268"/>
      <c r="S405" s="266">
        <v>4</v>
      </c>
      <c r="T405" s="288">
        <v>4</v>
      </c>
      <c r="U405" s="288"/>
      <c r="V405" s="389">
        <v>4</v>
      </c>
      <c r="W405" s="288">
        <v>4</v>
      </c>
      <c r="X405" s="304"/>
      <c r="Y405" s="631">
        <v>2</v>
      </c>
      <c r="Z405" s="443">
        <f>BM405/$BM$404</f>
        <v>0.59649200843454397</v>
      </c>
      <c r="AA405" s="264">
        <v>16</v>
      </c>
      <c r="AB405" s="263" t="s">
        <v>376</v>
      </c>
      <c r="AC405" s="57"/>
      <c r="AD405" s="58"/>
      <c r="AE405" s="58"/>
      <c r="AF405" s="58"/>
      <c r="AG405" s="57">
        <v>0</v>
      </c>
      <c r="AH405" s="58"/>
      <c r="AI405" s="58"/>
      <c r="AJ405" s="58"/>
      <c r="AK405" s="58">
        <v>867929144</v>
      </c>
      <c r="AL405" s="55">
        <v>757722528</v>
      </c>
      <c r="AM405" s="55">
        <v>749582182</v>
      </c>
      <c r="AN405" s="55">
        <v>700815273</v>
      </c>
      <c r="AO405" s="57"/>
      <c r="AP405" s="58"/>
      <c r="AQ405" s="58"/>
      <c r="AR405" s="58"/>
      <c r="AS405" s="57"/>
      <c r="AT405" s="58"/>
      <c r="AU405" s="58"/>
      <c r="AV405" s="58"/>
      <c r="AW405" s="57"/>
      <c r="AX405" s="58"/>
      <c r="AY405" s="58"/>
      <c r="AZ405" s="58"/>
      <c r="BA405" s="57"/>
      <c r="BB405" s="58"/>
      <c r="BC405" s="58"/>
      <c r="BD405" s="58"/>
      <c r="BE405" s="57"/>
      <c r="BF405" s="58"/>
      <c r="BG405" s="58"/>
      <c r="BH405" s="58"/>
      <c r="BI405" s="57"/>
      <c r="BJ405" s="58"/>
      <c r="BK405" s="58"/>
      <c r="BL405" s="58"/>
      <c r="BM405" s="53">
        <f>+AC405+AG405+AK405+AO405+AS405+AW405+BA405+BE405+BI405</f>
        <v>867929144</v>
      </c>
      <c r="BN405" s="54">
        <f t="shared" ref="BN405:BP409" si="875">AD405+AH405+AL405+AP405+AT405+AX405+BB405+BF405+BJ405</f>
        <v>757722528</v>
      </c>
      <c r="BO405" s="54">
        <f t="shared" si="875"/>
        <v>749582182</v>
      </c>
      <c r="BP405" s="54">
        <f t="shared" si="875"/>
        <v>700815273</v>
      </c>
      <c r="BQ405" s="83"/>
      <c r="BR405" s="83"/>
      <c r="BS405" s="83"/>
      <c r="BT405" s="83"/>
      <c r="BU405" s="83"/>
      <c r="BV405" s="83">
        <v>50000000</v>
      </c>
      <c r="BW405" s="83"/>
      <c r="BX405" s="83"/>
      <c r="BY405" s="83"/>
      <c r="BZ405" s="84">
        <v>621000000</v>
      </c>
      <c r="CA405" s="83">
        <v>1171000000</v>
      </c>
      <c r="CB405" s="83">
        <v>1106267862</v>
      </c>
      <c r="CC405" s="83">
        <v>1011643732</v>
      </c>
      <c r="CD405" s="83"/>
      <c r="CE405" s="83"/>
      <c r="CF405" s="83"/>
      <c r="CG405" s="83"/>
      <c r="CH405" s="83"/>
      <c r="CI405" s="83"/>
      <c r="CJ405" s="83"/>
      <c r="CK405" s="83"/>
      <c r="CL405" s="83"/>
      <c r="CM405" s="83"/>
      <c r="CN405" s="83"/>
      <c r="CO405" s="83"/>
      <c r="CP405" s="83"/>
      <c r="CQ405" s="83"/>
      <c r="CR405" s="83"/>
      <c r="CS405" s="83"/>
      <c r="CT405" s="83"/>
      <c r="CU405" s="83"/>
      <c r="CV405" s="83"/>
      <c r="CW405" s="83"/>
      <c r="CX405" s="83"/>
      <c r="CY405" s="83"/>
      <c r="CZ405" s="83"/>
      <c r="DA405" s="83"/>
      <c r="DB405" s="83"/>
      <c r="DC405" s="83"/>
      <c r="DD405" s="83"/>
      <c r="DE405" s="81">
        <f t="shared" ref="DE405:DH409" si="876">BQ405+BU405+BZ405+CE405+CI405+CM405+CQ405+CV405+DA405</f>
        <v>621000000</v>
      </c>
      <c r="DF405" s="95">
        <f t="shared" si="876"/>
        <v>1221000000</v>
      </c>
      <c r="DG405" s="95">
        <f t="shared" si="876"/>
        <v>1106267862</v>
      </c>
      <c r="DH405" s="95">
        <f t="shared" si="876"/>
        <v>1011643732</v>
      </c>
      <c r="DI405" s="95"/>
      <c r="DJ405" s="84"/>
      <c r="DK405" s="65"/>
      <c r="DL405" s="84"/>
      <c r="DM405" s="84"/>
      <c r="DN405" s="84"/>
      <c r="DO405" s="65">
        <v>435427791</v>
      </c>
      <c r="DP405" s="84">
        <v>434688791</v>
      </c>
      <c r="DQ405" s="84">
        <v>172795545</v>
      </c>
      <c r="DR405" s="84"/>
      <c r="DS405" s="84">
        <v>502500000</v>
      </c>
      <c r="DT405" s="84">
        <v>975000000</v>
      </c>
      <c r="DU405" s="84">
        <v>966883780</v>
      </c>
      <c r="DV405" s="84">
        <v>957408167</v>
      </c>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3"/>
      <c r="EU405" s="83"/>
      <c r="EV405" s="83"/>
      <c r="EW405" s="81">
        <f t="shared" ref="EW405:EX409" si="877">DJ405+DN405+DS405+DX405+EB405+EF405+EJ405+EN405+ES405</f>
        <v>502500000</v>
      </c>
      <c r="EX405" s="85">
        <f t="shared" si="877"/>
        <v>1410427791</v>
      </c>
      <c r="EY405" s="86">
        <f t="shared" ref="EY405:EZ409" si="878">DL405+DP405+DU405+DZ405+ED405+EH405+EL405+EP405+EU405</f>
        <v>1401572571</v>
      </c>
      <c r="EZ405" s="86">
        <f t="shared" si="878"/>
        <v>1130203712</v>
      </c>
      <c r="FA405" s="176"/>
      <c r="FB405" s="83"/>
      <c r="FC405" s="84"/>
      <c r="FD405" s="84"/>
      <c r="FE405" s="84"/>
      <c r="FF405" s="140"/>
      <c r="FG405" s="83"/>
      <c r="FH405" s="83">
        <v>359941904</v>
      </c>
      <c r="FI405" s="83"/>
      <c r="FJ405" s="83"/>
      <c r="FK405" s="83"/>
      <c r="FL405" s="83">
        <v>503773080</v>
      </c>
      <c r="FM405" s="83">
        <v>952473039</v>
      </c>
      <c r="FN405" s="83">
        <v>671414895</v>
      </c>
      <c r="FO405" s="83">
        <v>266265223.75</v>
      </c>
      <c r="FP405" s="83"/>
      <c r="FQ405" s="83"/>
      <c r="FR405" s="83"/>
      <c r="FS405" s="83"/>
      <c r="FT405" s="83"/>
      <c r="FU405" s="83"/>
      <c r="FV405" s="83"/>
      <c r="FW405" s="83"/>
      <c r="FX405" s="83"/>
      <c r="FY405" s="83"/>
      <c r="FZ405" s="83"/>
      <c r="GA405" s="83"/>
      <c r="GB405" s="83"/>
      <c r="GC405" s="83"/>
      <c r="GD405" s="83"/>
      <c r="GE405" s="83"/>
      <c r="GF405" s="83"/>
      <c r="GG405" s="83"/>
      <c r="GH405" s="83"/>
      <c r="GI405" s="83"/>
      <c r="GJ405" s="83"/>
      <c r="GK405" s="83"/>
      <c r="GL405" s="83"/>
      <c r="GM405" s="83"/>
      <c r="GN405" s="83"/>
      <c r="GO405" s="83"/>
      <c r="GP405" s="83"/>
      <c r="GQ405" s="83"/>
      <c r="GR405" s="83"/>
      <c r="GS405" s="83"/>
      <c r="GT405" s="83"/>
      <c r="GU405" s="81">
        <f t="shared" ref="GU405:GY409" si="879">FB405+FG405+FL405+FQ405+FV405+GA405+GF405+GK405+GP405</f>
        <v>503773080</v>
      </c>
      <c r="GV405" s="81">
        <f t="shared" si="879"/>
        <v>1312414943</v>
      </c>
      <c r="GW405" s="81">
        <f t="shared" si="879"/>
        <v>671414895</v>
      </c>
      <c r="GX405" s="81">
        <f t="shared" si="879"/>
        <v>266265223.75</v>
      </c>
      <c r="GY405" s="673">
        <f t="shared" si="879"/>
        <v>0</v>
      </c>
      <c r="GZ405" s="67">
        <f>BM405+DE405+EW405+GU405</f>
        <v>2495202224</v>
      </c>
    </row>
    <row r="406" spans="1:208" ht="124.5" customHeight="1" x14ac:dyDescent="0.2">
      <c r="A406" s="326"/>
      <c r="B406" s="341"/>
      <c r="C406" s="279"/>
      <c r="D406" s="722"/>
      <c r="E406" s="279"/>
      <c r="F406" s="279"/>
      <c r="G406" s="265">
        <v>276</v>
      </c>
      <c r="H406" s="358" t="s">
        <v>894</v>
      </c>
      <c r="I406" s="275" t="s">
        <v>895</v>
      </c>
      <c r="J406" s="262" t="s">
        <v>822</v>
      </c>
      <c r="K406" s="415">
        <v>17</v>
      </c>
      <c r="L406" s="304" t="s">
        <v>58</v>
      </c>
      <c r="M406" s="288">
        <v>1</v>
      </c>
      <c r="N406" s="288">
        <v>1</v>
      </c>
      <c r="O406" s="259">
        <v>1</v>
      </c>
      <c r="P406" s="560">
        <v>1</v>
      </c>
      <c r="Q406" s="288">
        <v>1</v>
      </c>
      <c r="R406" s="268"/>
      <c r="S406" s="389">
        <v>1</v>
      </c>
      <c r="T406" s="288">
        <v>1</v>
      </c>
      <c r="U406" s="288"/>
      <c r="V406" s="389">
        <v>1</v>
      </c>
      <c r="W406" s="288">
        <v>1</v>
      </c>
      <c r="X406" s="304"/>
      <c r="Y406" s="631">
        <v>0.53</v>
      </c>
      <c r="Z406" s="443">
        <f>BM406/$BM$404</f>
        <v>4.3068222472590172E-2</v>
      </c>
      <c r="AA406" s="265">
        <v>16</v>
      </c>
      <c r="AB406" s="263" t="s">
        <v>376</v>
      </c>
      <c r="AC406" s="57"/>
      <c r="AD406" s="58"/>
      <c r="AE406" s="58"/>
      <c r="AF406" s="58"/>
      <c r="AG406" s="72">
        <v>32666666</v>
      </c>
      <c r="AH406" s="55">
        <f>32666666-17297176.54</f>
        <v>15369489.460000001</v>
      </c>
      <c r="AI406" s="55"/>
      <c r="AJ406" s="55"/>
      <c r="AK406" s="58">
        <v>30000000</v>
      </c>
      <c r="AL406" s="55">
        <v>150206616</v>
      </c>
      <c r="AM406" s="55">
        <v>138639959</v>
      </c>
      <c r="AN406" s="55">
        <v>138639959</v>
      </c>
      <c r="AO406" s="57"/>
      <c r="AP406" s="58"/>
      <c r="AQ406" s="58"/>
      <c r="AR406" s="58"/>
      <c r="AS406" s="57"/>
      <c r="AT406" s="58"/>
      <c r="AU406" s="58"/>
      <c r="AV406" s="58"/>
      <c r="AW406" s="57"/>
      <c r="AX406" s="58"/>
      <c r="AY406" s="58"/>
      <c r="AZ406" s="58"/>
      <c r="BA406" s="57"/>
      <c r="BB406" s="58"/>
      <c r="BC406" s="58"/>
      <c r="BD406" s="58"/>
      <c r="BE406" s="57"/>
      <c r="BF406" s="58"/>
      <c r="BG406" s="58"/>
      <c r="BH406" s="58"/>
      <c r="BI406" s="57"/>
      <c r="BJ406" s="58"/>
      <c r="BK406" s="58"/>
      <c r="BL406" s="58"/>
      <c r="BM406" s="53">
        <f>+AC406+AG406+AK406+AO406+AS406+AW406+BA406+BE406+BI406</f>
        <v>62666666</v>
      </c>
      <c r="BN406" s="54">
        <f t="shared" si="875"/>
        <v>165576105.46000001</v>
      </c>
      <c r="BO406" s="54">
        <f t="shared" si="875"/>
        <v>138639959</v>
      </c>
      <c r="BP406" s="54">
        <f t="shared" si="875"/>
        <v>138639959</v>
      </c>
      <c r="BQ406" s="83"/>
      <c r="BR406" s="83"/>
      <c r="BS406" s="83"/>
      <c r="BT406" s="83"/>
      <c r="BU406" s="83">
        <v>41200000</v>
      </c>
      <c r="BV406" s="83">
        <v>64674563</v>
      </c>
      <c r="BW406" s="83">
        <v>58210667</v>
      </c>
      <c r="BX406" s="83">
        <v>58210667</v>
      </c>
      <c r="BY406" s="83"/>
      <c r="BZ406" s="84">
        <v>3600000</v>
      </c>
      <c r="CA406" s="83">
        <v>200200000</v>
      </c>
      <c r="CB406" s="83">
        <v>193940000</v>
      </c>
      <c r="CC406" s="83">
        <v>193940000</v>
      </c>
      <c r="CD406" s="83"/>
      <c r="CE406" s="83"/>
      <c r="CF406" s="83"/>
      <c r="CG406" s="83"/>
      <c r="CH406" s="83"/>
      <c r="CI406" s="83"/>
      <c r="CJ406" s="83"/>
      <c r="CK406" s="83"/>
      <c r="CL406" s="83"/>
      <c r="CM406" s="83"/>
      <c r="CN406" s="83"/>
      <c r="CO406" s="83"/>
      <c r="CP406" s="83"/>
      <c r="CQ406" s="83"/>
      <c r="CR406" s="83"/>
      <c r="CS406" s="83"/>
      <c r="CT406" s="83"/>
      <c r="CU406" s="83"/>
      <c r="CV406" s="83"/>
      <c r="CW406" s="83"/>
      <c r="CX406" s="83"/>
      <c r="CY406" s="83"/>
      <c r="CZ406" s="83"/>
      <c r="DA406" s="83"/>
      <c r="DB406" s="83"/>
      <c r="DC406" s="83"/>
      <c r="DD406" s="83"/>
      <c r="DE406" s="81">
        <f t="shared" si="876"/>
        <v>44800000</v>
      </c>
      <c r="DF406" s="95">
        <f t="shared" si="876"/>
        <v>264874563</v>
      </c>
      <c r="DG406" s="95">
        <f t="shared" si="876"/>
        <v>252150667</v>
      </c>
      <c r="DH406" s="95">
        <f t="shared" si="876"/>
        <v>252150667</v>
      </c>
      <c r="DI406" s="95"/>
      <c r="DJ406" s="84"/>
      <c r="DK406" s="65"/>
      <c r="DL406" s="84"/>
      <c r="DM406" s="84"/>
      <c r="DN406" s="65">
        <v>0</v>
      </c>
      <c r="DO406" s="65">
        <v>86273666</v>
      </c>
      <c r="DP406" s="65">
        <v>86184999</v>
      </c>
      <c r="DQ406" s="65">
        <v>78684999</v>
      </c>
      <c r="DR406" s="65"/>
      <c r="DS406" s="84">
        <v>36250000</v>
      </c>
      <c r="DT406" s="84">
        <v>225000000</v>
      </c>
      <c r="DU406" s="84">
        <v>221742000</v>
      </c>
      <c r="DV406" s="84">
        <v>221742000</v>
      </c>
      <c r="DW406" s="84"/>
      <c r="DX406" s="84">
        <v>0</v>
      </c>
      <c r="DY406" s="84"/>
      <c r="DZ406" s="84"/>
      <c r="EA406" s="84"/>
      <c r="EB406" s="84">
        <v>0</v>
      </c>
      <c r="EC406" s="84"/>
      <c r="ED406" s="84"/>
      <c r="EE406" s="84"/>
      <c r="EF406" s="84">
        <v>0</v>
      </c>
      <c r="EG406" s="84"/>
      <c r="EH406" s="84"/>
      <c r="EI406" s="84"/>
      <c r="EJ406" s="84">
        <v>0</v>
      </c>
      <c r="EK406" s="84"/>
      <c r="EL406" s="84"/>
      <c r="EM406" s="84"/>
      <c r="EN406" s="84">
        <v>0</v>
      </c>
      <c r="EO406" s="84"/>
      <c r="EP406" s="84"/>
      <c r="EQ406" s="84"/>
      <c r="ER406" s="84"/>
      <c r="ES406" s="84">
        <v>0</v>
      </c>
      <c r="ET406" s="83"/>
      <c r="EU406" s="83"/>
      <c r="EV406" s="83"/>
      <c r="EW406" s="81">
        <f t="shared" si="877"/>
        <v>36250000</v>
      </c>
      <c r="EX406" s="85">
        <f t="shared" si="877"/>
        <v>311273666</v>
      </c>
      <c r="EY406" s="86">
        <f t="shared" si="878"/>
        <v>307926999</v>
      </c>
      <c r="EZ406" s="86">
        <f t="shared" si="878"/>
        <v>300426999</v>
      </c>
      <c r="FA406" s="176"/>
      <c r="FB406" s="83"/>
      <c r="FC406" s="84"/>
      <c r="FD406" s="84"/>
      <c r="FE406" s="84"/>
      <c r="FF406" s="140"/>
      <c r="FG406" s="83"/>
      <c r="FH406" s="83">
        <v>103531048</v>
      </c>
      <c r="FI406" s="83">
        <v>15894000</v>
      </c>
      <c r="FJ406" s="83"/>
      <c r="FK406" s="83"/>
      <c r="FL406" s="83">
        <v>36250000</v>
      </c>
      <c r="FM406" s="83">
        <v>240000000</v>
      </c>
      <c r="FN406" s="83">
        <v>166516066</v>
      </c>
      <c r="FO406" s="83">
        <v>131498066</v>
      </c>
      <c r="FP406" s="83"/>
      <c r="FQ406" s="83"/>
      <c r="FR406" s="83"/>
      <c r="FS406" s="83"/>
      <c r="FT406" s="83"/>
      <c r="FU406" s="83"/>
      <c r="FV406" s="83"/>
      <c r="FW406" s="83"/>
      <c r="FX406" s="83"/>
      <c r="FY406" s="83"/>
      <c r="FZ406" s="83"/>
      <c r="GA406" s="83"/>
      <c r="GB406" s="83"/>
      <c r="GC406" s="83"/>
      <c r="GD406" s="83"/>
      <c r="GE406" s="83"/>
      <c r="GF406" s="83"/>
      <c r="GG406" s="83"/>
      <c r="GH406" s="83"/>
      <c r="GI406" s="83"/>
      <c r="GJ406" s="83"/>
      <c r="GK406" s="83"/>
      <c r="GL406" s="83"/>
      <c r="GM406" s="83"/>
      <c r="GN406" s="83"/>
      <c r="GO406" s="83"/>
      <c r="GP406" s="83"/>
      <c r="GQ406" s="83"/>
      <c r="GR406" s="83"/>
      <c r="GS406" s="83"/>
      <c r="GT406" s="83"/>
      <c r="GU406" s="81">
        <f t="shared" si="879"/>
        <v>36250000</v>
      </c>
      <c r="GV406" s="81">
        <f t="shared" si="879"/>
        <v>343531048</v>
      </c>
      <c r="GW406" s="81">
        <f t="shared" si="879"/>
        <v>182410066</v>
      </c>
      <c r="GX406" s="81">
        <f t="shared" si="879"/>
        <v>131498066</v>
      </c>
      <c r="GY406" s="673">
        <f t="shared" si="879"/>
        <v>0</v>
      </c>
      <c r="GZ406" s="67">
        <f>BM406+DE406+EW406+GU406</f>
        <v>179966666</v>
      </c>
    </row>
    <row r="407" spans="1:208" ht="102.75" customHeight="1" x14ac:dyDescent="0.2">
      <c r="A407" s="326"/>
      <c r="B407" s="341"/>
      <c r="C407" s="279"/>
      <c r="D407" s="722"/>
      <c r="E407" s="279"/>
      <c r="F407" s="279"/>
      <c r="G407" s="265">
        <v>277</v>
      </c>
      <c r="H407" s="358" t="s">
        <v>896</v>
      </c>
      <c r="I407" s="275" t="s">
        <v>897</v>
      </c>
      <c r="J407" s="262" t="s">
        <v>822</v>
      </c>
      <c r="K407" s="415">
        <v>17</v>
      </c>
      <c r="L407" s="304" t="s">
        <v>58</v>
      </c>
      <c r="M407" s="288">
        <v>1</v>
      </c>
      <c r="N407" s="288">
        <v>1</v>
      </c>
      <c r="O407" s="259">
        <v>1</v>
      </c>
      <c r="P407" s="560">
        <v>1</v>
      </c>
      <c r="Q407" s="288">
        <v>1</v>
      </c>
      <c r="R407" s="268"/>
      <c r="S407" s="389">
        <v>0.85</v>
      </c>
      <c r="T407" s="288">
        <v>1</v>
      </c>
      <c r="U407" s="288"/>
      <c r="V407" s="389">
        <v>1</v>
      </c>
      <c r="W407" s="288">
        <v>1</v>
      </c>
      <c r="X407" s="304"/>
      <c r="Y407" s="631">
        <v>0.25</v>
      </c>
      <c r="Z407" s="443">
        <f>BM407/$BM$404</f>
        <v>0.33294941403067685</v>
      </c>
      <c r="AA407" s="265">
        <v>16</v>
      </c>
      <c r="AB407" s="263" t="s">
        <v>376</v>
      </c>
      <c r="AC407" s="57"/>
      <c r="AD407" s="58"/>
      <c r="AE407" s="58"/>
      <c r="AF407" s="58"/>
      <c r="AG407" s="72">
        <v>31593578</v>
      </c>
      <c r="AH407" s="55">
        <f>AG407</f>
        <v>31593578</v>
      </c>
      <c r="AI407" s="72">
        <v>12320000</v>
      </c>
      <c r="AJ407" s="72">
        <v>12320000</v>
      </c>
      <c r="AK407" s="55">
        <v>17866391</v>
      </c>
      <c r="AL407" s="55">
        <v>7866391</v>
      </c>
      <c r="AM407" s="55"/>
      <c r="AN407" s="55"/>
      <c r="AO407" s="57">
        <v>435000000</v>
      </c>
      <c r="AP407" s="55">
        <v>170000000</v>
      </c>
      <c r="AQ407" s="58">
        <v>164266414</v>
      </c>
      <c r="AR407" s="58">
        <v>125928628</v>
      </c>
      <c r="AS407" s="57"/>
      <c r="AT407" s="58"/>
      <c r="AU407" s="58"/>
      <c r="AV407" s="58"/>
      <c r="AW407" s="57"/>
      <c r="AX407" s="58"/>
      <c r="AY407" s="58"/>
      <c r="AZ407" s="58"/>
      <c r="BA407" s="57"/>
      <c r="BB407" s="58"/>
      <c r="BC407" s="58"/>
      <c r="BD407" s="58"/>
      <c r="BE407" s="57"/>
      <c r="BF407" s="58"/>
      <c r="BG407" s="58"/>
      <c r="BH407" s="58"/>
      <c r="BI407" s="57"/>
      <c r="BJ407" s="58"/>
      <c r="BK407" s="58"/>
      <c r="BL407" s="58"/>
      <c r="BM407" s="53">
        <f>+AC407+AG407+AK407+AO407+AS407+AW407+BA407+BE407+BI407</f>
        <v>484459969</v>
      </c>
      <c r="BN407" s="54">
        <f t="shared" si="875"/>
        <v>209459969</v>
      </c>
      <c r="BO407" s="54">
        <f t="shared" si="875"/>
        <v>176586414</v>
      </c>
      <c r="BP407" s="54">
        <f t="shared" si="875"/>
        <v>138248628</v>
      </c>
      <c r="BQ407" s="83"/>
      <c r="BR407" s="83"/>
      <c r="BS407" s="83"/>
      <c r="BT407" s="83"/>
      <c r="BU407" s="83"/>
      <c r="BV407" s="82">
        <f>'[9]PROYECTO METAS'!$O$20+'[9]PROYECTO METAS'!$O$22</f>
        <v>41066107</v>
      </c>
      <c r="BW407" s="82">
        <f>'[9]PROYECTO METAS'!$O$20+'[9]PROYECTO METAS'!$O$22</f>
        <v>41066107</v>
      </c>
      <c r="BX407" s="82">
        <f>'[9]PROYECTO METAS'!$O$20+'[9]PROYECTO METAS'!$O$22</f>
        <v>41066107</v>
      </c>
      <c r="BY407" s="82"/>
      <c r="BZ407" s="84">
        <v>146600000</v>
      </c>
      <c r="CA407" s="83">
        <v>44964149</v>
      </c>
      <c r="CB407" s="83">
        <v>34332144</v>
      </c>
      <c r="CC407" s="83">
        <v>34332144</v>
      </c>
      <c r="CD407" s="83"/>
      <c r="CE407" s="82">
        <v>200000000</v>
      </c>
      <c r="CF407" s="82">
        <v>284641017</v>
      </c>
      <c r="CG407" s="82">
        <v>241082281</v>
      </c>
      <c r="CH407" s="82">
        <v>218243781</v>
      </c>
      <c r="CI407" s="83"/>
      <c r="CJ407" s="83"/>
      <c r="CK407" s="83"/>
      <c r="CL407" s="83"/>
      <c r="CM407" s="83"/>
      <c r="CN407" s="83"/>
      <c r="CO407" s="83"/>
      <c r="CP407" s="83"/>
      <c r="CQ407" s="83"/>
      <c r="CR407" s="83"/>
      <c r="CS407" s="83"/>
      <c r="CT407" s="83"/>
      <c r="CU407" s="83"/>
      <c r="CV407" s="83"/>
      <c r="CW407" s="83"/>
      <c r="CX407" s="83"/>
      <c r="CY407" s="83"/>
      <c r="CZ407" s="83"/>
      <c r="DA407" s="83"/>
      <c r="DB407" s="83"/>
      <c r="DC407" s="83"/>
      <c r="DD407" s="83"/>
      <c r="DE407" s="81">
        <f t="shared" si="876"/>
        <v>346600000</v>
      </c>
      <c r="DF407" s="95">
        <f t="shared" si="876"/>
        <v>370671273</v>
      </c>
      <c r="DG407" s="95">
        <f t="shared" si="876"/>
        <v>316480532</v>
      </c>
      <c r="DH407" s="95">
        <f t="shared" si="876"/>
        <v>293642032</v>
      </c>
      <c r="DI407" s="95"/>
      <c r="DJ407" s="84"/>
      <c r="DK407" s="65"/>
      <c r="DL407" s="84"/>
      <c r="DM407" s="84"/>
      <c r="DN407" s="65">
        <v>42436000</v>
      </c>
      <c r="DO407" s="65">
        <v>142181264</v>
      </c>
      <c r="DP407" s="65">
        <v>130729326</v>
      </c>
      <c r="DQ407" s="65">
        <v>130729326</v>
      </c>
      <c r="DR407" s="65"/>
      <c r="DS407" s="84">
        <v>37964000</v>
      </c>
      <c r="DT407" s="84"/>
      <c r="DU407" s="84"/>
      <c r="DV407" s="84"/>
      <c r="DW407" s="84"/>
      <c r="DX407" s="84">
        <v>200000000</v>
      </c>
      <c r="DY407" s="84">
        <v>43558736</v>
      </c>
      <c r="DZ407" s="84">
        <v>41390000</v>
      </c>
      <c r="EA407" s="84">
        <v>41273000</v>
      </c>
      <c r="EB407" s="84"/>
      <c r="EC407" s="84"/>
      <c r="ED407" s="84"/>
      <c r="EE407" s="84"/>
      <c r="EF407" s="84"/>
      <c r="EG407" s="84"/>
      <c r="EH407" s="84"/>
      <c r="EI407" s="84"/>
      <c r="EJ407" s="84"/>
      <c r="EK407" s="84"/>
      <c r="EL407" s="84"/>
      <c r="EM407" s="84"/>
      <c r="EN407" s="84"/>
      <c r="EO407" s="84"/>
      <c r="EP407" s="84"/>
      <c r="EQ407" s="84"/>
      <c r="ER407" s="84"/>
      <c r="ES407" s="84"/>
      <c r="ET407" s="83"/>
      <c r="EU407" s="83"/>
      <c r="EV407" s="83"/>
      <c r="EW407" s="81">
        <f t="shared" si="877"/>
        <v>280400000</v>
      </c>
      <c r="EX407" s="85">
        <f t="shared" si="877"/>
        <v>185740000</v>
      </c>
      <c r="EY407" s="86">
        <f t="shared" si="878"/>
        <v>172119326</v>
      </c>
      <c r="EZ407" s="86">
        <f t="shared" si="878"/>
        <v>172002326</v>
      </c>
      <c r="FA407" s="176"/>
      <c r="FB407" s="83"/>
      <c r="FC407" s="84"/>
      <c r="FD407" s="84"/>
      <c r="FE407" s="84"/>
      <c r="FF407" s="140"/>
      <c r="FG407" s="65">
        <v>43709080</v>
      </c>
      <c r="FH407" s="82"/>
      <c r="FI407" s="82"/>
      <c r="FJ407" s="82"/>
      <c r="FK407" s="82"/>
      <c r="FL407" s="83">
        <v>36690920</v>
      </c>
      <c r="FM407" s="83"/>
      <c r="FN407" s="83"/>
      <c r="FO407" s="83"/>
      <c r="FP407" s="83"/>
      <c r="FQ407" s="83">
        <v>200000000</v>
      </c>
      <c r="FR407" s="82">
        <v>250000000</v>
      </c>
      <c r="FS407" s="83"/>
      <c r="FT407" s="83"/>
      <c r="FU407" s="83"/>
      <c r="FV407" s="83"/>
      <c r="FW407" s="83"/>
      <c r="FX407" s="83"/>
      <c r="FY407" s="83"/>
      <c r="FZ407" s="83"/>
      <c r="GA407" s="83"/>
      <c r="GB407" s="83"/>
      <c r="GC407" s="83"/>
      <c r="GD407" s="83"/>
      <c r="GE407" s="83"/>
      <c r="GF407" s="83"/>
      <c r="GG407" s="83"/>
      <c r="GH407" s="83"/>
      <c r="GI407" s="83"/>
      <c r="GJ407" s="83"/>
      <c r="GK407" s="83"/>
      <c r="GL407" s="83"/>
      <c r="GM407" s="83"/>
      <c r="GN407" s="83"/>
      <c r="GO407" s="83"/>
      <c r="GP407" s="83"/>
      <c r="GQ407" s="83"/>
      <c r="GR407" s="83"/>
      <c r="GS407" s="83"/>
      <c r="GT407" s="83"/>
      <c r="GU407" s="81">
        <f t="shared" si="879"/>
        <v>280400000</v>
      </c>
      <c r="GV407" s="81">
        <f t="shared" si="879"/>
        <v>250000000</v>
      </c>
      <c r="GW407" s="81">
        <f t="shared" si="879"/>
        <v>0</v>
      </c>
      <c r="GX407" s="81">
        <f t="shared" si="879"/>
        <v>0</v>
      </c>
      <c r="GY407" s="673">
        <f t="shared" si="879"/>
        <v>0</v>
      </c>
      <c r="GZ407" s="67">
        <f>BM407+DE407+EW407+GU407</f>
        <v>1391859969</v>
      </c>
    </row>
    <row r="408" spans="1:208" ht="102.75" customHeight="1" x14ac:dyDescent="0.2">
      <c r="A408" s="326"/>
      <c r="B408" s="341"/>
      <c r="C408" s="279"/>
      <c r="D408" s="722"/>
      <c r="E408" s="279"/>
      <c r="F408" s="279"/>
      <c r="G408" s="265">
        <v>278</v>
      </c>
      <c r="H408" s="358" t="s">
        <v>898</v>
      </c>
      <c r="I408" s="275" t="s">
        <v>899</v>
      </c>
      <c r="J408" s="262" t="s">
        <v>822</v>
      </c>
      <c r="K408" s="415">
        <v>17</v>
      </c>
      <c r="L408" s="304" t="s">
        <v>58</v>
      </c>
      <c r="M408" s="288" t="s">
        <v>53</v>
      </c>
      <c r="N408" s="288">
        <v>1</v>
      </c>
      <c r="O408" s="259">
        <v>1</v>
      </c>
      <c r="P408" s="560">
        <v>1</v>
      </c>
      <c r="Q408" s="288">
        <v>1</v>
      </c>
      <c r="R408" s="268"/>
      <c r="S408" s="389">
        <v>1</v>
      </c>
      <c r="T408" s="288">
        <v>1</v>
      </c>
      <c r="U408" s="288"/>
      <c r="V408" s="389">
        <v>1</v>
      </c>
      <c r="W408" s="288">
        <v>1</v>
      </c>
      <c r="X408" s="304"/>
      <c r="Y408" s="631">
        <v>0.25</v>
      </c>
      <c r="Z408" s="443">
        <f>BM408/$BM$404</f>
        <v>5.4980710124377984E-3</v>
      </c>
      <c r="AA408" s="265">
        <v>16</v>
      </c>
      <c r="AB408" s="263" t="s">
        <v>376</v>
      </c>
      <c r="AC408" s="56"/>
      <c r="AD408" s="55"/>
      <c r="AE408" s="55"/>
      <c r="AF408" s="55"/>
      <c r="AG408" s="56"/>
      <c r="AH408" s="55"/>
      <c r="AI408" s="55"/>
      <c r="AJ408" s="55"/>
      <c r="AK408" s="57">
        <v>8000000</v>
      </c>
      <c r="AL408" s="55">
        <v>11466670</v>
      </c>
      <c r="AM408" s="55">
        <v>11466670</v>
      </c>
      <c r="AN408" s="55">
        <v>0</v>
      </c>
      <c r="AO408" s="57"/>
      <c r="AP408" s="58"/>
      <c r="AQ408" s="58"/>
      <c r="AR408" s="55"/>
      <c r="AS408" s="56"/>
      <c r="AT408" s="55"/>
      <c r="AU408" s="55"/>
      <c r="AV408" s="55"/>
      <c r="AW408" s="56"/>
      <c r="AX408" s="55"/>
      <c r="AY408" s="55"/>
      <c r="AZ408" s="55"/>
      <c r="BA408" s="56"/>
      <c r="BB408" s="55"/>
      <c r="BC408" s="55"/>
      <c r="BD408" s="55"/>
      <c r="BE408" s="56"/>
      <c r="BF408" s="55"/>
      <c r="BG408" s="55"/>
      <c r="BH408" s="55"/>
      <c r="BI408" s="56"/>
      <c r="BJ408" s="55"/>
      <c r="BK408" s="55"/>
      <c r="BL408" s="55"/>
      <c r="BM408" s="53">
        <f>+AC408+AG408+AK408+AO408+AS408+AW408+BA408+BE408+BI408</f>
        <v>8000000</v>
      </c>
      <c r="BN408" s="54">
        <f t="shared" si="875"/>
        <v>11466670</v>
      </c>
      <c r="BO408" s="54">
        <f t="shared" si="875"/>
        <v>11466670</v>
      </c>
      <c r="BP408" s="54">
        <f t="shared" si="875"/>
        <v>0</v>
      </c>
      <c r="BQ408" s="83"/>
      <c r="BR408" s="83"/>
      <c r="BS408" s="83"/>
      <c r="BT408" s="83"/>
      <c r="BU408" s="83"/>
      <c r="BV408" s="83"/>
      <c r="BW408" s="83"/>
      <c r="BX408" s="83"/>
      <c r="BY408" s="83"/>
      <c r="BZ408" s="84">
        <v>5700000</v>
      </c>
      <c r="CA408" s="568">
        <v>40000000</v>
      </c>
      <c r="CB408" s="83">
        <v>30000000</v>
      </c>
      <c r="CC408" s="83"/>
      <c r="CD408" s="83"/>
      <c r="CE408" s="83"/>
      <c r="CF408" s="83"/>
      <c r="CG408" s="83"/>
      <c r="CH408" s="83"/>
      <c r="CI408" s="83"/>
      <c r="CJ408" s="83"/>
      <c r="CK408" s="83"/>
      <c r="CL408" s="83"/>
      <c r="CM408" s="83"/>
      <c r="CN408" s="83"/>
      <c r="CO408" s="83"/>
      <c r="CP408" s="83"/>
      <c r="CQ408" s="83"/>
      <c r="CR408" s="83"/>
      <c r="CS408" s="83"/>
      <c r="CT408" s="83"/>
      <c r="CU408" s="83"/>
      <c r="CV408" s="83"/>
      <c r="CW408" s="83"/>
      <c r="CX408" s="83"/>
      <c r="CY408" s="83"/>
      <c r="CZ408" s="83"/>
      <c r="DA408" s="83"/>
      <c r="DB408" s="83"/>
      <c r="DC408" s="83"/>
      <c r="DD408" s="83"/>
      <c r="DE408" s="81">
        <f t="shared" si="876"/>
        <v>5700000</v>
      </c>
      <c r="DF408" s="95">
        <f t="shared" si="876"/>
        <v>40000000</v>
      </c>
      <c r="DG408" s="95">
        <f t="shared" si="876"/>
        <v>30000000</v>
      </c>
      <c r="DH408" s="95">
        <f t="shared" si="876"/>
        <v>0</v>
      </c>
      <c r="DI408" s="95"/>
      <c r="DJ408" s="84"/>
      <c r="DK408" s="65"/>
      <c r="DL408" s="84"/>
      <c r="DM408" s="84"/>
      <c r="DN408" s="84"/>
      <c r="DO408" s="65"/>
      <c r="DP408" s="84"/>
      <c r="DQ408" s="84"/>
      <c r="DR408" s="84"/>
      <c r="DS408" s="84">
        <v>4600000</v>
      </c>
      <c r="DT408" s="84">
        <v>18000000</v>
      </c>
      <c r="DU408" s="84">
        <v>18000000</v>
      </c>
      <c r="DV408" s="84">
        <v>16000000</v>
      </c>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3"/>
      <c r="EU408" s="83"/>
      <c r="EV408" s="83"/>
      <c r="EW408" s="81">
        <f t="shared" si="877"/>
        <v>4600000</v>
      </c>
      <c r="EX408" s="85">
        <f t="shared" si="877"/>
        <v>18000000</v>
      </c>
      <c r="EY408" s="86">
        <f t="shared" si="878"/>
        <v>18000000</v>
      </c>
      <c r="EZ408" s="86">
        <f t="shared" si="878"/>
        <v>16000000</v>
      </c>
      <c r="FA408" s="176"/>
      <c r="FB408" s="83"/>
      <c r="FC408" s="84"/>
      <c r="FD408" s="84"/>
      <c r="FE408" s="84"/>
      <c r="FF408" s="140"/>
      <c r="FG408" s="83"/>
      <c r="FH408" s="83"/>
      <c r="FI408" s="83"/>
      <c r="FJ408" s="83"/>
      <c r="FK408" s="83"/>
      <c r="FL408" s="83">
        <v>4600000</v>
      </c>
      <c r="FM408" s="83">
        <v>10000000</v>
      </c>
      <c r="FN408" s="83"/>
      <c r="FO408" s="83"/>
      <c r="FP408" s="83"/>
      <c r="FQ408" s="83"/>
      <c r="FR408" s="83"/>
      <c r="FS408" s="83"/>
      <c r="FT408" s="83"/>
      <c r="FU408" s="83"/>
      <c r="FV408" s="83"/>
      <c r="FW408" s="83"/>
      <c r="FX408" s="83"/>
      <c r="FY408" s="83"/>
      <c r="FZ408" s="83"/>
      <c r="GA408" s="83"/>
      <c r="GB408" s="83"/>
      <c r="GC408" s="83"/>
      <c r="GD408" s="83"/>
      <c r="GE408" s="83"/>
      <c r="GF408" s="83"/>
      <c r="GG408" s="83"/>
      <c r="GH408" s="83"/>
      <c r="GI408" s="83"/>
      <c r="GJ408" s="83"/>
      <c r="GK408" s="83"/>
      <c r="GL408" s="83"/>
      <c r="GM408" s="83"/>
      <c r="GN408" s="83"/>
      <c r="GO408" s="83"/>
      <c r="GP408" s="83"/>
      <c r="GQ408" s="83"/>
      <c r="GR408" s="83"/>
      <c r="GS408" s="83"/>
      <c r="GT408" s="83"/>
      <c r="GU408" s="81">
        <f t="shared" si="879"/>
        <v>4600000</v>
      </c>
      <c r="GV408" s="81">
        <f t="shared" si="879"/>
        <v>10000000</v>
      </c>
      <c r="GW408" s="81">
        <f t="shared" si="879"/>
        <v>0</v>
      </c>
      <c r="GX408" s="81">
        <f t="shared" si="879"/>
        <v>0</v>
      </c>
      <c r="GY408" s="673">
        <f t="shared" si="879"/>
        <v>0</v>
      </c>
      <c r="GZ408" s="67">
        <f>BM408+DE408+EW408+GU408</f>
        <v>22900000</v>
      </c>
    </row>
    <row r="409" spans="1:208" ht="102.75" customHeight="1" x14ac:dyDescent="0.2">
      <c r="A409" s="326"/>
      <c r="B409" s="341"/>
      <c r="C409" s="277"/>
      <c r="D409" s="723"/>
      <c r="E409" s="277"/>
      <c r="F409" s="277"/>
      <c r="G409" s="265">
        <v>279</v>
      </c>
      <c r="H409" s="358" t="s">
        <v>900</v>
      </c>
      <c r="I409" s="275" t="s">
        <v>901</v>
      </c>
      <c r="J409" s="262" t="s">
        <v>822</v>
      </c>
      <c r="K409" s="415">
        <v>17</v>
      </c>
      <c r="L409" s="304" t="s">
        <v>58</v>
      </c>
      <c r="M409" s="288" t="s">
        <v>53</v>
      </c>
      <c r="N409" s="288">
        <v>1</v>
      </c>
      <c r="O409" s="259">
        <v>1</v>
      </c>
      <c r="P409" s="560">
        <v>1</v>
      </c>
      <c r="Q409" s="288">
        <v>1</v>
      </c>
      <c r="R409" s="268"/>
      <c r="S409" s="389">
        <v>1</v>
      </c>
      <c r="T409" s="288">
        <v>1</v>
      </c>
      <c r="U409" s="288"/>
      <c r="V409" s="389">
        <v>1</v>
      </c>
      <c r="W409" s="288">
        <v>1</v>
      </c>
      <c r="X409" s="304"/>
      <c r="Y409" s="631">
        <v>0.52</v>
      </c>
      <c r="Z409" s="443">
        <f>BM409/$BM$404</f>
        <v>2.1992284049751194E-2</v>
      </c>
      <c r="AA409" s="265">
        <v>16</v>
      </c>
      <c r="AB409" s="263" t="s">
        <v>376</v>
      </c>
      <c r="AC409" s="56"/>
      <c r="AD409" s="55"/>
      <c r="AE409" s="55"/>
      <c r="AF409" s="55"/>
      <c r="AG409" s="56"/>
      <c r="AH409" s="55"/>
      <c r="AI409" s="55"/>
      <c r="AJ409" s="55"/>
      <c r="AK409" s="57">
        <v>32000000</v>
      </c>
      <c r="AL409" s="55">
        <v>28533330</v>
      </c>
      <c r="AM409" s="55">
        <v>28533330</v>
      </c>
      <c r="AN409" s="55">
        <v>28533330</v>
      </c>
      <c r="AO409" s="57"/>
      <c r="AP409" s="58"/>
      <c r="AQ409" s="58"/>
      <c r="AR409" s="55"/>
      <c r="AS409" s="56"/>
      <c r="AT409" s="55"/>
      <c r="AU409" s="55"/>
      <c r="AV409" s="55"/>
      <c r="AW409" s="56"/>
      <c r="AX409" s="55"/>
      <c r="AY409" s="55"/>
      <c r="AZ409" s="55"/>
      <c r="BA409" s="56"/>
      <c r="BB409" s="55"/>
      <c r="BC409" s="55"/>
      <c r="BD409" s="55"/>
      <c r="BE409" s="56"/>
      <c r="BF409" s="55"/>
      <c r="BG409" s="55"/>
      <c r="BH409" s="55"/>
      <c r="BI409" s="56"/>
      <c r="BJ409" s="55"/>
      <c r="BK409" s="55"/>
      <c r="BL409" s="55"/>
      <c r="BM409" s="53">
        <f>+AC409+AG409+AK409+AO409+AS409+AW409+BA409+BE409+BI409</f>
        <v>32000000</v>
      </c>
      <c r="BN409" s="54">
        <f t="shared" si="875"/>
        <v>28533330</v>
      </c>
      <c r="BO409" s="54">
        <f t="shared" si="875"/>
        <v>28533330</v>
      </c>
      <c r="BP409" s="54">
        <f t="shared" si="875"/>
        <v>28533330</v>
      </c>
      <c r="BQ409" s="83"/>
      <c r="BR409" s="83"/>
      <c r="BS409" s="83"/>
      <c r="BT409" s="83"/>
      <c r="BU409" s="83"/>
      <c r="BV409" s="83">
        <v>65388531</v>
      </c>
      <c r="BW409" s="83">
        <v>59102660</v>
      </c>
      <c r="BX409" s="83">
        <v>59102660</v>
      </c>
      <c r="BY409" s="83"/>
      <c r="BZ409" s="84">
        <v>23100000</v>
      </c>
      <c r="CA409" s="83">
        <v>268800000</v>
      </c>
      <c r="CB409" s="83">
        <v>261028325</v>
      </c>
      <c r="CC409" s="83">
        <v>261028325</v>
      </c>
      <c r="CD409" s="83"/>
      <c r="CE409" s="83"/>
      <c r="CF409" s="83"/>
      <c r="CG409" s="83"/>
      <c r="CH409" s="83"/>
      <c r="CI409" s="83"/>
      <c r="CJ409" s="83"/>
      <c r="CK409" s="83"/>
      <c r="CL409" s="83"/>
      <c r="CM409" s="83"/>
      <c r="CN409" s="83"/>
      <c r="CO409" s="83"/>
      <c r="CP409" s="83"/>
      <c r="CQ409" s="83"/>
      <c r="CR409" s="83"/>
      <c r="CS409" s="83"/>
      <c r="CT409" s="83"/>
      <c r="CU409" s="83"/>
      <c r="CV409" s="83"/>
      <c r="CW409" s="83"/>
      <c r="CX409" s="83"/>
      <c r="CY409" s="83"/>
      <c r="CZ409" s="83"/>
      <c r="DA409" s="83"/>
      <c r="DB409" s="83"/>
      <c r="DC409" s="83"/>
      <c r="DD409" s="83"/>
      <c r="DE409" s="81">
        <f t="shared" si="876"/>
        <v>23100000</v>
      </c>
      <c r="DF409" s="95">
        <f t="shared" si="876"/>
        <v>334188531</v>
      </c>
      <c r="DG409" s="95">
        <f t="shared" si="876"/>
        <v>320130985</v>
      </c>
      <c r="DH409" s="95">
        <f t="shared" si="876"/>
        <v>320130985</v>
      </c>
      <c r="DI409" s="95"/>
      <c r="DJ409" s="84"/>
      <c r="DK409" s="65"/>
      <c r="DL409" s="84"/>
      <c r="DM409" s="84"/>
      <c r="DN409" s="84"/>
      <c r="DO409" s="65">
        <v>99500000</v>
      </c>
      <c r="DP409" s="84">
        <v>98703333</v>
      </c>
      <c r="DQ409" s="84">
        <v>98703333</v>
      </c>
      <c r="DR409" s="84"/>
      <c r="DS409" s="84">
        <f>18500000+186000</f>
        <v>18686000</v>
      </c>
      <c r="DT409" s="84">
        <v>300000000</v>
      </c>
      <c r="DU409" s="84">
        <v>298521333</v>
      </c>
      <c r="DV409" s="84">
        <v>298521333</v>
      </c>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3"/>
      <c r="EU409" s="83"/>
      <c r="EV409" s="83"/>
      <c r="EW409" s="81">
        <f t="shared" si="877"/>
        <v>18686000</v>
      </c>
      <c r="EX409" s="85">
        <f t="shared" si="877"/>
        <v>399500000</v>
      </c>
      <c r="EY409" s="86">
        <f t="shared" si="878"/>
        <v>397224666</v>
      </c>
      <c r="EZ409" s="86">
        <f t="shared" si="878"/>
        <v>397224666</v>
      </c>
      <c r="FA409" s="176"/>
      <c r="FB409" s="83"/>
      <c r="FC409" s="84"/>
      <c r="FD409" s="84"/>
      <c r="FE409" s="84"/>
      <c r="FF409" s="140"/>
      <c r="FG409" s="83"/>
      <c r="FH409" s="83">
        <v>126527048</v>
      </c>
      <c r="FI409" s="83"/>
      <c r="FJ409" s="83"/>
      <c r="FK409" s="83"/>
      <c r="FL409" s="83">
        <v>18686000</v>
      </c>
      <c r="FM409" s="83">
        <v>306000000</v>
      </c>
      <c r="FN409" s="83">
        <v>223416000</v>
      </c>
      <c r="FO409" s="83">
        <v>181440000</v>
      </c>
      <c r="FP409" s="83"/>
      <c r="FQ409" s="83"/>
      <c r="FR409" s="83"/>
      <c r="FS409" s="83"/>
      <c r="FT409" s="83"/>
      <c r="FU409" s="83"/>
      <c r="FV409" s="83"/>
      <c r="FW409" s="83"/>
      <c r="FX409" s="83"/>
      <c r="FY409" s="83"/>
      <c r="FZ409" s="83"/>
      <c r="GA409" s="83"/>
      <c r="GB409" s="83"/>
      <c r="GC409" s="83"/>
      <c r="GD409" s="83"/>
      <c r="GE409" s="83"/>
      <c r="GF409" s="83"/>
      <c r="GG409" s="83"/>
      <c r="GH409" s="83"/>
      <c r="GI409" s="83"/>
      <c r="GJ409" s="83"/>
      <c r="GK409" s="83"/>
      <c r="GL409" s="83"/>
      <c r="GM409" s="83"/>
      <c r="GN409" s="83"/>
      <c r="GO409" s="83"/>
      <c r="GP409" s="83"/>
      <c r="GQ409" s="83"/>
      <c r="GR409" s="83"/>
      <c r="GS409" s="83"/>
      <c r="GT409" s="83"/>
      <c r="GU409" s="81">
        <f t="shared" si="879"/>
        <v>18686000</v>
      </c>
      <c r="GV409" s="81">
        <f t="shared" si="879"/>
        <v>432527048</v>
      </c>
      <c r="GW409" s="81">
        <f t="shared" si="879"/>
        <v>223416000</v>
      </c>
      <c r="GX409" s="81">
        <f t="shared" si="879"/>
        <v>181440000</v>
      </c>
      <c r="GY409" s="673">
        <f t="shared" si="879"/>
        <v>0</v>
      </c>
      <c r="GZ409" s="67">
        <f>BM409+DE409+EW409+GU409</f>
        <v>92472000</v>
      </c>
    </row>
    <row r="410" spans="1:208" ht="24.75" customHeight="1" x14ac:dyDescent="0.2">
      <c r="A410" s="326"/>
      <c r="B410" s="341"/>
      <c r="C410" s="246">
        <v>89</v>
      </c>
      <c r="D410" s="247" t="s">
        <v>902</v>
      </c>
      <c r="E410" s="250"/>
      <c r="F410" s="250"/>
      <c r="G410" s="251"/>
      <c r="H410" s="251"/>
      <c r="I410" s="251"/>
      <c r="J410" s="251"/>
      <c r="K410" s="251"/>
      <c r="L410" s="251"/>
      <c r="M410" s="251"/>
      <c r="N410" s="251"/>
      <c r="O410" s="251"/>
      <c r="P410" s="251"/>
      <c r="Q410" s="251"/>
      <c r="R410" s="251"/>
      <c r="S410" s="251"/>
      <c r="T410" s="251"/>
      <c r="U410" s="251"/>
      <c r="V410" s="251"/>
      <c r="W410" s="251"/>
      <c r="X410" s="251"/>
      <c r="Y410" s="252"/>
      <c r="Z410" s="251"/>
      <c r="AA410" s="251"/>
      <c r="AB410" s="251"/>
      <c r="AC410" s="51">
        <f t="shared" ref="AC410:BL410" si="880">SUM(AC411:AC420)</f>
        <v>0</v>
      </c>
      <c r="AD410" s="51">
        <f t="shared" si="880"/>
        <v>0</v>
      </c>
      <c r="AE410" s="51">
        <f t="shared" si="880"/>
        <v>0</v>
      </c>
      <c r="AF410" s="51">
        <f t="shared" si="880"/>
        <v>0</v>
      </c>
      <c r="AG410" s="51">
        <f t="shared" si="880"/>
        <v>0</v>
      </c>
      <c r="AH410" s="51">
        <f t="shared" si="880"/>
        <v>0</v>
      </c>
      <c r="AI410" s="51">
        <f t="shared" si="880"/>
        <v>0</v>
      </c>
      <c r="AJ410" s="51">
        <f t="shared" si="880"/>
        <v>0</v>
      </c>
      <c r="AK410" s="51">
        <f t="shared" si="880"/>
        <v>831456356</v>
      </c>
      <c r="AL410" s="51">
        <f t="shared" si="880"/>
        <v>1072224581</v>
      </c>
      <c r="AM410" s="51">
        <f t="shared" si="880"/>
        <v>710097011</v>
      </c>
      <c r="AN410" s="51">
        <f t="shared" si="880"/>
        <v>660858105</v>
      </c>
      <c r="AO410" s="51">
        <f t="shared" si="880"/>
        <v>0</v>
      </c>
      <c r="AP410" s="51">
        <f t="shared" si="880"/>
        <v>0</v>
      </c>
      <c r="AQ410" s="51">
        <f t="shared" si="880"/>
        <v>0</v>
      </c>
      <c r="AR410" s="51">
        <f t="shared" si="880"/>
        <v>0</v>
      </c>
      <c r="AS410" s="51">
        <f t="shared" si="880"/>
        <v>0</v>
      </c>
      <c r="AT410" s="51">
        <f t="shared" si="880"/>
        <v>0</v>
      </c>
      <c r="AU410" s="51">
        <f t="shared" si="880"/>
        <v>0</v>
      </c>
      <c r="AV410" s="51">
        <f t="shared" si="880"/>
        <v>0</v>
      </c>
      <c r="AW410" s="51">
        <f t="shared" si="880"/>
        <v>0</v>
      </c>
      <c r="AX410" s="51">
        <f t="shared" si="880"/>
        <v>0</v>
      </c>
      <c r="AY410" s="51">
        <f t="shared" si="880"/>
        <v>0</v>
      </c>
      <c r="AZ410" s="51">
        <f t="shared" si="880"/>
        <v>0</v>
      </c>
      <c r="BA410" s="51">
        <f t="shared" si="880"/>
        <v>0</v>
      </c>
      <c r="BB410" s="51">
        <f t="shared" si="880"/>
        <v>0</v>
      </c>
      <c r="BC410" s="51">
        <f t="shared" si="880"/>
        <v>0</v>
      </c>
      <c r="BD410" s="51">
        <f t="shared" si="880"/>
        <v>0</v>
      </c>
      <c r="BE410" s="51">
        <f t="shared" si="880"/>
        <v>0</v>
      </c>
      <c r="BF410" s="51">
        <f t="shared" si="880"/>
        <v>0</v>
      </c>
      <c r="BG410" s="51">
        <f t="shared" si="880"/>
        <v>0</v>
      </c>
      <c r="BH410" s="51">
        <f t="shared" si="880"/>
        <v>0</v>
      </c>
      <c r="BI410" s="51">
        <f t="shared" si="880"/>
        <v>0</v>
      </c>
      <c r="BJ410" s="51">
        <f t="shared" si="880"/>
        <v>0</v>
      </c>
      <c r="BK410" s="51">
        <f t="shared" si="880"/>
        <v>0</v>
      </c>
      <c r="BL410" s="51">
        <f t="shared" si="880"/>
        <v>0</v>
      </c>
      <c r="BM410" s="51">
        <f t="shared" ref="BM410:DX410" si="881">SUM(BM411:BM420)</f>
        <v>831456356</v>
      </c>
      <c r="BN410" s="51">
        <f t="shared" si="881"/>
        <v>1072224581</v>
      </c>
      <c r="BO410" s="51">
        <f t="shared" si="881"/>
        <v>710097011</v>
      </c>
      <c r="BP410" s="51">
        <f t="shared" si="881"/>
        <v>660858105</v>
      </c>
      <c r="BQ410" s="51">
        <f t="shared" si="881"/>
        <v>4000000000</v>
      </c>
      <c r="BR410" s="51">
        <f t="shared" si="881"/>
        <v>0</v>
      </c>
      <c r="BS410" s="51">
        <f t="shared" si="881"/>
        <v>0</v>
      </c>
      <c r="BT410" s="51">
        <f t="shared" si="881"/>
        <v>0</v>
      </c>
      <c r="BU410" s="51">
        <f t="shared" si="881"/>
        <v>0</v>
      </c>
      <c r="BV410" s="51">
        <f t="shared" si="881"/>
        <v>1750000000</v>
      </c>
      <c r="BW410" s="51">
        <f t="shared" si="881"/>
        <v>156360992</v>
      </c>
      <c r="BX410" s="51">
        <f t="shared" si="881"/>
        <v>156360992</v>
      </c>
      <c r="BY410" s="51">
        <f t="shared" si="881"/>
        <v>0</v>
      </c>
      <c r="BZ410" s="51">
        <f t="shared" si="881"/>
        <v>554152274</v>
      </c>
      <c r="CA410" s="51">
        <f t="shared" si="881"/>
        <v>1274152274</v>
      </c>
      <c r="CB410" s="51">
        <f t="shared" si="881"/>
        <v>1225306805</v>
      </c>
      <c r="CC410" s="51">
        <f t="shared" si="881"/>
        <v>1141406805</v>
      </c>
      <c r="CD410" s="51">
        <f t="shared" si="881"/>
        <v>0</v>
      </c>
      <c r="CE410" s="51">
        <f t="shared" si="881"/>
        <v>0</v>
      </c>
      <c r="CF410" s="51">
        <f t="shared" si="881"/>
        <v>0</v>
      </c>
      <c r="CG410" s="51">
        <f t="shared" si="881"/>
        <v>0</v>
      </c>
      <c r="CH410" s="51">
        <f t="shared" si="881"/>
        <v>0</v>
      </c>
      <c r="CI410" s="51">
        <f t="shared" si="881"/>
        <v>0</v>
      </c>
      <c r="CJ410" s="51">
        <f t="shared" si="881"/>
        <v>0</v>
      </c>
      <c r="CK410" s="51">
        <f t="shared" si="881"/>
        <v>0</v>
      </c>
      <c r="CL410" s="51">
        <f t="shared" si="881"/>
        <v>0</v>
      </c>
      <c r="CM410" s="51">
        <f t="shared" si="881"/>
        <v>0</v>
      </c>
      <c r="CN410" s="51">
        <f t="shared" si="881"/>
        <v>0</v>
      </c>
      <c r="CO410" s="51">
        <f t="shared" si="881"/>
        <v>0</v>
      </c>
      <c r="CP410" s="51">
        <f t="shared" si="881"/>
        <v>0</v>
      </c>
      <c r="CQ410" s="51">
        <f t="shared" si="881"/>
        <v>0</v>
      </c>
      <c r="CR410" s="51">
        <f t="shared" si="881"/>
        <v>0</v>
      </c>
      <c r="CS410" s="51">
        <f t="shared" si="881"/>
        <v>0</v>
      </c>
      <c r="CT410" s="51">
        <f t="shared" si="881"/>
        <v>0</v>
      </c>
      <c r="CU410" s="51">
        <f t="shared" si="881"/>
        <v>0</v>
      </c>
      <c r="CV410" s="51">
        <f t="shared" si="881"/>
        <v>0</v>
      </c>
      <c r="CW410" s="51">
        <f t="shared" si="881"/>
        <v>0</v>
      </c>
      <c r="CX410" s="51">
        <f t="shared" si="881"/>
        <v>0</v>
      </c>
      <c r="CY410" s="51">
        <f t="shared" si="881"/>
        <v>0</v>
      </c>
      <c r="CZ410" s="51">
        <f t="shared" si="881"/>
        <v>0</v>
      </c>
      <c r="DA410" s="51">
        <f t="shared" si="881"/>
        <v>0</v>
      </c>
      <c r="DB410" s="51">
        <f t="shared" si="881"/>
        <v>0</v>
      </c>
      <c r="DC410" s="51">
        <f t="shared" si="881"/>
        <v>0</v>
      </c>
      <c r="DD410" s="51">
        <f t="shared" si="881"/>
        <v>0</v>
      </c>
      <c r="DE410" s="51">
        <f t="shared" si="881"/>
        <v>4554152274</v>
      </c>
      <c r="DF410" s="51">
        <f t="shared" si="881"/>
        <v>3024152274</v>
      </c>
      <c r="DG410" s="51">
        <f t="shared" si="881"/>
        <v>1381667797</v>
      </c>
      <c r="DH410" s="51">
        <f t="shared" si="881"/>
        <v>1297767797</v>
      </c>
      <c r="DI410" s="51">
        <f t="shared" si="881"/>
        <v>0</v>
      </c>
      <c r="DJ410" s="51">
        <f t="shared" si="881"/>
        <v>0</v>
      </c>
      <c r="DK410" s="51">
        <f t="shared" si="881"/>
        <v>0</v>
      </c>
      <c r="DL410" s="51">
        <f t="shared" si="881"/>
        <v>0</v>
      </c>
      <c r="DM410" s="51">
        <f t="shared" si="881"/>
        <v>0</v>
      </c>
      <c r="DN410" s="51">
        <f t="shared" si="881"/>
        <v>0</v>
      </c>
      <c r="DO410" s="51">
        <f t="shared" si="881"/>
        <v>700000000</v>
      </c>
      <c r="DP410" s="51">
        <f t="shared" si="881"/>
        <v>688806664</v>
      </c>
      <c r="DQ410" s="51">
        <f t="shared" si="881"/>
        <v>409635798</v>
      </c>
      <c r="DR410" s="51">
        <f t="shared" si="881"/>
        <v>0</v>
      </c>
      <c r="DS410" s="51">
        <f t="shared" si="881"/>
        <v>215304749</v>
      </c>
      <c r="DT410" s="51">
        <f t="shared" si="881"/>
        <v>1238000000</v>
      </c>
      <c r="DU410" s="51">
        <f t="shared" si="881"/>
        <v>1101439001</v>
      </c>
      <c r="DV410" s="51">
        <f t="shared" si="881"/>
        <v>825238888</v>
      </c>
      <c r="DW410" s="51">
        <f t="shared" si="881"/>
        <v>0</v>
      </c>
      <c r="DX410" s="51">
        <f t="shared" si="881"/>
        <v>0</v>
      </c>
      <c r="DY410" s="51">
        <f t="shared" ref="DY410:EW410" si="882">SUM(DY411:DY420)</f>
        <v>0</v>
      </c>
      <c r="DZ410" s="51">
        <f t="shared" si="882"/>
        <v>0</v>
      </c>
      <c r="EA410" s="51">
        <f t="shared" si="882"/>
        <v>0</v>
      </c>
      <c r="EB410" s="51">
        <f t="shared" si="882"/>
        <v>0</v>
      </c>
      <c r="EC410" s="51">
        <f t="shared" si="882"/>
        <v>0</v>
      </c>
      <c r="ED410" s="51">
        <f t="shared" si="882"/>
        <v>0</v>
      </c>
      <c r="EE410" s="51">
        <f t="shared" si="882"/>
        <v>0</v>
      </c>
      <c r="EF410" s="51">
        <f t="shared" si="882"/>
        <v>0</v>
      </c>
      <c r="EG410" s="51">
        <f t="shared" si="882"/>
        <v>0</v>
      </c>
      <c r="EH410" s="51">
        <f t="shared" si="882"/>
        <v>0</v>
      </c>
      <c r="EI410" s="51">
        <f t="shared" si="882"/>
        <v>0</v>
      </c>
      <c r="EJ410" s="51">
        <f t="shared" si="882"/>
        <v>0</v>
      </c>
      <c r="EK410" s="51">
        <f t="shared" si="882"/>
        <v>0</v>
      </c>
      <c r="EL410" s="51">
        <f t="shared" si="882"/>
        <v>0</v>
      </c>
      <c r="EM410" s="51">
        <f t="shared" si="882"/>
        <v>0</v>
      </c>
      <c r="EN410" s="51">
        <f t="shared" si="882"/>
        <v>0</v>
      </c>
      <c r="EO410" s="51">
        <f t="shared" si="882"/>
        <v>0</v>
      </c>
      <c r="EP410" s="51">
        <f t="shared" si="882"/>
        <v>0</v>
      </c>
      <c r="EQ410" s="51">
        <f t="shared" si="882"/>
        <v>0</v>
      </c>
      <c r="ER410" s="51">
        <f t="shared" si="882"/>
        <v>0</v>
      </c>
      <c r="ES410" s="51">
        <f t="shared" si="882"/>
        <v>0</v>
      </c>
      <c r="ET410" s="51">
        <f t="shared" si="882"/>
        <v>0</v>
      </c>
      <c r="EU410" s="51">
        <f t="shared" si="882"/>
        <v>0</v>
      </c>
      <c r="EV410" s="51">
        <f t="shared" si="882"/>
        <v>0</v>
      </c>
      <c r="EW410" s="51">
        <f t="shared" si="882"/>
        <v>215304749</v>
      </c>
      <c r="EX410" s="51">
        <f t="shared" ref="EX410:GZ410" si="883">SUM(EX411:EX420)</f>
        <v>1938000000</v>
      </c>
      <c r="EY410" s="51">
        <f t="shared" si="883"/>
        <v>1790245665</v>
      </c>
      <c r="EZ410" s="51">
        <f t="shared" si="883"/>
        <v>1234874686</v>
      </c>
      <c r="FA410" s="51">
        <f t="shared" si="883"/>
        <v>0</v>
      </c>
      <c r="FB410" s="51">
        <f t="shared" si="883"/>
        <v>0</v>
      </c>
      <c r="FC410" s="51">
        <f t="shared" si="883"/>
        <v>5000000000</v>
      </c>
      <c r="FD410" s="51">
        <f t="shared" si="883"/>
        <v>820874579</v>
      </c>
      <c r="FE410" s="51">
        <f t="shared" si="883"/>
        <v>820874579</v>
      </c>
      <c r="FF410" s="51">
        <f t="shared" si="883"/>
        <v>0</v>
      </c>
      <c r="FG410" s="51">
        <f t="shared" si="883"/>
        <v>0</v>
      </c>
      <c r="FH410" s="51">
        <f t="shared" si="883"/>
        <v>1250000000</v>
      </c>
      <c r="FI410" s="51">
        <f t="shared" si="883"/>
        <v>787766404</v>
      </c>
      <c r="FJ410" s="51">
        <f t="shared" si="883"/>
        <v>0</v>
      </c>
      <c r="FK410" s="51">
        <f t="shared" si="883"/>
        <v>184044688</v>
      </c>
      <c r="FL410" s="51">
        <f t="shared" si="883"/>
        <v>150000000</v>
      </c>
      <c r="FM410" s="51">
        <f t="shared" si="883"/>
        <v>1140842662</v>
      </c>
      <c r="FN410" s="51">
        <f t="shared" si="883"/>
        <v>854470229</v>
      </c>
      <c r="FO410" s="51">
        <f t="shared" si="883"/>
        <v>655492447</v>
      </c>
      <c r="FP410" s="51">
        <f t="shared" si="883"/>
        <v>123760516</v>
      </c>
      <c r="FQ410" s="51">
        <f t="shared" si="883"/>
        <v>0</v>
      </c>
      <c r="FR410" s="51">
        <f t="shared" si="883"/>
        <v>0</v>
      </c>
      <c r="FS410" s="51">
        <f t="shared" si="883"/>
        <v>0</v>
      </c>
      <c r="FT410" s="51">
        <f t="shared" si="883"/>
        <v>0</v>
      </c>
      <c r="FU410" s="51">
        <f t="shared" si="883"/>
        <v>0</v>
      </c>
      <c r="FV410" s="51">
        <f t="shared" si="883"/>
        <v>0</v>
      </c>
      <c r="FW410" s="51">
        <f t="shared" si="883"/>
        <v>0</v>
      </c>
      <c r="FX410" s="51">
        <f t="shared" si="883"/>
        <v>0</v>
      </c>
      <c r="FY410" s="51">
        <f t="shared" si="883"/>
        <v>0</v>
      </c>
      <c r="FZ410" s="51">
        <f t="shared" si="883"/>
        <v>0</v>
      </c>
      <c r="GA410" s="51">
        <f t="shared" si="883"/>
        <v>0</v>
      </c>
      <c r="GB410" s="51">
        <f t="shared" si="883"/>
        <v>0</v>
      </c>
      <c r="GC410" s="51">
        <f t="shared" si="883"/>
        <v>0</v>
      </c>
      <c r="GD410" s="51">
        <f t="shared" si="883"/>
        <v>0</v>
      </c>
      <c r="GE410" s="51">
        <f t="shared" si="883"/>
        <v>0</v>
      </c>
      <c r="GF410" s="51">
        <f t="shared" si="883"/>
        <v>0</v>
      </c>
      <c r="GG410" s="51">
        <f t="shared" si="883"/>
        <v>0</v>
      </c>
      <c r="GH410" s="51">
        <f t="shared" si="883"/>
        <v>0</v>
      </c>
      <c r="GI410" s="51">
        <f t="shared" si="883"/>
        <v>0</v>
      </c>
      <c r="GJ410" s="51">
        <f t="shared" si="883"/>
        <v>0</v>
      </c>
      <c r="GK410" s="51">
        <f t="shared" si="883"/>
        <v>0</v>
      </c>
      <c r="GL410" s="51">
        <f t="shared" si="883"/>
        <v>0</v>
      </c>
      <c r="GM410" s="51">
        <f t="shared" si="883"/>
        <v>0</v>
      </c>
      <c r="GN410" s="51">
        <f t="shared" si="883"/>
        <v>0</v>
      </c>
      <c r="GO410" s="51">
        <f t="shared" si="883"/>
        <v>0</v>
      </c>
      <c r="GP410" s="51">
        <f t="shared" si="883"/>
        <v>0</v>
      </c>
      <c r="GQ410" s="51">
        <f t="shared" si="883"/>
        <v>0</v>
      </c>
      <c r="GR410" s="51">
        <f t="shared" si="883"/>
        <v>0</v>
      </c>
      <c r="GS410" s="51">
        <f t="shared" si="883"/>
        <v>0</v>
      </c>
      <c r="GT410" s="51">
        <f t="shared" si="883"/>
        <v>0</v>
      </c>
      <c r="GU410" s="51">
        <f t="shared" si="883"/>
        <v>150000000</v>
      </c>
      <c r="GV410" s="51">
        <f t="shared" si="883"/>
        <v>7390842662</v>
      </c>
      <c r="GW410" s="51">
        <f t="shared" si="883"/>
        <v>2463111212</v>
      </c>
      <c r="GX410" s="51">
        <f t="shared" si="883"/>
        <v>1476367026</v>
      </c>
      <c r="GY410" s="51">
        <f t="shared" si="883"/>
        <v>307805204</v>
      </c>
      <c r="GZ410" s="51">
        <f t="shared" si="883"/>
        <v>5750913379</v>
      </c>
    </row>
    <row r="411" spans="1:208" s="276" customFormat="1" ht="165" customHeight="1" x14ac:dyDescent="0.25">
      <c r="A411" s="326"/>
      <c r="B411" s="341"/>
      <c r="C411" s="456">
        <v>38</v>
      </c>
      <c r="D411" s="721" t="s">
        <v>800</v>
      </c>
      <c r="E411" s="456">
        <v>0</v>
      </c>
      <c r="F411" s="456">
        <v>2</v>
      </c>
      <c r="G411" s="265">
        <v>280</v>
      </c>
      <c r="H411" s="358" t="s">
        <v>903</v>
      </c>
      <c r="I411" s="275" t="s">
        <v>904</v>
      </c>
      <c r="J411" s="262" t="s">
        <v>905</v>
      </c>
      <c r="K411" s="415">
        <v>17</v>
      </c>
      <c r="L411" s="415" t="s">
        <v>58</v>
      </c>
      <c r="M411" s="259">
        <v>0</v>
      </c>
      <c r="N411" s="259">
        <v>1</v>
      </c>
      <c r="O411" s="259">
        <v>0</v>
      </c>
      <c r="P411" s="560"/>
      <c r="Q411" s="259">
        <v>1</v>
      </c>
      <c r="R411" s="268"/>
      <c r="S411" s="387">
        <v>1</v>
      </c>
      <c r="T411" s="259">
        <v>1</v>
      </c>
      <c r="U411" s="259"/>
      <c r="V411" s="387">
        <v>1</v>
      </c>
      <c r="W411" s="259">
        <v>1</v>
      </c>
      <c r="X411" s="415"/>
      <c r="Y411" s="636">
        <v>0</v>
      </c>
      <c r="Z411" s="390">
        <f t="shared" ref="Z411:Z420" si="884">BM411/$BM$410</f>
        <v>0</v>
      </c>
      <c r="AA411" s="264">
        <v>10</v>
      </c>
      <c r="AB411" s="263" t="s">
        <v>389</v>
      </c>
      <c r="AC411" s="56"/>
      <c r="AD411" s="55"/>
      <c r="AE411" s="54"/>
      <c r="AF411" s="54"/>
      <c r="AG411" s="56"/>
      <c r="AH411" s="55"/>
      <c r="AI411" s="55"/>
      <c r="AJ411" s="55"/>
      <c r="AK411" s="57"/>
      <c r="AL411" s="58"/>
      <c r="AM411" s="58"/>
      <c r="AN411" s="58"/>
      <c r="AO411" s="57"/>
      <c r="AP411" s="58"/>
      <c r="AQ411" s="58"/>
      <c r="AR411" s="55"/>
      <c r="AS411" s="56"/>
      <c r="AT411" s="55"/>
      <c r="AU411" s="54"/>
      <c r="AV411" s="54"/>
      <c r="AW411" s="56"/>
      <c r="AX411" s="55"/>
      <c r="AY411" s="55"/>
      <c r="AZ411" s="55"/>
      <c r="BA411" s="56"/>
      <c r="BB411" s="55"/>
      <c r="BC411" s="55"/>
      <c r="BD411" s="55"/>
      <c r="BE411" s="56"/>
      <c r="BF411" s="55"/>
      <c r="BG411" s="54"/>
      <c r="BH411" s="54"/>
      <c r="BI411" s="56"/>
      <c r="BJ411" s="55"/>
      <c r="BK411" s="55"/>
      <c r="BL411" s="55"/>
      <c r="BM411" s="53">
        <f t="shared" ref="BM411:BM420" si="885">+AC411+AG411+AK411+AO411+AS411+AW411+BA411+BE411+BI411</f>
        <v>0</v>
      </c>
      <c r="BN411" s="54">
        <f t="shared" ref="BN411:BN420" si="886">AD411+AH411+AL411+AP411+AT411+AX411+BB411+BF411+BJ411</f>
        <v>0</v>
      </c>
      <c r="BO411" s="54">
        <f t="shared" ref="BO411:BO420" si="887">AE411+AI411+AM411+AQ411+AU411+AY411+BC411+BG411+BK411</f>
        <v>0</v>
      </c>
      <c r="BP411" s="54">
        <f t="shared" ref="BP411:BP420" si="888">AF411+AJ411+AN411+AR411+AV411+AZ411+BD411+BH411+BL411</f>
        <v>0</v>
      </c>
      <c r="BQ411" s="83"/>
      <c r="BR411" s="83"/>
      <c r="BS411" s="83"/>
      <c r="BT411" s="83"/>
      <c r="BU411" s="83"/>
      <c r="BV411" s="83"/>
      <c r="BW411" s="83"/>
      <c r="BX411" s="83"/>
      <c r="BY411" s="83"/>
      <c r="BZ411" s="84">
        <v>20000000</v>
      </c>
      <c r="CA411" s="83">
        <v>70000000</v>
      </c>
      <c r="CB411" s="83">
        <v>69601700</v>
      </c>
      <c r="CC411" s="83">
        <v>69601700</v>
      </c>
      <c r="CD411" s="83"/>
      <c r="CE411" s="83"/>
      <c r="CF411" s="83"/>
      <c r="CG411" s="83"/>
      <c r="CH411" s="83"/>
      <c r="CI411" s="83"/>
      <c r="CJ411" s="83"/>
      <c r="CK411" s="83"/>
      <c r="CL411" s="83"/>
      <c r="CM411" s="83"/>
      <c r="CN411" s="83"/>
      <c r="CO411" s="83"/>
      <c r="CP411" s="83"/>
      <c r="CQ411" s="83"/>
      <c r="CR411" s="83"/>
      <c r="CS411" s="83"/>
      <c r="CT411" s="83"/>
      <c r="CU411" s="83"/>
      <c r="CV411" s="83"/>
      <c r="CW411" s="83"/>
      <c r="CX411" s="83"/>
      <c r="CY411" s="83"/>
      <c r="CZ411" s="83"/>
      <c r="DA411" s="83"/>
      <c r="DB411" s="83"/>
      <c r="DC411" s="83"/>
      <c r="DD411" s="83"/>
      <c r="DE411" s="81">
        <f t="shared" ref="DE411:DE420" si="889">BQ411+BU411+BZ411+CE411+CI411+CM411+CQ411+CV411+DA411</f>
        <v>20000000</v>
      </c>
      <c r="DF411" s="95">
        <f t="shared" ref="DF411:DF420" si="890">BR411+BV411+CA411+CF411+CJ411+CN411+CR411+CW411+DB411</f>
        <v>70000000</v>
      </c>
      <c r="DG411" s="95">
        <f t="shared" ref="DG411:DG420" si="891">BS411+BW411+CB411+CG411+CK411+CO411+CS411+CX411+DC411</f>
        <v>69601700</v>
      </c>
      <c r="DH411" s="95">
        <f t="shared" ref="DH411:DH420" si="892">BT411+BX411+CC411+CH411+CL411+CP411+CT411+CY411+DD411</f>
        <v>69601700</v>
      </c>
      <c r="DI411" s="95"/>
      <c r="DJ411" s="84"/>
      <c r="DK411" s="65"/>
      <c r="DL411" s="84"/>
      <c r="DM411" s="84"/>
      <c r="DN411" s="84"/>
      <c r="DO411" s="84"/>
      <c r="DP411" s="84"/>
      <c r="DQ411" s="84"/>
      <c r="DR411" s="84"/>
      <c r="DS411" s="84">
        <v>15000000</v>
      </c>
      <c r="DT411" s="84">
        <v>25000000</v>
      </c>
      <c r="DU411" s="84">
        <v>14747666</v>
      </c>
      <c r="DV411" s="84">
        <v>14747666</v>
      </c>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3"/>
      <c r="EU411" s="83"/>
      <c r="EV411" s="83"/>
      <c r="EW411" s="81">
        <f t="shared" ref="EW411:EX420" si="893">DJ411+DN411+DS411+DX411+EB411+EF411+EJ411+EN411+ES411</f>
        <v>15000000</v>
      </c>
      <c r="EX411" s="86">
        <v>25000000</v>
      </c>
      <c r="EY411" s="86">
        <f t="shared" ref="EY411:EY420" si="894">DL411+DP411+DU411+DZ411+ED411+EH411+EL411+EP411+EU411</f>
        <v>14747666</v>
      </c>
      <c r="EZ411" s="86">
        <f t="shared" ref="EZ411:EZ420" si="895">DM411+DQ411+DV411+EA411+EE411+EI411+EM411+EQ411+EV411</f>
        <v>14747666</v>
      </c>
      <c r="FA411" s="176"/>
      <c r="FB411" s="83"/>
      <c r="FC411" s="84"/>
      <c r="FD411" s="84"/>
      <c r="FE411" s="84"/>
      <c r="FF411" s="140"/>
      <c r="FG411" s="83"/>
      <c r="FH411" s="83"/>
      <c r="FI411" s="83"/>
      <c r="FJ411" s="83"/>
      <c r="FK411" s="83"/>
      <c r="FL411" s="83">
        <v>10000000</v>
      </c>
      <c r="FM411" s="83">
        <v>24850000</v>
      </c>
      <c r="FN411" s="83"/>
      <c r="FO411" s="83"/>
      <c r="FP411" s="83"/>
      <c r="FQ411" s="83"/>
      <c r="FR411" s="83"/>
      <c r="FS411" s="83"/>
      <c r="FT411" s="83"/>
      <c r="FU411" s="83"/>
      <c r="FV411" s="83"/>
      <c r="FW411" s="83"/>
      <c r="FX411" s="83"/>
      <c r="FY411" s="83"/>
      <c r="FZ411" s="83"/>
      <c r="GA411" s="83"/>
      <c r="GB411" s="83"/>
      <c r="GC411" s="83"/>
      <c r="GD411" s="83"/>
      <c r="GE411" s="83"/>
      <c r="GF411" s="83"/>
      <c r="GG411" s="83"/>
      <c r="GH411" s="83"/>
      <c r="GI411" s="83"/>
      <c r="GJ411" s="83"/>
      <c r="GK411" s="83"/>
      <c r="GL411" s="83"/>
      <c r="GM411" s="83"/>
      <c r="GN411" s="83"/>
      <c r="GO411" s="83"/>
      <c r="GP411" s="83"/>
      <c r="GQ411" s="83"/>
      <c r="GR411" s="83"/>
      <c r="GS411" s="83"/>
      <c r="GT411" s="83"/>
      <c r="GU411" s="81">
        <f t="shared" ref="GU411:GU420" si="896">FB411+FG411+FL411+FQ411+FV411+GA411+GF411+GK411+GP411</f>
        <v>10000000</v>
      </c>
      <c r="GV411" s="81">
        <f t="shared" ref="GV411:GV420" si="897">FC411+FH411+FM411+FR411+FW411+GB411+GG411+GL411+GQ411</f>
        <v>24850000</v>
      </c>
      <c r="GW411" s="81">
        <f t="shared" ref="GW411:GW420" si="898">FD411+FI411+FN411+FS411+FX411+GC411+GH411+GM411+GR411</f>
        <v>0</v>
      </c>
      <c r="GX411" s="81">
        <f t="shared" ref="GX411:GX420" si="899">FE411+FJ411+FO411+FT411+FY411+GD411+GI411+GN411+GS411</f>
        <v>0</v>
      </c>
      <c r="GY411" s="673">
        <f t="shared" ref="GY411:GY420" si="900">FF411+FK411+FP411+FU411+FZ411+GE411+GJ411+GO411+GT411</f>
        <v>0</v>
      </c>
      <c r="GZ411" s="67">
        <f t="shared" ref="GZ411:GZ420" si="901">BM411+DE411+EW411+GU411</f>
        <v>45000000</v>
      </c>
    </row>
    <row r="412" spans="1:208" ht="98.25" customHeight="1" x14ac:dyDescent="0.2">
      <c r="A412" s="326"/>
      <c r="B412" s="341"/>
      <c r="C412" s="279"/>
      <c r="D412" s="722"/>
      <c r="E412" s="279"/>
      <c r="F412" s="279"/>
      <c r="G412" s="265">
        <v>281</v>
      </c>
      <c r="H412" s="358" t="s">
        <v>906</v>
      </c>
      <c r="I412" s="275" t="s">
        <v>907</v>
      </c>
      <c r="J412" s="262" t="s">
        <v>905</v>
      </c>
      <c r="K412" s="415">
        <v>17</v>
      </c>
      <c r="L412" s="415" t="s">
        <v>58</v>
      </c>
      <c r="M412" s="259">
        <v>0</v>
      </c>
      <c r="N412" s="259">
        <v>1</v>
      </c>
      <c r="O412" s="259">
        <v>0</v>
      </c>
      <c r="P412" s="560"/>
      <c r="Q412" s="259">
        <v>1</v>
      </c>
      <c r="R412" s="268"/>
      <c r="S412" s="387">
        <v>1</v>
      </c>
      <c r="T412" s="259">
        <v>1</v>
      </c>
      <c r="U412" s="259"/>
      <c r="V412" s="387">
        <v>0.8</v>
      </c>
      <c r="W412" s="259">
        <v>1</v>
      </c>
      <c r="X412" s="415"/>
      <c r="Y412" s="636">
        <v>0</v>
      </c>
      <c r="Z412" s="390">
        <f t="shared" si="884"/>
        <v>0</v>
      </c>
      <c r="AA412" s="264">
        <v>16</v>
      </c>
      <c r="AB412" s="263" t="s">
        <v>376</v>
      </c>
      <c r="AC412" s="56"/>
      <c r="AD412" s="55"/>
      <c r="AE412" s="54"/>
      <c r="AF412" s="54"/>
      <c r="AG412" s="56"/>
      <c r="AH412" s="55"/>
      <c r="AI412" s="55"/>
      <c r="AJ412" s="55"/>
      <c r="AK412" s="57"/>
      <c r="AL412" s="58"/>
      <c r="AM412" s="58"/>
      <c r="AN412" s="58"/>
      <c r="AO412" s="57"/>
      <c r="AP412" s="58"/>
      <c r="AQ412" s="58"/>
      <c r="AR412" s="55"/>
      <c r="AS412" s="56"/>
      <c r="AT412" s="55"/>
      <c r="AU412" s="54"/>
      <c r="AV412" s="54"/>
      <c r="AW412" s="56"/>
      <c r="AX412" s="55"/>
      <c r="AY412" s="55"/>
      <c r="AZ412" s="55"/>
      <c r="BA412" s="56"/>
      <c r="BB412" s="55"/>
      <c r="BC412" s="55"/>
      <c r="BD412" s="55"/>
      <c r="BE412" s="56"/>
      <c r="BF412" s="55"/>
      <c r="BG412" s="54"/>
      <c r="BH412" s="54"/>
      <c r="BI412" s="56"/>
      <c r="BJ412" s="55"/>
      <c r="BK412" s="55"/>
      <c r="BL412" s="55"/>
      <c r="BM412" s="53">
        <f t="shared" si="885"/>
        <v>0</v>
      </c>
      <c r="BN412" s="54">
        <f t="shared" si="886"/>
        <v>0</v>
      </c>
      <c r="BO412" s="54">
        <f t="shared" si="887"/>
        <v>0</v>
      </c>
      <c r="BP412" s="54">
        <f t="shared" si="888"/>
        <v>0</v>
      </c>
      <c r="BQ412" s="83"/>
      <c r="BR412" s="83"/>
      <c r="BS412" s="83"/>
      <c r="BT412" s="83"/>
      <c r="BU412" s="83"/>
      <c r="BV412" s="83">
        <v>25262034</v>
      </c>
      <c r="BW412" s="83">
        <v>0</v>
      </c>
      <c r="BX412" s="83">
        <v>0</v>
      </c>
      <c r="BY412" s="83"/>
      <c r="BZ412" s="84">
        <v>20000000</v>
      </c>
      <c r="CA412" s="83">
        <v>44737966</v>
      </c>
      <c r="CB412" s="83">
        <v>38669334</v>
      </c>
      <c r="CC412" s="83">
        <v>38669334</v>
      </c>
      <c r="CD412" s="83"/>
      <c r="CE412" s="83"/>
      <c r="CF412" s="83"/>
      <c r="CG412" s="83"/>
      <c r="CH412" s="83"/>
      <c r="CI412" s="83"/>
      <c r="CJ412" s="83"/>
      <c r="CK412" s="83"/>
      <c r="CL412" s="83"/>
      <c r="CM412" s="83"/>
      <c r="CN412" s="83"/>
      <c r="CO412" s="83"/>
      <c r="CP412" s="83"/>
      <c r="CQ412" s="83"/>
      <c r="CR412" s="83"/>
      <c r="CS412" s="83"/>
      <c r="CT412" s="83"/>
      <c r="CU412" s="83"/>
      <c r="CV412" s="83"/>
      <c r="CW412" s="83"/>
      <c r="CX412" s="83"/>
      <c r="CY412" s="83"/>
      <c r="CZ412" s="83"/>
      <c r="DA412" s="83"/>
      <c r="DB412" s="83"/>
      <c r="DC412" s="83"/>
      <c r="DD412" s="83"/>
      <c r="DE412" s="81">
        <f t="shared" si="889"/>
        <v>20000000</v>
      </c>
      <c r="DF412" s="95">
        <f t="shared" si="890"/>
        <v>70000000</v>
      </c>
      <c r="DG412" s="95">
        <f t="shared" si="891"/>
        <v>38669334</v>
      </c>
      <c r="DH412" s="95">
        <f t="shared" si="892"/>
        <v>38669334</v>
      </c>
      <c r="DI412" s="95"/>
      <c r="DJ412" s="84"/>
      <c r="DK412" s="65"/>
      <c r="DL412" s="84"/>
      <c r="DM412" s="84"/>
      <c r="DN412" s="84"/>
      <c r="DO412" s="84">
        <v>50000000</v>
      </c>
      <c r="DP412" s="84">
        <v>50000000</v>
      </c>
      <c r="DQ412" s="84">
        <v>21240000</v>
      </c>
      <c r="DR412" s="84"/>
      <c r="DS412" s="84">
        <v>15000000</v>
      </c>
      <c r="DT412" s="84">
        <v>84000000</v>
      </c>
      <c r="DU412" s="84">
        <v>69761667</v>
      </c>
      <c r="DV412" s="84">
        <v>58894667</v>
      </c>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3"/>
      <c r="EU412" s="83"/>
      <c r="EV412" s="83"/>
      <c r="EW412" s="81">
        <f t="shared" si="893"/>
        <v>15000000</v>
      </c>
      <c r="EX412" s="86">
        <v>134000000</v>
      </c>
      <c r="EY412" s="86">
        <f t="shared" si="894"/>
        <v>119761667</v>
      </c>
      <c r="EZ412" s="86">
        <f t="shared" si="895"/>
        <v>80134667</v>
      </c>
      <c r="FA412" s="176"/>
      <c r="FB412" s="83"/>
      <c r="FC412" s="84"/>
      <c r="FD412" s="84"/>
      <c r="FE412" s="84"/>
      <c r="FF412" s="140"/>
      <c r="FG412" s="83"/>
      <c r="FH412" s="83"/>
      <c r="FI412" s="83"/>
      <c r="FJ412" s="83"/>
      <c r="FK412" s="83">
        <v>28760000</v>
      </c>
      <c r="FL412" s="83">
        <v>10000000</v>
      </c>
      <c r="FM412" s="83">
        <v>83500000</v>
      </c>
      <c r="FN412" s="83"/>
      <c r="FO412" s="83"/>
      <c r="FP412" s="83">
        <v>7297000</v>
      </c>
      <c r="FQ412" s="83"/>
      <c r="FR412" s="83"/>
      <c r="FS412" s="83"/>
      <c r="FT412" s="83"/>
      <c r="FU412" s="83"/>
      <c r="FV412" s="83"/>
      <c r="FW412" s="83"/>
      <c r="FX412" s="83"/>
      <c r="FY412" s="83"/>
      <c r="FZ412" s="83"/>
      <c r="GA412" s="83"/>
      <c r="GB412" s="83"/>
      <c r="GC412" s="83"/>
      <c r="GD412" s="83"/>
      <c r="GE412" s="83"/>
      <c r="GF412" s="83"/>
      <c r="GG412" s="83"/>
      <c r="GH412" s="83"/>
      <c r="GI412" s="83"/>
      <c r="GJ412" s="83"/>
      <c r="GK412" s="83"/>
      <c r="GL412" s="83"/>
      <c r="GM412" s="83"/>
      <c r="GN412" s="83"/>
      <c r="GO412" s="83"/>
      <c r="GP412" s="83"/>
      <c r="GQ412" s="83"/>
      <c r="GR412" s="83"/>
      <c r="GS412" s="83"/>
      <c r="GT412" s="83"/>
      <c r="GU412" s="81">
        <f t="shared" si="896"/>
        <v>10000000</v>
      </c>
      <c r="GV412" s="81">
        <f t="shared" si="897"/>
        <v>83500000</v>
      </c>
      <c r="GW412" s="81">
        <f t="shared" si="898"/>
        <v>0</v>
      </c>
      <c r="GX412" s="81">
        <f t="shared" si="899"/>
        <v>0</v>
      </c>
      <c r="GY412" s="673">
        <f t="shared" si="900"/>
        <v>36057000</v>
      </c>
      <c r="GZ412" s="67">
        <f t="shared" si="901"/>
        <v>45000000</v>
      </c>
    </row>
    <row r="413" spans="1:208" s="343" customFormat="1" ht="108.75" customHeight="1" x14ac:dyDescent="0.2">
      <c r="A413" s="341"/>
      <c r="B413" s="341"/>
      <c r="C413" s="306"/>
      <c r="D413" s="428"/>
      <c r="E413" s="306"/>
      <c r="F413" s="306"/>
      <c r="G413" s="265">
        <v>282</v>
      </c>
      <c r="H413" s="358" t="s">
        <v>908</v>
      </c>
      <c r="I413" s="287" t="s">
        <v>909</v>
      </c>
      <c r="J413" s="262" t="s">
        <v>905</v>
      </c>
      <c r="K413" s="415">
        <v>17</v>
      </c>
      <c r="L413" s="415" t="s">
        <v>73</v>
      </c>
      <c r="M413" s="259" t="s">
        <v>53</v>
      </c>
      <c r="N413" s="259">
        <v>8</v>
      </c>
      <c r="O413" s="259">
        <v>2</v>
      </c>
      <c r="P413" s="387">
        <v>2</v>
      </c>
      <c r="Q413" s="259">
        <v>2</v>
      </c>
      <c r="R413" s="268"/>
      <c r="S413" s="387">
        <v>2</v>
      </c>
      <c r="T413" s="259">
        <v>2</v>
      </c>
      <c r="U413" s="259"/>
      <c r="V413" s="387">
        <v>2</v>
      </c>
      <c r="W413" s="259">
        <v>2</v>
      </c>
      <c r="X413" s="415"/>
      <c r="Y413" s="636">
        <v>2</v>
      </c>
      <c r="Z413" s="390">
        <f t="shared" si="884"/>
        <v>7.2162536935372223E-2</v>
      </c>
      <c r="AA413" s="265">
        <v>16</v>
      </c>
      <c r="AB413" s="262" t="s">
        <v>376</v>
      </c>
      <c r="AC413" s="56"/>
      <c r="AD413" s="55"/>
      <c r="AE413" s="54"/>
      <c r="AF413" s="54"/>
      <c r="AG413" s="56"/>
      <c r="AH413" s="55"/>
      <c r="AI413" s="55"/>
      <c r="AJ413" s="55"/>
      <c r="AK413" s="56">
        <v>60000000</v>
      </c>
      <c r="AL413" s="55">
        <v>70000000</v>
      </c>
      <c r="AM413" s="55">
        <v>69900000</v>
      </c>
      <c r="AN413" s="55">
        <v>69900000</v>
      </c>
      <c r="AO413" s="56"/>
      <c r="AP413" s="55"/>
      <c r="AQ413" s="55"/>
      <c r="AR413" s="55"/>
      <c r="AS413" s="56"/>
      <c r="AT413" s="55"/>
      <c r="AU413" s="54"/>
      <c r="AV413" s="54"/>
      <c r="AW413" s="56"/>
      <c r="AX413" s="55"/>
      <c r="AY413" s="55"/>
      <c r="AZ413" s="55"/>
      <c r="BA413" s="56"/>
      <c r="BB413" s="55"/>
      <c r="BC413" s="55"/>
      <c r="BD413" s="55"/>
      <c r="BE413" s="56"/>
      <c r="BF413" s="55"/>
      <c r="BG413" s="54"/>
      <c r="BH413" s="54"/>
      <c r="BI413" s="56"/>
      <c r="BJ413" s="55"/>
      <c r="BK413" s="55"/>
      <c r="BL413" s="55"/>
      <c r="BM413" s="53">
        <f t="shared" si="885"/>
        <v>60000000</v>
      </c>
      <c r="BN413" s="54">
        <f t="shared" si="886"/>
        <v>70000000</v>
      </c>
      <c r="BO413" s="54">
        <f t="shared" si="887"/>
        <v>69900000</v>
      </c>
      <c r="BP413" s="54">
        <f t="shared" si="888"/>
        <v>69900000</v>
      </c>
      <c r="BQ413" s="82"/>
      <c r="BR413" s="82"/>
      <c r="BS413" s="82"/>
      <c r="BT413" s="82"/>
      <c r="BU413" s="82"/>
      <c r="BV413" s="82"/>
      <c r="BW413" s="82"/>
      <c r="BX413" s="82"/>
      <c r="BY413" s="82"/>
      <c r="BZ413" s="65">
        <v>39989033.940345511</v>
      </c>
      <c r="CA413" s="82">
        <v>39000000</v>
      </c>
      <c r="CB413" s="82">
        <v>39000000</v>
      </c>
      <c r="CC413" s="82">
        <v>39000000</v>
      </c>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1">
        <f t="shared" si="889"/>
        <v>39989033.940345511</v>
      </c>
      <c r="DF413" s="95">
        <f t="shared" si="890"/>
        <v>39000000</v>
      </c>
      <c r="DG413" s="95">
        <f t="shared" si="891"/>
        <v>39000000</v>
      </c>
      <c r="DH413" s="95">
        <f t="shared" si="892"/>
        <v>39000000</v>
      </c>
      <c r="DI413" s="95"/>
      <c r="DJ413" s="65"/>
      <c r="DK413" s="65"/>
      <c r="DL413" s="65"/>
      <c r="DM413" s="65"/>
      <c r="DN413" s="65"/>
      <c r="DO413" s="84">
        <v>30000000</v>
      </c>
      <c r="DP413" s="65">
        <v>30000000</v>
      </c>
      <c r="DQ413" s="65">
        <v>30000000</v>
      </c>
      <c r="DR413" s="65"/>
      <c r="DS413" s="65">
        <v>15000000</v>
      </c>
      <c r="DT413" s="84">
        <v>80000000</v>
      </c>
      <c r="DU413" s="84">
        <v>80000000</v>
      </c>
      <c r="DV413" s="84">
        <v>80000000</v>
      </c>
      <c r="DW413" s="84"/>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82"/>
      <c r="EU413" s="82"/>
      <c r="EV413" s="82"/>
      <c r="EW413" s="81">
        <f t="shared" si="893"/>
        <v>15000000</v>
      </c>
      <c r="EX413" s="86">
        <f t="shared" si="893"/>
        <v>110000000</v>
      </c>
      <c r="EY413" s="86">
        <f t="shared" si="894"/>
        <v>110000000</v>
      </c>
      <c r="EZ413" s="86">
        <f t="shared" si="895"/>
        <v>110000000</v>
      </c>
      <c r="FA413" s="176"/>
      <c r="FB413" s="83"/>
      <c r="FC413" s="84"/>
      <c r="FD413" s="84"/>
      <c r="FE413" s="84"/>
      <c r="FF413" s="140"/>
      <c r="FG413" s="83"/>
      <c r="FH413" s="83"/>
      <c r="FI413" s="83"/>
      <c r="FJ413" s="83"/>
      <c r="FK413" s="83"/>
      <c r="FL413" s="82">
        <v>10000000</v>
      </c>
      <c r="FM413" s="82">
        <f>79103800+396200</f>
        <v>79500000</v>
      </c>
      <c r="FN413" s="82">
        <v>79103800</v>
      </c>
      <c r="FO413" s="82">
        <v>79103800</v>
      </c>
      <c r="FP413" s="82"/>
      <c r="FQ413" s="82"/>
      <c r="FR413" s="82"/>
      <c r="FS413" s="82"/>
      <c r="FT413" s="82"/>
      <c r="FU413" s="82"/>
      <c r="FV413" s="83"/>
      <c r="FW413" s="83"/>
      <c r="FX413" s="83"/>
      <c r="FY413" s="83"/>
      <c r="FZ413" s="83"/>
      <c r="GA413" s="83"/>
      <c r="GB413" s="83"/>
      <c r="GC413" s="83"/>
      <c r="GD413" s="83"/>
      <c r="GE413" s="83"/>
      <c r="GF413" s="83"/>
      <c r="GG413" s="83"/>
      <c r="GH413" s="83"/>
      <c r="GI413" s="83"/>
      <c r="GJ413" s="83"/>
      <c r="GK413" s="83"/>
      <c r="GL413" s="83"/>
      <c r="GM413" s="83"/>
      <c r="GN413" s="83"/>
      <c r="GO413" s="83"/>
      <c r="GP413" s="83"/>
      <c r="GQ413" s="83"/>
      <c r="GR413" s="83"/>
      <c r="GS413" s="83"/>
      <c r="GT413" s="83"/>
      <c r="GU413" s="81">
        <f t="shared" si="896"/>
        <v>10000000</v>
      </c>
      <c r="GV413" s="81">
        <f t="shared" si="897"/>
        <v>79500000</v>
      </c>
      <c r="GW413" s="81">
        <f t="shared" si="898"/>
        <v>79103800</v>
      </c>
      <c r="GX413" s="81">
        <f t="shared" si="899"/>
        <v>79103800</v>
      </c>
      <c r="GY413" s="673">
        <f t="shared" si="900"/>
        <v>0</v>
      </c>
      <c r="GZ413" s="67">
        <f t="shared" si="901"/>
        <v>124989033.94034551</v>
      </c>
    </row>
    <row r="414" spans="1:208" s="343" customFormat="1" ht="126.75" customHeight="1" x14ac:dyDescent="0.2">
      <c r="A414" s="341"/>
      <c r="B414" s="341"/>
      <c r="C414" s="306"/>
      <c r="D414" s="428"/>
      <c r="E414" s="306"/>
      <c r="F414" s="306"/>
      <c r="G414" s="265">
        <v>283</v>
      </c>
      <c r="H414" s="358" t="s">
        <v>910</v>
      </c>
      <c r="I414" s="287" t="s">
        <v>911</v>
      </c>
      <c r="J414" s="262" t="s">
        <v>905</v>
      </c>
      <c r="K414" s="415">
        <v>17</v>
      </c>
      <c r="L414" s="415" t="s">
        <v>58</v>
      </c>
      <c r="M414" s="259" t="s">
        <v>53</v>
      </c>
      <c r="N414" s="259">
        <v>1</v>
      </c>
      <c r="O414" s="259">
        <v>1</v>
      </c>
      <c r="P414" s="569">
        <v>0.95</v>
      </c>
      <c r="Q414" s="259">
        <v>1</v>
      </c>
      <c r="R414" s="268"/>
      <c r="S414" s="570">
        <v>0.95</v>
      </c>
      <c r="T414" s="259">
        <v>1</v>
      </c>
      <c r="U414" s="259"/>
      <c r="V414" s="387">
        <v>1</v>
      </c>
      <c r="W414" s="259">
        <v>1</v>
      </c>
      <c r="X414" s="415"/>
      <c r="Y414" s="636">
        <v>0.5</v>
      </c>
      <c r="Z414" s="390">
        <f t="shared" si="884"/>
        <v>0.10523703303075116</v>
      </c>
      <c r="AA414" s="265">
        <v>10</v>
      </c>
      <c r="AB414" s="262" t="s">
        <v>389</v>
      </c>
      <c r="AC414" s="56"/>
      <c r="AD414" s="55"/>
      <c r="AE414" s="54"/>
      <c r="AF414" s="54"/>
      <c r="AG414" s="56"/>
      <c r="AH414" s="55"/>
      <c r="AI414" s="55"/>
      <c r="AJ414" s="55"/>
      <c r="AK414" s="56">
        <v>87500000</v>
      </c>
      <c r="AL414" s="55">
        <v>128268225</v>
      </c>
      <c r="AM414" s="55">
        <v>97220070</v>
      </c>
      <c r="AN414" s="55">
        <v>97220070</v>
      </c>
      <c r="AO414" s="56"/>
      <c r="AP414" s="55"/>
      <c r="AQ414" s="55"/>
      <c r="AR414" s="55"/>
      <c r="AS414" s="56"/>
      <c r="AT414" s="55"/>
      <c r="AU414" s="54"/>
      <c r="AV414" s="54"/>
      <c r="AW414" s="56"/>
      <c r="AX414" s="55"/>
      <c r="AY414" s="55"/>
      <c r="AZ414" s="55"/>
      <c r="BA414" s="56"/>
      <c r="BB414" s="55"/>
      <c r="BC414" s="55"/>
      <c r="BD414" s="55"/>
      <c r="BE414" s="56"/>
      <c r="BF414" s="55"/>
      <c r="BG414" s="54"/>
      <c r="BH414" s="54"/>
      <c r="BI414" s="56"/>
      <c r="BJ414" s="55"/>
      <c r="BK414" s="55"/>
      <c r="BL414" s="55"/>
      <c r="BM414" s="53">
        <f t="shared" si="885"/>
        <v>87500000</v>
      </c>
      <c r="BN414" s="54">
        <f t="shared" si="886"/>
        <v>128268225</v>
      </c>
      <c r="BO414" s="54">
        <f t="shared" si="887"/>
        <v>97220070</v>
      </c>
      <c r="BP414" s="54">
        <f t="shared" si="888"/>
        <v>97220070</v>
      </c>
      <c r="BQ414" s="82"/>
      <c r="BR414" s="82"/>
      <c r="BS414" s="82"/>
      <c r="BT414" s="82"/>
      <c r="BU414" s="82"/>
      <c r="BV414" s="82"/>
      <c r="BW414" s="82"/>
      <c r="BX414" s="82"/>
      <c r="BY414" s="82"/>
      <c r="BZ414" s="65">
        <v>48317341.163003899</v>
      </c>
      <c r="CA414" s="82">
        <v>48317341</v>
      </c>
      <c r="CB414" s="82">
        <v>37501531</v>
      </c>
      <c r="CC414" s="82">
        <v>37501531</v>
      </c>
      <c r="CD414" s="82"/>
      <c r="CE414" s="82"/>
      <c r="CF414" s="82"/>
      <c r="CG414" s="82"/>
      <c r="CH414" s="82"/>
      <c r="CI414" s="82"/>
      <c r="CJ414" s="82"/>
      <c r="CK414" s="82"/>
      <c r="CL414" s="82"/>
      <c r="CM414" s="82"/>
      <c r="CN414" s="82"/>
      <c r="CO414" s="82"/>
      <c r="CP414" s="82"/>
      <c r="CQ414" s="82"/>
      <c r="CR414" s="82"/>
      <c r="CS414" s="82"/>
      <c r="CT414" s="82"/>
      <c r="CU414" s="82"/>
      <c r="CV414" s="82"/>
      <c r="CW414" s="82"/>
      <c r="CX414" s="82"/>
      <c r="CY414" s="82"/>
      <c r="CZ414" s="82"/>
      <c r="DA414" s="82"/>
      <c r="DB414" s="82"/>
      <c r="DC414" s="82"/>
      <c r="DD414" s="82"/>
      <c r="DE414" s="81">
        <f t="shared" si="889"/>
        <v>48317341.163003899</v>
      </c>
      <c r="DF414" s="95">
        <f t="shared" si="890"/>
        <v>48317341</v>
      </c>
      <c r="DG414" s="95">
        <f t="shared" si="891"/>
        <v>37501531</v>
      </c>
      <c r="DH414" s="95">
        <f t="shared" si="892"/>
        <v>37501531</v>
      </c>
      <c r="DI414" s="95"/>
      <c r="DJ414" s="65"/>
      <c r="DK414" s="65"/>
      <c r="DL414" s="65"/>
      <c r="DM414" s="65"/>
      <c r="DN414" s="65"/>
      <c r="DO414" s="65">
        <v>50000000</v>
      </c>
      <c r="DP414" s="65">
        <v>48593500</v>
      </c>
      <c r="DQ414" s="65">
        <v>48593500</v>
      </c>
      <c r="DR414" s="65"/>
      <c r="DS414" s="65">
        <v>20000000</v>
      </c>
      <c r="DT414" s="65">
        <v>35000000</v>
      </c>
      <c r="DU414" s="65">
        <v>12563204</v>
      </c>
      <c r="DV414" s="65">
        <v>12563204</v>
      </c>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82"/>
      <c r="EU414" s="82"/>
      <c r="EV414" s="82"/>
      <c r="EW414" s="81">
        <f t="shared" si="893"/>
        <v>20000000</v>
      </c>
      <c r="EX414" s="86">
        <v>85000000</v>
      </c>
      <c r="EY414" s="86">
        <f t="shared" si="894"/>
        <v>61156704</v>
      </c>
      <c r="EZ414" s="86">
        <f t="shared" si="895"/>
        <v>61156704</v>
      </c>
      <c r="FA414" s="176"/>
      <c r="FB414" s="83"/>
      <c r="FC414" s="84"/>
      <c r="FD414" s="84"/>
      <c r="FE414" s="84"/>
      <c r="FF414" s="140"/>
      <c r="FG414" s="83"/>
      <c r="FH414" s="83"/>
      <c r="FI414" s="83"/>
      <c r="FJ414" s="83"/>
      <c r="FK414" s="83"/>
      <c r="FL414" s="82">
        <v>15000000</v>
      </c>
      <c r="FM414" s="82">
        <v>39300000</v>
      </c>
      <c r="FN414" s="82">
        <v>25757500</v>
      </c>
      <c r="FO414" s="82">
        <v>21835000</v>
      </c>
      <c r="FP414" s="82"/>
      <c r="FQ414" s="82"/>
      <c r="FR414" s="82"/>
      <c r="FS414" s="82"/>
      <c r="FT414" s="82"/>
      <c r="FU414" s="82"/>
      <c r="FV414" s="83"/>
      <c r="FW414" s="83"/>
      <c r="FX414" s="83"/>
      <c r="FY414" s="83"/>
      <c r="FZ414" s="83"/>
      <c r="GA414" s="83"/>
      <c r="GB414" s="83"/>
      <c r="GC414" s="83"/>
      <c r="GD414" s="83"/>
      <c r="GE414" s="83"/>
      <c r="GF414" s="83"/>
      <c r="GG414" s="83"/>
      <c r="GH414" s="83"/>
      <c r="GI414" s="83"/>
      <c r="GJ414" s="83"/>
      <c r="GK414" s="83"/>
      <c r="GL414" s="83"/>
      <c r="GM414" s="83"/>
      <c r="GN414" s="83"/>
      <c r="GO414" s="83"/>
      <c r="GP414" s="83"/>
      <c r="GQ414" s="83"/>
      <c r="GR414" s="83"/>
      <c r="GS414" s="83"/>
      <c r="GT414" s="83"/>
      <c r="GU414" s="81">
        <f t="shared" si="896"/>
        <v>15000000</v>
      </c>
      <c r="GV414" s="81">
        <f t="shared" si="897"/>
        <v>39300000</v>
      </c>
      <c r="GW414" s="81">
        <f t="shared" si="898"/>
        <v>25757500</v>
      </c>
      <c r="GX414" s="81">
        <f t="shared" si="899"/>
        <v>21835000</v>
      </c>
      <c r="GY414" s="673">
        <f t="shared" si="900"/>
        <v>0</v>
      </c>
      <c r="GZ414" s="67">
        <f t="shared" si="901"/>
        <v>170817341.16300389</v>
      </c>
    </row>
    <row r="415" spans="1:208" s="343" customFormat="1" ht="102" customHeight="1" x14ac:dyDescent="0.2">
      <c r="A415" s="341"/>
      <c r="B415" s="341"/>
      <c r="C415" s="306"/>
      <c r="D415" s="428"/>
      <c r="E415" s="306"/>
      <c r="F415" s="306"/>
      <c r="G415" s="265">
        <v>284</v>
      </c>
      <c r="H415" s="358" t="s">
        <v>912</v>
      </c>
      <c r="I415" s="287" t="s">
        <v>913</v>
      </c>
      <c r="J415" s="262" t="s">
        <v>905</v>
      </c>
      <c r="K415" s="415">
        <v>17</v>
      </c>
      <c r="L415" s="415" t="s">
        <v>58</v>
      </c>
      <c r="M415" s="259">
        <v>1</v>
      </c>
      <c r="N415" s="259">
        <v>1</v>
      </c>
      <c r="O415" s="619">
        <v>1</v>
      </c>
      <c r="P415" s="387">
        <v>1</v>
      </c>
      <c r="Q415" s="259">
        <v>1</v>
      </c>
      <c r="R415" s="268"/>
      <c r="S415" s="387">
        <v>7.0000000000000007E-2</v>
      </c>
      <c r="T415" s="259">
        <v>1</v>
      </c>
      <c r="U415" s="259"/>
      <c r="V415" s="387">
        <v>1</v>
      </c>
      <c r="W415" s="259">
        <v>1</v>
      </c>
      <c r="X415" s="415"/>
      <c r="Y415" s="636">
        <v>0</v>
      </c>
      <c r="Z415" s="390">
        <f t="shared" si="884"/>
        <v>0.1232429077732614</v>
      </c>
      <c r="AA415" s="265">
        <v>16</v>
      </c>
      <c r="AB415" s="262" t="s">
        <v>376</v>
      </c>
      <c r="AC415" s="56"/>
      <c r="AD415" s="55"/>
      <c r="AE415" s="54"/>
      <c r="AF415" s="54"/>
      <c r="AG415" s="56"/>
      <c r="AH415" s="55"/>
      <c r="AI415" s="55"/>
      <c r="AJ415" s="55"/>
      <c r="AK415" s="56">
        <v>102471099</v>
      </c>
      <c r="AL415" s="55">
        <v>92471099</v>
      </c>
      <c r="AM415" s="55">
        <v>91710005</v>
      </c>
      <c r="AN415" s="55">
        <v>42471099</v>
      </c>
      <c r="AO415" s="56"/>
      <c r="AP415" s="55"/>
      <c r="AQ415" s="55"/>
      <c r="AR415" s="55"/>
      <c r="AS415" s="56"/>
      <c r="AT415" s="55"/>
      <c r="AU415" s="54"/>
      <c r="AV415" s="54"/>
      <c r="AW415" s="56"/>
      <c r="AX415" s="55"/>
      <c r="AY415" s="55"/>
      <c r="AZ415" s="55"/>
      <c r="BA415" s="56"/>
      <c r="BB415" s="55"/>
      <c r="BC415" s="55"/>
      <c r="BD415" s="55"/>
      <c r="BE415" s="56"/>
      <c r="BF415" s="55"/>
      <c r="BG415" s="54"/>
      <c r="BH415" s="54"/>
      <c r="BI415" s="56"/>
      <c r="BJ415" s="55"/>
      <c r="BK415" s="55"/>
      <c r="BL415" s="55"/>
      <c r="BM415" s="53">
        <f t="shared" si="885"/>
        <v>102471099</v>
      </c>
      <c r="BN415" s="54">
        <f t="shared" si="886"/>
        <v>92471099</v>
      </c>
      <c r="BO415" s="54">
        <f t="shared" si="887"/>
        <v>91710005</v>
      </c>
      <c r="BP415" s="54">
        <f t="shared" si="888"/>
        <v>42471099</v>
      </c>
      <c r="BQ415" s="82"/>
      <c r="BR415" s="82"/>
      <c r="BS415" s="82"/>
      <c r="BT415" s="82"/>
      <c r="BU415" s="82"/>
      <c r="BV415" s="82"/>
      <c r="BW415" s="82"/>
      <c r="BX415" s="82"/>
      <c r="BY415" s="82"/>
      <c r="BZ415" s="65">
        <v>68295337.59692508</v>
      </c>
      <c r="CA415" s="82">
        <v>70162427</v>
      </c>
      <c r="CB415" s="82">
        <v>69729945</v>
      </c>
      <c r="CC415" s="82">
        <v>5254945</v>
      </c>
      <c r="CD415" s="82"/>
      <c r="CE415" s="82"/>
      <c r="CF415" s="82"/>
      <c r="CG415" s="82"/>
      <c r="CH415" s="82"/>
      <c r="CI415" s="82"/>
      <c r="CJ415" s="82"/>
      <c r="CK415" s="82"/>
      <c r="CL415" s="82"/>
      <c r="CM415" s="82"/>
      <c r="CN415" s="82"/>
      <c r="CO415" s="82"/>
      <c r="CP415" s="82"/>
      <c r="CQ415" s="82"/>
      <c r="CR415" s="82"/>
      <c r="CS415" s="82"/>
      <c r="CT415" s="82"/>
      <c r="CU415" s="82"/>
      <c r="CV415" s="82"/>
      <c r="CW415" s="82"/>
      <c r="CX415" s="82"/>
      <c r="CY415" s="82"/>
      <c r="CZ415" s="82"/>
      <c r="DA415" s="82"/>
      <c r="DB415" s="82"/>
      <c r="DC415" s="82"/>
      <c r="DD415" s="82"/>
      <c r="DE415" s="81">
        <f t="shared" si="889"/>
        <v>68295337.59692508</v>
      </c>
      <c r="DF415" s="95">
        <f t="shared" si="890"/>
        <v>70162427</v>
      </c>
      <c r="DG415" s="95">
        <f t="shared" si="891"/>
        <v>69729945</v>
      </c>
      <c r="DH415" s="95">
        <f t="shared" si="892"/>
        <v>5254945</v>
      </c>
      <c r="DI415" s="95"/>
      <c r="DJ415" s="65"/>
      <c r="DK415" s="65"/>
      <c r="DL415" s="65"/>
      <c r="DM415" s="65"/>
      <c r="DN415" s="65"/>
      <c r="DO415" s="65">
        <v>170000000</v>
      </c>
      <c r="DP415" s="65">
        <v>160749831</v>
      </c>
      <c r="DQ415" s="65">
        <v>5465143</v>
      </c>
      <c r="DR415" s="65"/>
      <c r="DS415" s="65">
        <v>20000000</v>
      </c>
      <c r="DT415" s="65">
        <v>123000000</v>
      </c>
      <c r="DU415" s="65">
        <v>116463516</v>
      </c>
      <c r="DV415" s="65">
        <v>0</v>
      </c>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82"/>
      <c r="EU415" s="82"/>
      <c r="EV415" s="82"/>
      <c r="EW415" s="81">
        <f t="shared" si="893"/>
        <v>20000000</v>
      </c>
      <c r="EX415" s="86">
        <f t="shared" si="893"/>
        <v>293000000</v>
      </c>
      <c r="EY415" s="86">
        <f t="shared" si="894"/>
        <v>277213347</v>
      </c>
      <c r="EZ415" s="86">
        <f t="shared" si="895"/>
        <v>5465143</v>
      </c>
      <c r="FA415" s="176"/>
      <c r="FB415" s="83"/>
      <c r="FC415" s="84"/>
      <c r="FD415" s="84"/>
      <c r="FE415" s="84"/>
      <c r="FF415" s="140"/>
      <c r="FG415" s="83"/>
      <c r="FH415" s="83">
        <v>320000000</v>
      </c>
      <c r="FI415" s="83"/>
      <c r="FJ415" s="83"/>
      <c r="FK415" s="83">
        <v>155284688</v>
      </c>
      <c r="FL415" s="82">
        <v>15000000</v>
      </c>
      <c r="FM415" s="82">
        <v>102500000</v>
      </c>
      <c r="FN415" s="82"/>
      <c r="FO415" s="82"/>
      <c r="FP415" s="82">
        <v>116463516</v>
      </c>
      <c r="FQ415" s="82"/>
      <c r="FR415" s="82"/>
      <c r="FS415" s="82"/>
      <c r="FT415" s="82"/>
      <c r="FU415" s="82"/>
      <c r="FV415" s="83"/>
      <c r="FW415" s="83"/>
      <c r="FX415" s="83"/>
      <c r="FY415" s="83"/>
      <c r="FZ415" s="83"/>
      <c r="GA415" s="83"/>
      <c r="GB415" s="83"/>
      <c r="GC415" s="83"/>
      <c r="GD415" s="83"/>
      <c r="GE415" s="83"/>
      <c r="GF415" s="83"/>
      <c r="GG415" s="83"/>
      <c r="GH415" s="83"/>
      <c r="GI415" s="83"/>
      <c r="GJ415" s="83"/>
      <c r="GK415" s="83"/>
      <c r="GL415" s="83"/>
      <c r="GM415" s="83"/>
      <c r="GN415" s="83"/>
      <c r="GO415" s="83"/>
      <c r="GP415" s="83"/>
      <c r="GQ415" s="83"/>
      <c r="GR415" s="83"/>
      <c r="GS415" s="83"/>
      <c r="GT415" s="83"/>
      <c r="GU415" s="81">
        <f t="shared" si="896"/>
        <v>15000000</v>
      </c>
      <c r="GV415" s="81">
        <f t="shared" si="897"/>
        <v>422500000</v>
      </c>
      <c r="GW415" s="81">
        <f t="shared" si="898"/>
        <v>0</v>
      </c>
      <c r="GX415" s="81">
        <f t="shared" si="899"/>
        <v>0</v>
      </c>
      <c r="GY415" s="673">
        <f t="shared" si="900"/>
        <v>271748204</v>
      </c>
      <c r="GZ415" s="67">
        <f t="shared" si="901"/>
        <v>205766436.59692508</v>
      </c>
    </row>
    <row r="416" spans="1:208" s="343" customFormat="1" ht="165.75" customHeight="1" x14ac:dyDescent="0.2">
      <c r="A416" s="341"/>
      <c r="B416" s="341"/>
      <c r="C416" s="306"/>
      <c r="D416" s="428"/>
      <c r="E416" s="306"/>
      <c r="F416" s="306"/>
      <c r="G416" s="265">
        <v>285</v>
      </c>
      <c r="H416" s="358" t="s">
        <v>914</v>
      </c>
      <c r="I416" s="287" t="s">
        <v>915</v>
      </c>
      <c r="J416" s="262" t="s">
        <v>905</v>
      </c>
      <c r="K416" s="415">
        <v>17</v>
      </c>
      <c r="L416" s="415" t="s">
        <v>58</v>
      </c>
      <c r="M416" s="259">
        <v>1</v>
      </c>
      <c r="N416" s="259">
        <v>1</v>
      </c>
      <c r="O416" s="415">
        <v>1</v>
      </c>
      <c r="P416" s="394">
        <v>1</v>
      </c>
      <c r="Q416" s="259">
        <v>1</v>
      </c>
      <c r="R416" s="268"/>
      <c r="S416" s="356">
        <v>1</v>
      </c>
      <c r="T416" s="259">
        <v>1</v>
      </c>
      <c r="U416" s="259"/>
      <c r="V416" s="387">
        <v>1</v>
      </c>
      <c r="W416" s="259">
        <v>1</v>
      </c>
      <c r="X416" s="415"/>
      <c r="Y416" s="636">
        <v>0.3</v>
      </c>
      <c r="Z416" s="390">
        <f t="shared" si="884"/>
        <v>0.14509198844827881</v>
      </c>
      <c r="AA416" s="265">
        <v>17</v>
      </c>
      <c r="AB416" s="262" t="s">
        <v>837</v>
      </c>
      <c r="AC416" s="56"/>
      <c r="AD416" s="55"/>
      <c r="AE416" s="54"/>
      <c r="AF416" s="54"/>
      <c r="AG416" s="56"/>
      <c r="AH416" s="55"/>
      <c r="AI416" s="55"/>
      <c r="AJ416" s="55"/>
      <c r="AK416" s="56">
        <v>120637656</v>
      </c>
      <c r="AL416" s="54">
        <v>120637656</v>
      </c>
      <c r="AM416" s="55">
        <v>118063105</v>
      </c>
      <c r="AN416" s="55">
        <v>118063105</v>
      </c>
      <c r="AO416" s="56"/>
      <c r="AP416" s="55"/>
      <c r="AQ416" s="55"/>
      <c r="AR416" s="55"/>
      <c r="AS416" s="56"/>
      <c r="AT416" s="55"/>
      <c r="AU416" s="54"/>
      <c r="AV416" s="54"/>
      <c r="AW416" s="56"/>
      <c r="AX416" s="55"/>
      <c r="AY416" s="55"/>
      <c r="AZ416" s="55"/>
      <c r="BA416" s="56"/>
      <c r="BB416" s="55"/>
      <c r="BC416" s="55"/>
      <c r="BD416" s="55"/>
      <c r="BE416" s="56"/>
      <c r="BF416" s="55"/>
      <c r="BG416" s="54"/>
      <c r="BH416" s="54"/>
      <c r="BI416" s="56"/>
      <c r="BJ416" s="55"/>
      <c r="BK416" s="55"/>
      <c r="BL416" s="55"/>
      <c r="BM416" s="53">
        <f t="shared" si="885"/>
        <v>120637656</v>
      </c>
      <c r="BN416" s="54">
        <f t="shared" si="886"/>
        <v>120637656</v>
      </c>
      <c r="BO416" s="54">
        <f t="shared" si="887"/>
        <v>118063105</v>
      </c>
      <c r="BP416" s="54">
        <f t="shared" si="888"/>
        <v>118063105</v>
      </c>
      <c r="BQ416" s="82"/>
      <c r="BR416" s="82"/>
      <c r="BS416" s="82"/>
      <c r="BT416" s="82"/>
      <c r="BU416" s="82"/>
      <c r="BV416" s="82"/>
      <c r="BW416" s="82"/>
      <c r="BX416" s="82"/>
      <c r="BY416" s="82"/>
      <c r="BZ416" s="65">
        <v>60403055.337795399</v>
      </c>
      <c r="CA416" s="82">
        <v>59525000</v>
      </c>
      <c r="CB416" s="82">
        <v>59525000</v>
      </c>
      <c r="CC416" s="82">
        <v>59525000</v>
      </c>
      <c r="CD416" s="82"/>
      <c r="CE416" s="82"/>
      <c r="CF416" s="82"/>
      <c r="CG416" s="82"/>
      <c r="CH416" s="82"/>
      <c r="CI416" s="82"/>
      <c r="CJ416" s="82"/>
      <c r="CK416" s="82"/>
      <c r="CL416" s="82"/>
      <c r="CM416" s="82"/>
      <c r="CN416" s="82"/>
      <c r="CO416" s="82"/>
      <c r="CP416" s="82"/>
      <c r="CQ416" s="82"/>
      <c r="CR416" s="82"/>
      <c r="CS416" s="82"/>
      <c r="CT416" s="82"/>
      <c r="CU416" s="82"/>
      <c r="CV416" s="82"/>
      <c r="CW416" s="82"/>
      <c r="CX416" s="82"/>
      <c r="CY416" s="82"/>
      <c r="CZ416" s="82"/>
      <c r="DA416" s="82"/>
      <c r="DB416" s="82"/>
      <c r="DC416" s="82"/>
      <c r="DD416" s="82"/>
      <c r="DE416" s="81">
        <f t="shared" si="889"/>
        <v>60403055.337795399</v>
      </c>
      <c r="DF416" s="95">
        <f t="shared" si="890"/>
        <v>59525000</v>
      </c>
      <c r="DG416" s="95">
        <f t="shared" si="891"/>
        <v>59525000</v>
      </c>
      <c r="DH416" s="95">
        <f t="shared" si="892"/>
        <v>59525000</v>
      </c>
      <c r="DI416" s="95"/>
      <c r="DJ416" s="65"/>
      <c r="DK416" s="65"/>
      <c r="DL416" s="65"/>
      <c r="DM416" s="65"/>
      <c r="DN416" s="65"/>
      <c r="DO416" s="65">
        <v>140000000</v>
      </c>
      <c r="DP416" s="65">
        <v>139463333</v>
      </c>
      <c r="DQ416" s="65">
        <v>139463333</v>
      </c>
      <c r="DR416" s="65"/>
      <c r="DS416" s="65">
        <v>20000000</v>
      </c>
      <c r="DT416" s="65">
        <v>115000000</v>
      </c>
      <c r="DU416" s="65">
        <v>113778799</v>
      </c>
      <c r="DV416" s="65">
        <v>113778799</v>
      </c>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82"/>
      <c r="EU416" s="82"/>
      <c r="EV416" s="82"/>
      <c r="EW416" s="81">
        <f t="shared" si="893"/>
        <v>20000000</v>
      </c>
      <c r="EX416" s="86">
        <f t="shared" si="893"/>
        <v>255000000</v>
      </c>
      <c r="EY416" s="86">
        <f t="shared" si="894"/>
        <v>253242132</v>
      </c>
      <c r="EZ416" s="86">
        <f t="shared" si="895"/>
        <v>253242132</v>
      </c>
      <c r="FA416" s="176"/>
      <c r="FB416" s="83"/>
      <c r="FC416" s="84"/>
      <c r="FD416" s="84"/>
      <c r="FE416" s="84"/>
      <c r="FF416" s="140"/>
      <c r="FG416" s="83"/>
      <c r="FH416" s="83">
        <v>80000000</v>
      </c>
      <c r="FI416" s="83"/>
      <c r="FJ416" s="83"/>
      <c r="FK416" s="83"/>
      <c r="FL416" s="82">
        <v>15000000</v>
      </c>
      <c r="FM416" s="82">
        <f>78604667+10995333</f>
        <v>89600000</v>
      </c>
      <c r="FN416" s="82">
        <v>73568267</v>
      </c>
      <c r="FO416" s="82">
        <v>71217667</v>
      </c>
      <c r="FP416" s="82"/>
      <c r="FQ416" s="82"/>
      <c r="FR416" s="82"/>
      <c r="FS416" s="82"/>
      <c r="FT416" s="82"/>
      <c r="FU416" s="82"/>
      <c r="FV416" s="83"/>
      <c r="FW416" s="83"/>
      <c r="FX416" s="83"/>
      <c r="FY416" s="83"/>
      <c r="FZ416" s="83"/>
      <c r="GA416" s="83"/>
      <c r="GB416" s="83"/>
      <c r="GC416" s="83"/>
      <c r="GD416" s="83"/>
      <c r="GE416" s="83"/>
      <c r="GF416" s="83"/>
      <c r="GG416" s="83"/>
      <c r="GH416" s="83"/>
      <c r="GI416" s="83"/>
      <c r="GJ416" s="83"/>
      <c r="GK416" s="83"/>
      <c r="GL416" s="83"/>
      <c r="GM416" s="83"/>
      <c r="GN416" s="83"/>
      <c r="GO416" s="83"/>
      <c r="GP416" s="83"/>
      <c r="GQ416" s="83"/>
      <c r="GR416" s="83"/>
      <c r="GS416" s="83"/>
      <c r="GT416" s="83"/>
      <c r="GU416" s="81">
        <f t="shared" si="896"/>
        <v>15000000</v>
      </c>
      <c r="GV416" s="81">
        <f t="shared" si="897"/>
        <v>169600000</v>
      </c>
      <c r="GW416" s="81">
        <f t="shared" si="898"/>
        <v>73568267</v>
      </c>
      <c r="GX416" s="81">
        <f t="shared" si="899"/>
        <v>71217667</v>
      </c>
      <c r="GY416" s="673">
        <f t="shared" si="900"/>
        <v>0</v>
      </c>
      <c r="GZ416" s="67">
        <f t="shared" si="901"/>
        <v>216040711.33779541</v>
      </c>
    </row>
    <row r="417" spans="1:208" s="711" customFormat="1" ht="75" customHeight="1" x14ac:dyDescent="0.2">
      <c r="A417" s="703"/>
      <c r="B417" s="703"/>
      <c r="C417" s="822"/>
      <c r="D417" s="685"/>
      <c r="E417" s="822"/>
      <c r="F417" s="822"/>
      <c r="G417" s="682">
        <v>286</v>
      </c>
      <c r="H417" s="939" t="s">
        <v>916</v>
      </c>
      <c r="I417" s="821" t="s">
        <v>917</v>
      </c>
      <c r="J417" s="813" t="s">
        <v>905</v>
      </c>
      <c r="K417" s="892">
        <v>17</v>
      </c>
      <c r="L417" s="892" t="s">
        <v>73</v>
      </c>
      <c r="M417" s="621">
        <v>1</v>
      </c>
      <c r="N417" s="621">
        <v>1</v>
      </c>
      <c r="O417" s="621">
        <v>0</v>
      </c>
      <c r="P417" s="893"/>
      <c r="Q417" s="621">
        <v>1</v>
      </c>
      <c r="R417" s="814"/>
      <c r="S417" s="810">
        <v>0.02</v>
      </c>
      <c r="T417" s="621">
        <v>0</v>
      </c>
      <c r="U417" s="714">
        <f>1-0.02</f>
        <v>0.98</v>
      </c>
      <c r="V417" s="893">
        <v>0.98</v>
      </c>
      <c r="W417" s="621">
        <v>0</v>
      </c>
      <c r="X417" s="892"/>
      <c r="Y417" s="639"/>
      <c r="Z417" s="852">
        <f t="shared" si="884"/>
        <v>0</v>
      </c>
      <c r="AA417" s="682">
        <v>16</v>
      </c>
      <c r="AB417" s="813" t="s">
        <v>376</v>
      </c>
      <c r="AC417" s="830"/>
      <c r="AD417" s="831"/>
      <c r="AE417" s="818"/>
      <c r="AF417" s="818"/>
      <c r="AG417" s="830"/>
      <c r="AH417" s="831"/>
      <c r="AI417" s="831"/>
      <c r="AJ417" s="831"/>
      <c r="AK417" s="830"/>
      <c r="AL417" s="831"/>
      <c r="AM417" s="831"/>
      <c r="AN417" s="831"/>
      <c r="AO417" s="830"/>
      <c r="AP417" s="831"/>
      <c r="AQ417" s="831"/>
      <c r="AR417" s="831"/>
      <c r="AS417" s="830"/>
      <c r="AT417" s="831"/>
      <c r="AU417" s="818"/>
      <c r="AV417" s="818"/>
      <c r="AW417" s="830"/>
      <c r="AX417" s="831"/>
      <c r="AY417" s="831"/>
      <c r="AZ417" s="831"/>
      <c r="BA417" s="830"/>
      <c r="BB417" s="831"/>
      <c r="BC417" s="831"/>
      <c r="BD417" s="831"/>
      <c r="BE417" s="830"/>
      <c r="BF417" s="831"/>
      <c r="BG417" s="818"/>
      <c r="BH417" s="818"/>
      <c r="BI417" s="830"/>
      <c r="BJ417" s="831"/>
      <c r="BK417" s="831"/>
      <c r="BL417" s="831"/>
      <c r="BM417" s="817">
        <f t="shared" si="885"/>
        <v>0</v>
      </c>
      <c r="BN417" s="818">
        <f t="shared" si="886"/>
        <v>0</v>
      </c>
      <c r="BO417" s="818">
        <f t="shared" si="887"/>
        <v>0</v>
      </c>
      <c r="BP417" s="818">
        <f t="shared" si="888"/>
        <v>0</v>
      </c>
      <c r="BQ417" s="667"/>
      <c r="BR417" s="667"/>
      <c r="BS417" s="667"/>
      <c r="BT417" s="667"/>
      <c r="BU417" s="667"/>
      <c r="BV417" s="667">
        <v>140000000</v>
      </c>
      <c r="BW417" s="667">
        <v>2640000</v>
      </c>
      <c r="BX417" s="667">
        <v>2640000</v>
      </c>
      <c r="BY417" s="667"/>
      <c r="BZ417" s="706">
        <v>20000000</v>
      </c>
      <c r="CA417" s="667"/>
      <c r="CB417" s="667"/>
      <c r="CC417" s="667"/>
      <c r="CD417" s="667"/>
      <c r="CE417" s="667"/>
      <c r="CF417" s="667"/>
      <c r="CG417" s="667"/>
      <c r="CH417" s="667"/>
      <c r="CI417" s="667"/>
      <c r="CJ417" s="667"/>
      <c r="CK417" s="667"/>
      <c r="CL417" s="667"/>
      <c r="CM417" s="667"/>
      <c r="CN417" s="667"/>
      <c r="CO417" s="667"/>
      <c r="CP417" s="667"/>
      <c r="CQ417" s="667"/>
      <c r="CR417" s="667"/>
      <c r="CS417" s="667"/>
      <c r="CT417" s="667"/>
      <c r="CU417" s="667"/>
      <c r="CV417" s="667"/>
      <c r="CW417" s="667"/>
      <c r="CX417" s="667"/>
      <c r="CY417" s="667"/>
      <c r="CZ417" s="667"/>
      <c r="DA417" s="667"/>
      <c r="DB417" s="667"/>
      <c r="DC417" s="667"/>
      <c r="DD417" s="667"/>
      <c r="DE417" s="708">
        <f t="shared" si="889"/>
        <v>20000000</v>
      </c>
      <c r="DF417" s="708">
        <f t="shared" si="890"/>
        <v>140000000</v>
      </c>
      <c r="DG417" s="708">
        <f t="shared" si="891"/>
        <v>2640000</v>
      </c>
      <c r="DH417" s="708">
        <f t="shared" si="892"/>
        <v>2640000</v>
      </c>
      <c r="DI417" s="708"/>
      <c r="DJ417" s="706"/>
      <c r="DK417" s="706"/>
      <c r="DL417" s="706"/>
      <c r="DM417" s="706"/>
      <c r="DN417" s="706"/>
      <c r="DO417" s="706"/>
      <c r="DP417" s="706"/>
      <c r="DQ417" s="706"/>
      <c r="DR417" s="706"/>
      <c r="DS417" s="706">
        <v>0</v>
      </c>
      <c r="DT417" s="706"/>
      <c r="DU417" s="706"/>
      <c r="DV417" s="706"/>
      <c r="DW417" s="706"/>
      <c r="DX417" s="706"/>
      <c r="DY417" s="706"/>
      <c r="DZ417" s="706"/>
      <c r="EA417" s="706"/>
      <c r="EB417" s="706"/>
      <c r="EC417" s="706"/>
      <c r="ED417" s="706"/>
      <c r="EE417" s="706"/>
      <c r="EF417" s="706"/>
      <c r="EG417" s="706"/>
      <c r="EH417" s="706"/>
      <c r="EI417" s="706"/>
      <c r="EJ417" s="706"/>
      <c r="EK417" s="706"/>
      <c r="EL417" s="706"/>
      <c r="EM417" s="706"/>
      <c r="EN417" s="706"/>
      <c r="EO417" s="706"/>
      <c r="EP417" s="706"/>
      <c r="EQ417" s="706"/>
      <c r="ER417" s="706"/>
      <c r="ES417" s="706"/>
      <c r="ET417" s="667"/>
      <c r="EU417" s="667"/>
      <c r="EV417" s="667"/>
      <c r="EW417" s="708">
        <f t="shared" si="893"/>
        <v>0</v>
      </c>
      <c r="EX417" s="819">
        <f t="shared" si="893"/>
        <v>0</v>
      </c>
      <c r="EY417" s="819">
        <f t="shared" si="894"/>
        <v>0</v>
      </c>
      <c r="EZ417" s="819">
        <f t="shared" si="895"/>
        <v>0</v>
      </c>
      <c r="FA417" s="820"/>
      <c r="FB417" s="667"/>
      <c r="FC417" s="706"/>
      <c r="FD417" s="706"/>
      <c r="FE417" s="706"/>
      <c r="FF417" s="707"/>
      <c r="FG417" s="667"/>
      <c r="FH417" s="667"/>
      <c r="FI417" s="667"/>
      <c r="FJ417" s="667"/>
      <c r="FK417" s="667"/>
      <c r="FL417" s="667">
        <v>0</v>
      </c>
      <c r="FM417" s="667"/>
      <c r="FN417" s="667"/>
      <c r="FO417" s="667"/>
      <c r="FP417" s="667"/>
      <c r="FQ417" s="667"/>
      <c r="FR417" s="667"/>
      <c r="FS417" s="667"/>
      <c r="FT417" s="667"/>
      <c r="FU417" s="667"/>
      <c r="FV417" s="667"/>
      <c r="FW417" s="667"/>
      <c r="FX417" s="667"/>
      <c r="FY417" s="667"/>
      <c r="FZ417" s="667"/>
      <c r="GA417" s="667"/>
      <c r="GB417" s="667"/>
      <c r="GC417" s="667"/>
      <c r="GD417" s="667"/>
      <c r="GE417" s="667"/>
      <c r="GF417" s="667"/>
      <c r="GG417" s="667"/>
      <c r="GH417" s="667"/>
      <c r="GI417" s="667"/>
      <c r="GJ417" s="667"/>
      <c r="GK417" s="667"/>
      <c r="GL417" s="667"/>
      <c r="GM417" s="667"/>
      <c r="GN417" s="667"/>
      <c r="GO417" s="667"/>
      <c r="GP417" s="667"/>
      <c r="GQ417" s="667"/>
      <c r="GR417" s="667"/>
      <c r="GS417" s="667"/>
      <c r="GT417" s="667"/>
      <c r="GU417" s="708">
        <f t="shared" si="896"/>
        <v>0</v>
      </c>
      <c r="GV417" s="708">
        <f t="shared" si="897"/>
        <v>0</v>
      </c>
      <c r="GW417" s="708">
        <f t="shared" si="898"/>
        <v>0</v>
      </c>
      <c r="GX417" s="708">
        <f t="shared" si="899"/>
        <v>0</v>
      </c>
      <c r="GY417" s="709">
        <f t="shared" si="900"/>
        <v>0</v>
      </c>
      <c r="GZ417" s="710">
        <f t="shared" si="901"/>
        <v>20000000</v>
      </c>
    </row>
    <row r="418" spans="1:208" s="343" customFormat="1" ht="204" customHeight="1" x14ac:dyDescent="0.2">
      <c r="A418" s="331"/>
      <c r="B418" s="341"/>
      <c r="C418" s="305"/>
      <c r="D418" s="428"/>
      <c r="E418" s="306"/>
      <c r="F418" s="306"/>
      <c r="G418" s="265">
        <v>287</v>
      </c>
      <c r="H418" s="358" t="s">
        <v>918</v>
      </c>
      <c r="I418" s="287" t="s">
        <v>919</v>
      </c>
      <c r="J418" s="262" t="s">
        <v>905</v>
      </c>
      <c r="K418" s="415">
        <v>17</v>
      </c>
      <c r="L418" s="415" t="s">
        <v>58</v>
      </c>
      <c r="M418" s="259">
        <v>1</v>
      </c>
      <c r="N418" s="259">
        <v>1</v>
      </c>
      <c r="O418" s="259">
        <v>1</v>
      </c>
      <c r="P418" s="387">
        <v>0.5</v>
      </c>
      <c r="Q418" s="259">
        <v>1</v>
      </c>
      <c r="R418" s="268"/>
      <c r="S418" s="266">
        <v>1</v>
      </c>
      <c r="T418" s="259">
        <v>1</v>
      </c>
      <c r="U418" s="259"/>
      <c r="V418" s="387">
        <v>0.65</v>
      </c>
      <c r="W418" s="259">
        <v>1</v>
      </c>
      <c r="X418" s="415"/>
      <c r="Y418" s="636">
        <v>0.5</v>
      </c>
      <c r="Z418" s="390">
        <f t="shared" si="884"/>
        <v>0.15815622678335747</v>
      </c>
      <c r="AA418" s="265">
        <v>16</v>
      </c>
      <c r="AB418" s="263" t="s">
        <v>376</v>
      </c>
      <c r="AC418" s="56"/>
      <c r="AD418" s="55"/>
      <c r="AE418" s="54"/>
      <c r="AF418" s="54"/>
      <c r="AG418" s="56"/>
      <c r="AH418" s="55"/>
      <c r="AI418" s="55"/>
      <c r="AJ418" s="55"/>
      <c r="AK418" s="56">
        <v>131500000</v>
      </c>
      <c r="AL418" s="55">
        <v>131500000</v>
      </c>
      <c r="AM418" s="55">
        <v>41500000</v>
      </c>
      <c r="AN418" s="55">
        <v>41500000</v>
      </c>
      <c r="AO418" s="56"/>
      <c r="AP418" s="55"/>
      <c r="AQ418" s="55"/>
      <c r="AR418" s="55"/>
      <c r="AS418" s="56"/>
      <c r="AT418" s="55"/>
      <c r="AU418" s="54"/>
      <c r="AV418" s="54"/>
      <c r="AW418" s="56"/>
      <c r="AX418" s="55"/>
      <c r="AY418" s="55"/>
      <c r="AZ418" s="55"/>
      <c r="BA418" s="56"/>
      <c r="BB418" s="55"/>
      <c r="BC418" s="55"/>
      <c r="BD418" s="55"/>
      <c r="BE418" s="56"/>
      <c r="BF418" s="55"/>
      <c r="BG418" s="54"/>
      <c r="BH418" s="54"/>
      <c r="BI418" s="56"/>
      <c r="BJ418" s="55"/>
      <c r="BK418" s="55"/>
      <c r="BL418" s="55"/>
      <c r="BM418" s="53">
        <f t="shared" si="885"/>
        <v>131500000</v>
      </c>
      <c r="BN418" s="54">
        <f t="shared" si="886"/>
        <v>131500000</v>
      </c>
      <c r="BO418" s="54">
        <f t="shared" si="887"/>
        <v>41500000</v>
      </c>
      <c r="BP418" s="54">
        <f t="shared" si="888"/>
        <v>41500000</v>
      </c>
      <c r="BQ418" s="82"/>
      <c r="BR418" s="82"/>
      <c r="BS418" s="82"/>
      <c r="BT418" s="82"/>
      <c r="BU418" s="82"/>
      <c r="BV418" s="82">
        <v>34737966</v>
      </c>
      <c r="BW418" s="82">
        <v>7864000</v>
      </c>
      <c r="BX418" s="82">
        <v>7864000</v>
      </c>
      <c r="BY418" s="82"/>
      <c r="BZ418" s="65">
        <v>57642632.719257303</v>
      </c>
      <c r="CA418" s="82">
        <v>222904667</v>
      </c>
      <c r="CB418" s="82">
        <v>218479000</v>
      </c>
      <c r="CC418" s="82">
        <v>218479000</v>
      </c>
      <c r="CD418" s="82"/>
      <c r="CE418" s="82"/>
      <c r="CF418" s="82"/>
      <c r="CG418" s="82"/>
      <c r="CH418" s="82"/>
      <c r="CI418" s="82"/>
      <c r="CJ418" s="82"/>
      <c r="CK418" s="82"/>
      <c r="CL418" s="82"/>
      <c r="CM418" s="82"/>
      <c r="CN418" s="82"/>
      <c r="CO418" s="82"/>
      <c r="CP418" s="82"/>
      <c r="CQ418" s="82"/>
      <c r="CR418" s="82"/>
      <c r="CS418" s="82"/>
      <c r="CT418" s="82"/>
      <c r="CU418" s="82"/>
      <c r="CV418" s="82"/>
      <c r="CW418" s="82"/>
      <c r="CX418" s="82"/>
      <c r="CY418" s="82"/>
      <c r="CZ418" s="82"/>
      <c r="DA418" s="82"/>
      <c r="DB418" s="82"/>
      <c r="DC418" s="82"/>
      <c r="DD418" s="82"/>
      <c r="DE418" s="81">
        <f t="shared" si="889"/>
        <v>57642632.719257303</v>
      </c>
      <c r="DF418" s="95">
        <f t="shared" si="890"/>
        <v>257642633</v>
      </c>
      <c r="DG418" s="95">
        <f t="shared" si="891"/>
        <v>226343000</v>
      </c>
      <c r="DH418" s="95">
        <f t="shared" si="892"/>
        <v>226343000</v>
      </c>
      <c r="DI418" s="95"/>
      <c r="DJ418" s="65"/>
      <c r="DK418" s="65"/>
      <c r="DL418" s="65"/>
      <c r="DM418" s="65"/>
      <c r="DN418" s="65"/>
      <c r="DO418" s="65">
        <v>60000000</v>
      </c>
      <c r="DP418" s="65">
        <v>60000000</v>
      </c>
      <c r="DQ418" s="65">
        <v>60000000</v>
      </c>
      <c r="DR418" s="65"/>
      <c r="DS418" s="65">
        <v>30000000</v>
      </c>
      <c r="DT418" s="65">
        <v>109000000</v>
      </c>
      <c r="DU418" s="65">
        <v>55995416</v>
      </c>
      <c r="DV418" s="65">
        <v>55995416</v>
      </c>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82"/>
      <c r="EU418" s="82"/>
      <c r="EV418" s="82"/>
      <c r="EW418" s="81">
        <f t="shared" si="893"/>
        <v>30000000</v>
      </c>
      <c r="EX418" s="86">
        <f t="shared" si="893"/>
        <v>169000000</v>
      </c>
      <c r="EY418" s="86">
        <f t="shared" si="894"/>
        <v>115995416</v>
      </c>
      <c r="EZ418" s="86">
        <f t="shared" si="895"/>
        <v>115995416</v>
      </c>
      <c r="FA418" s="176"/>
      <c r="FB418" s="83"/>
      <c r="FC418" s="84"/>
      <c r="FD418" s="84"/>
      <c r="FE418" s="84"/>
      <c r="FF418" s="140"/>
      <c r="FG418" s="83"/>
      <c r="FH418" s="83"/>
      <c r="FI418" s="83"/>
      <c r="FJ418" s="83"/>
      <c r="FK418" s="83"/>
      <c r="FL418" s="82">
        <v>20000000</v>
      </c>
      <c r="FM418" s="82">
        <v>108500000</v>
      </c>
      <c r="FN418" s="82">
        <v>67145000</v>
      </c>
      <c r="FO418" s="82">
        <v>58645000</v>
      </c>
      <c r="FP418" s="82"/>
      <c r="FQ418" s="82"/>
      <c r="FR418" s="82"/>
      <c r="FS418" s="82"/>
      <c r="FT418" s="82"/>
      <c r="FU418" s="82"/>
      <c r="FV418" s="83"/>
      <c r="FW418" s="83"/>
      <c r="FX418" s="83"/>
      <c r="FY418" s="83"/>
      <c r="FZ418" s="83"/>
      <c r="GA418" s="83"/>
      <c r="GB418" s="83"/>
      <c r="GC418" s="83"/>
      <c r="GD418" s="83"/>
      <c r="GE418" s="83"/>
      <c r="GF418" s="83"/>
      <c r="GG418" s="83"/>
      <c r="GH418" s="83"/>
      <c r="GI418" s="83"/>
      <c r="GJ418" s="83"/>
      <c r="GK418" s="83"/>
      <c r="GL418" s="83"/>
      <c r="GM418" s="83"/>
      <c r="GN418" s="83"/>
      <c r="GO418" s="83"/>
      <c r="GP418" s="83"/>
      <c r="GQ418" s="83"/>
      <c r="GR418" s="83"/>
      <c r="GS418" s="83"/>
      <c r="GT418" s="83"/>
      <c r="GU418" s="81">
        <f t="shared" si="896"/>
        <v>20000000</v>
      </c>
      <c r="GV418" s="81">
        <f t="shared" si="897"/>
        <v>108500000</v>
      </c>
      <c r="GW418" s="81">
        <f t="shared" si="898"/>
        <v>67145000</v>
      </c>
      <c r="GX418" s="81">
        <f t="shared" si="899"/>
        <v>58645000</v>
      </c>
      <c r="GY418" s="673">
        <f t="shared" si="900"/>
        <v>0</v>
      </c>
      <c r="GZ418" s="67">
        <f t="shared" si="901"/>
        <v>239142632.7192573</v>
      </c>
    </row>
    <row r="419" spans="1:208" ht="94.5" customHeight="1" x14ac:dyDescent="0.2">
      <c r="A419" s="331"/>
      <c r="B419" s="341"/>
      <c r="C419" s="452"/>
      <c r="D419" s="722"/>
      <c r="E419" s="279"/>
      <c r="F419" s="279"/>
      <c r="G419" s="265">
        <v>288</v>
      </c>
      <c r="H419" s="358" t="s">
        <v>920</v>
      </c>
      <c r="I419" s="275" t="s">
        <v>921</v>
      </c>
      <c r="J419" s="262" t="s">
        <v>905</v>
      </c>
      <c r="K419" s="415">
        <v>17</v>
      </c>
      <c r="L419" s="304" t="s">
        <v>58</v>
      </c>
      <c r="M419" s="288">
        <v>1</v>
      </c>
      <c r="N419" s="288">
        <v>1</v>
      </c>
      <c r="O419" s="259">
        <v>1</v>
      </c>
      <c r="P419" s="560">
        <v>1</v>
      </c>
      <c r="Q419" s="288">
        <v>1</v>
      </c>
      <c r="R419" s="268"/>
      <c r="S419" s="387">
        <v>1</v>
      </c>
      <c r="T419" s="288">
        <v>1</v>
      </c>
      <c r="U419" s="288"/>
      <c r="V419" s="389">
        <v>1</v>
      </c>
      <c r="W419" s="288">
        <v>1</v>
      </c>
      <c r="X419" s="304"/>
      <c r="Y419" s="631">
        <v>0.3</v>
      </c>
      <c r="Z419" s="390">
        <f t="shared" si="884"/>
        <v>0.3961093070289789</v>
      </c>
      <c r="AA419" s="264">
        <v>16</v>
      </c>
      <c r="AB419" s="263" t="s">
        <v>376</v>
      </c>
      <c r="AC419" s="56"/>
      <c r="AD419" s="55"/>
      <c r="AE419" s="54"/>
      <c r="AF419" s="54"/>
      <c r="AG419" s="56"/>
      <c r="AH419" s="55"/>
      <c r="AI419" s="55"/>
      <c r="AJ419" s="55"/>
      <c r="AK419" s="57">
        <f>329347601</f>
        <v>329347601</v>
      </c>
      <c r="AL419" s="55">
        <v>529347601</v>
      </c>
      <c r="AM419" s="58">
        <v>291703831</v>
      </c>
      <c r="AN419" s="58">
        <v>291703831</v>
      </c>
      <c r="AO419" s="57"/>
      <c r="AP419" s="58"/>
      <c r="AQ419" s="58"/>
      <c r="AR419" s="55"/>
      <c r="AS419" s="56"/>
      <c r="AT419" s="55"/>
      <c r="AU419" s="54"/>
      <c r="AV419" s="54"/>
      <c r="AW419" s="56"/>
      <c r="AX419" s="55"/>
      <c r="AY419" s="55"/>
      <c r="AZ419" s="55"/>
      <c r="BA419" s="56"/>
      <c r="BB419" s="55"/>
      <c r="BC419" s="55"/>
      <c r="BD419" s="55"/>
      <c r="BE419" s="56"/>
      <c r="BF419" s="55"/>
      <c r="BG419" s="54"/>
      <c r="BH419" s="54"/>
      <c r="BI419" s="56"/>
      <c r="BJ419" s="55"/>
      <c r="BK419" s="55"/>
      <c r="BL419" s="55"/>
      <c r="BM419" s="53">
        <f t="shared" si="885"/>
        <v>329347601</v>
      </c>
      <c r="BN419" s="54">
        <f t="shared" si="886"/>
        <v>529347601</v>
      </c>
      <c r="BO419" s="54">
        <f t="shared" si="887"/>
        <v>291703831</v>
      </c>
      <c r="BP419" s="54">
        <f t="shared" si="888"/>
        <v>291703831</v>
      </c>
      <c r="BQ419" s="83"/>
      <c r="BR419" s="83"/>
      <c r="BS419" s="83"/>
      <c r="BT419" s="83"/>
      <c r="BU419" s="83"/>
      <c r="BV419" s="83">
        <v>150000000</v>
      </c>
      <c r="BW419" s="83">
        <v>145856992</v>
      </c>
      <c r="BX419" s="83">
        <v>145856992</v>
      </c>
      <c r="BY419" s="83"/>
      <c r="BZ419" s="84">
        <v>219504873.24267283</v>
      </c>
      <c r="CA419" s="83">
        <v>719504873</v>
      </c>
      <c r="CB419" s="83">
        <v>692800295</v>
      </c>
      <c r="CC419" s="83">
        <v>673375295</v>
      </c>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1">
        <f t="shared" si="889"/>
        <v>219504873.24267283</v>
      </c>
      <c r="DF419" s="95">
        <f t="shared" si="890"/>
        <v>869504873</v>
      </c>
      <c r="DG419" s="95">
        <f t="shared" si="891"/>
        <v>838657287</v>
      </c>
      <c r="DH419" s="95">
        <f t="shared" si="892"/>
        <v>819232287</v>
      </c>
      <c r="DI419" s="95"/>
      <c r="DJ419" s="84"/>
      <c r="DK419" s="65"/>
      <c r="DL419" s="84"/>
      <c r="DM419" s="84"/>
      <c r="DN419" s="84"/>
      <c r="DO419" s="84">
        <v>200000000</v>
      </c>
      <c r="DP419" s="84">
        <v>200000000</v>
      </c>
      <c r="DQ419" s="84">
        <v>104873822</v>
      </c>
      <c r="DR419" s="84"/>
      <c r="DS419" s="84">
        <v>80304749</v>
      </c>
      <c r="DT419" s="84">
        <v>667000000</v>
      </c>
      <c r="DU419" s="84">
        <v>638128733</v>
      </c>
      <c r="DV419" s="84">
        <v>489259136</v>
      </c>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3"/>
      <c r="EU419" s="83"/>
      <c r="EV419" s="83"/>
      <c r="EW419" s="81">
        <f t="shared" si="893"/>
        <v>80304749</v>
      </c>
      <c r="EX419" s="86">
        <f t="shared" si="893"/>
        <v>867000000</v>
      </c>
      <c r="EY419" s="86">
        <f t="shared" si="894"/>
        <v>838128733</v>
      </c>
      <c r="EZ419" s="86">
        <f t="shared" si="895"/>
        <v>594132958</v>
      </c>
      <c r="FA419" s="176"/>
      <c r="FB419" s="83"/>
      <c r="FC419" s="84"/>
      <c r="FD419" s="84"/>
      <c r="FE419" s="84"/>
      <c r="FF419" s="140"/>
      <c r="FG419" s="83"/>
      <c r="FH419" s="83">
        <v>850000000</v>
      </c>
      <c r="FI419" s="83">
        <v>787766404</v>
      </c>
      <c r="FJ419" s="83"/>
      <c r="FK419" s="83"/>
      <c r="FL419" s="83">
        <v>55000000</v>
      </c>
      <c r="FM419" s="83">
        <v>613092662</v>
      </c>
      <c r="FN419" s="83">
        <v>608895662</v>
      </c>
      <c r="FO419" s="83">
        <v>424690980</v>
      </c>
      <c r="FP419" s="83"/>
      <c r="FQ419" s="83"/>
      <c r="FR419" s="83"/>
      <c r="FS419" s="83"/>
      <c r="FT419" s="83"/>
      <c r="FU419" s="83"/>
      <c r="FV419" s="83"/>
      <c r="FW419" s="83"/>
      <c r="FX419" s="83"/>
      <c r="FY419" s="83"/>
      <c r="FZ419" s="83"/>
      <c r="GA419" s="83"/>
      <c r="GB419" s="83"/>
      <c r="GC419" s="83"/>
      <c r="GD419" s="83"/>
      <c r="GE419" s="83"/>
      <c r="GF419" s="83"/>
      <c r="GG419" s="83"/>
      <c r="GH419" s="83"/>
      <c r="GI419" s="83"/>
      <c r="GJ419" s="83"/>
      <c r="GK419" s="83"/>
      <c r="GL419" s="83"/>
      <c r="GM419" s="83"/>
      <c r="GN419" s="83"/>
      <c r="GO419" s="83"/>
      <c r="GP419" s="83"/>
      <c r="GQ419" s="83"/>
      <c r="GR419" s="83"/>
      <c r="GS419" s="83"/>
      <c r="GT419" s="83"/>
      <c r="GU419" s="81">
        <f t="shared" si="896"/>
        <v>55000000</v>
      </c>
      <c r="GV419" s="81">
        <f t="shared" si="897"/>
        <v>1463092662</v>
      </c>
      <c r="GW419" s="81">
        <f t="shared" si="898"/>
        <v>1396662066</v>
      </c>
      <c r="GX419" s="81">
        <f t="shared" si="899"/>
        <v>424690980</v>
      </c>
      <c r="GY419" s="673">
        <f t="shared" si="900"/>
        <v>0</v>
      </c>
      <c r="GZ419" s="67">
        <f t="shared" si="901"/>
        <v>684157223.2426728</v>
      </c>
    </row>
    <row r="420" spans="1:208" s="711" customFormat="1" ht="143.25" customHeight="1" x14ac:dyDescent="0.2">
      <c r="A420" s="713"/>
      <c r="B420" s="844"/>
      <c r="C420" s="715"/>
      <c r="D420" s="826"/>
      <c r="E420" s="715"/>
      <c r="F420" s="715"/>
      <c r="G420" s="682">
        <v>289</v>
      </c>
      <c r="H420" s="939" t="s">
        <v>922</v>
      </c>
      <c r="I420" s="821" t="s">
        <v>923</v>
      </c>
      <c r="J420" s="813" t="s">
        <v>905</v>
      </c>
      <c r="K420" s="892">
        <v>17</v>
      </c>
      <c r="L420" s="892" t="s">
        <v>73</v>
      </c>
      <c r="M420" s="621" t="s">
        <v>53</v>
      </c>
      <c r="N420" s="621">
        <v>1</v>
      </c>
      <c r="O420" s="621">
        <v>0</v>
      </c>
      <c r="P420" s="954"/>
      <c r="Q420" s="621">
        <v>1</v>
      </c>
      <c r="R420" s="814"/>
      <c r="S420" s="940"/>
      <c r="T420" s="621">
        <v>0</v>
      </c>
      <c r="U420" s="621"/>
      <c r="V420" s="940"/>
      <c r="W420" s="621">
        <v>0</v>
      </c>
      <c r="X420" s="892">
        <v>1</v>
      </c>
      <c r="Y420" s="639">
        <v>0.6</v>
      </c>
      <c r="Z420" s="852">
        <f t="shared" si="884"/>
        <v>0</v>
      </c>
      <c r="AA420" s="682">
        <v>9</v>
      </c>
      <c r="AB420" s="813" t="s">
        <v>180</v>
      </c>
      <c r="AC420" s="830"/>
      <c r="AD420" s="831"/>
      <c r="AE420" s="818"/>
      <c r="AF420" s="818"/>
      <c r="AG420" s="830"/>
      <c r="AH420" s="831"/>
      <c r="AI420" s="831"/>
      <c r="AJ420" s="831"/>
      <c r="AK420" s="830"/>
      <c r="AL420" s="831"/>
      <c r="AM420" s="831"/>
      <c r="AN420" s="831"/>
      <c r="AO420" s="830"/>
      <c r="AP420" s="831"/>
      <c r="AQ420" s="831"/>
      <c r="AR420" s="831"/>
      <c r="AS420" s="830"/>
      <c r="AT420" s="831"/>
      <c r="AU420" s="818"/>
      <c r="AV420" s="818"/>
      <c r="AW420" s="830"/>
      <c r="AX420" s="831"/>
      <c r="AY420" s="831"/>
      <c r="AZ420" s="831"/>
      <c r="BA420" s="830"/>
      <c r="BB420" s="831"/>
      <c r="BC420" s="831"/>
      <c r="BD420" s="831"/>
      <c r="BE420" s="830"/>
      <c r="BF420" s="831"/>
      <c r="BG420" s="818"/>
      <c r="BH420" s="818"/>
      <c r="BI420" s="830"/>
      <c r="BJ420" s="831"/>
      <c r="BK420" s="831"/>
      <c r="BL420" s="831"/>
      <c r="BM420" s="817">
        <f t="shared" si="885"/>
        <v>0</v>
      </c>
      <c r="BN420" s="818">
        <f t="shared" si="886"/>
        <v>0</v>
      </c>
      <c r="BO420" s="818">
        <f t="shared" si="887"/>
        <v>0</v>
      </c>
      <c r="BP420" s="818">
        <f t="shared" si="888"/>
        <v>0</v>
      </c>
      <c r="BQ420" s="667">
        <v>4000000000</v>
      </c>
      <c r="BR420" s="667"/>
      <c r="BS420" s="667"/>
      <c r="BT420" s="667"/>
      <c r="BU420" s="706"/>
      <c r="BV420" s="706">
        <v>1400000000</v>
      </c>
      <c r="BW420" s="706">
        <v>0</v>
      </c>
      <c r="BX420" s="706">
        <v>0</v>
      </c>
      <c r="BY420" s="706"/>
      <c r="BZ420" s="706"/>
      <c r="CA420" s="667"/>
      <c r="CB420" s="667"/>
      <c r="CC420" s="667"/>
      <c r="CD420" s="667"/>
      <c r="CE420" s="667"/>
      <c r="CF420" s="667"/>
      <c r="CG420" s="667"/>
      <c r="CH420" s="667"/>
      <c r="CI420" s="667"/>
      <c r="CJ420" s="667"/>
      <c r="CK420" s="667"/>
      <c r="CL420" s="667"/>
      <c r="CM420" s="667"/>
      <c r="CN420" s="667"/>
      <c r="CO420" s="667"/>
      <c r="CP420" s="667"/>
      <c r="CQ420" s="667"/>
      <c r="CR420" s="667"/>
      <c r="CS420" s="667"/>
      <c r="CT420" s="667"/>
      <c r="CU420" s="667"/>
      <c r="CV420" s="667"/>
      <c r="CW420" s="667"/>
      <c r="CX420" s="667"/>
      <c r="CY420" s="667"/>
      <c r="CZ420" s="667"/>
      <c r="DA420" s="706">
        <v>0</v>
      </c>
      <c r="DB420" s="667"/>
      <c r="DC420" s="667"/>
      <c r="DD420" s="667"/>
      <c r="DE420" s="708">
        <f t="shared" si="889"/>
        <v>4000000000</v>
      </c>
      <c r="DF420" s="708">
        <f t="shared" si="890"/>
        <v>1400000000</v>
      </c>
      <c r="DG420" s="708">
        <f t="shared" si="891"/>
        <v>0</v>
      </c>
      <c r="DH420" s="708">
        <f t="shared" si="892"/>
        <v>0</v>
      </c>
      <c r="DI420" s="708"/>
      <c r="DJ420" s="706"/>
      <c r="DK420" s="955"/>
      <c r="DL420" s="667"/>
      <c r="DM420" s="956"/>
      <c r="DN420" s="706"/>
      <c r="DO420" s="706"/>
      <c r="DP420" s="706"/>
      <c r="DQ420" s="706"/>
      <c r="DR420" s="706"/>
      <c r="DS420" s="706">
        <v>0</v>
      </c>
      <c r="DT420" s="706"/>
      <c r="DU420" s="706"/>
      <c r="DV420" s="706"/>
      <c r="DW420" s="706"/>
      <c r="DX420" s="706"/>
      <c r="DY420" s="706"/>
      <c r="DZ420" s="706"/>
      <c r="EA420" s="706"/>
      <c r="EB420" s="706"/>
      <c r="EC420" s="706"/>
      <c r="ED420" s="706"/>
      <c r="EE420" s="706"/>
      <c r="EF420" s="706"/>
      <c r="EG420" s="706"/>
      <c r="EH420" s="706"/>
      <c r="EI420" s="706"/>
      <c r="EJ420" s="706"/>
      <c r="EK420" s="706"/>
      <c r="EL420" s="706"/>
      <c r="EM420" s="706"/>
      <c r="EN420" s="706"/>
      <c r="EO420" s="706"/>
      <c r="EP420" s="706"/>
      <c r="EQ420" s="706"/>
      <c r="ER420" s="706"/>
      <c r="ES420" s="706"/>
      <c r="ET420" s="667"/>
      <c r="EU420" s="667"/>
      <c r="EV420" s="667"/>
      <c r="EW420" s="708">
        <f t="shared" si="893"/>
        <v>0</v>
      </c>
      <c r="EX420" s="819">
        <f t="shared" si="893"/>
        <v>0</v>
      </c>
      <c r="EY420" s="819">
        <f t="shared" si="894"/>
        <v>0</v>
      </c>
      <c r="EZ420" s="819">
        <f t="shared" si="895"/>
        <v>0</v>
      </c>
      <c r="FA420" s="820"/>
      <c r="FB420" s="667"/>
      <c r="FC420" s="706">
        <v>5000000000</v>
      </c>
      <c r="FD420" s="706">
        <v>820874579</v>
      </c>
      <c r="FE420" s="706">
        <v>820874579</v>
      </c>
      <c r="FF420" s="707"/>
      <c r="FG420" s="667"/>
      <c r="FH420" s="667"/>
      <c r="FI420" s="667"/>
      <c r="FJ420" s="667"/>
      <c r="FK420" s="667"/>
      <c r="FL420" s="667">
        <v>0</v>
      </c>
      <c r="FM420" s="667"/>
      <c r="FN420" s="667"/>
      <c r="FO420" s="667"/>
      <c r="FP420" s="667"/>
      <c r="FQ420" s="667"/>
      <c r="FR420" s="667"/>
      <c r="FS420" s="667"/>
      <c r="FT420" s="667"/>
      <c r="FU420" s="667"/>
      <c r="FV420" s="667"/>
      <c r="FW420" s="667"/>
      <c r="FX420" s="667"/>
      <c r="FY420" s="667"/>
      <c r="FZ420" s="667"/>
      <c r="GA420" s="667"/>
      <c r="GB420" s="667"/>
      <c r="GC420" s="667"/>
      <c r="GD420" s="667"/>
      <c r="GE420" s="667"/>
      <c r="GF420" s="667"/>
      <c r="GG420" s="667"/>
      <c r="GH420" s="667"/>
      <c r="GI420" s="667"/>
      <c r="GJ420" s="667"/>
      <c r="GK420" s="667"/>
      <c r="GL420" s="667"/>
      <c r="GM420" s="667"/>
      <c r="GN420" s="667"/>
      <c r="GO420" s="667"/>
      <c r="GP420" s="667"/>
      <c r="GQ420" s="667"/>
      <c r="GR420" s="667"/>
      <c r="GS420" s="667"/>
      <c r="GT420" s="667"/>
      <c r="GU420" s="708">
        <f t="shared" si="896"/>
        <v>0</v>
      </c>
      <c r="GV420" s="708">
        <f t="shared" si="897"/>
        <v>5000000000</v>
      </c>
      <c r="GW420" s="708">
        <f t="shared" si="898"/>
        <v>820874579</v>
      </c>
      <c r="GX420" s="708">
        <f t="shared" si="899"/>
        <v>820874579</v>
      </c>
      <c r="GY420" s="709">
        <f t="shared" si="900"/>
        <v>0</v>
      </c>
      <c r="GZ420" s="710">
        <f t="shared" si="901"/>
        <v>4000000000</v>
      </c>
    </row>
    <row r="421" spans="1:208" s="574" customFormat="1" ht="24.75" customHeight="1" x14ac:dyDescent="0.25">
      <c r="A421" s="1056"/>
      <c r="B421" s="571"/>
      <c r="C421" s="572"/>
      <c r="D421" s="571"/>
      <c r="E421" s="571"/>
      <c r="F421" s="571"/>
      <c r="G421" s="573"/>
      <c r="H421" s="573"/>
      <c r="I421" s="573"/>
      <c r="J421" s="573"/>
      <c r="K421" s="573"/>
      <c r="L421" s="573"/>
      <c r="M421" s="573"/>
      <c r="N421" s="573"/>
      <c r="O421" s="573"/>
      <c r="P421" s="573"/>
      <c r="Q421" s="573"/>
      <c r="R421" s="573"/>
      <c r="S421" s="573"/>
      <c r="T421" s="573"/>
      <c r="U421" s="573"/>
      <c r="V421" s="573"/>
      <c r="W421" s="573"/>
      <c r="X421" s="573"/>
      <c r="Y421" s="629"/>
      <c r="Z421" s="573"/>
      <c r="AA421" s="573"/>
      <c r="AB421" s="573"/>
      <c r="AC421" s="182">
        <f t="shared" ref="AC421:CN421" si="902">AC363+AC322+AC95+AC35+AC10</f>
        <v>0</v>
      </c>
      <c r="AD421" s="182">
        <f t="shared" si="902"/>
        <v>0</v>
      </c>
      <c r="AE421" s="182">
        <f t="shared" si="902"/>
        <v>0</v>
      </c>
      <c r="AF421" s="182">
        <f t="shared" si="902"/>
        <v>0</v>
      </c>
      <c r="AG421" s="182">
        <f t="shared" si="902"/>
        <v>47919111022</v>
      </c>
      <c r="AH421" s="182">
        <f t="shared" si="902"/>
        <v>52340112825.459999</v>
      </c>
      <c r="AI421" s="182">
        <f t="shared" si="902"/>
        <v>32063808571.639999</v>
      </c>
      <c r="AJ421" s="182">
        <f t="shared" si="902"/>
        <v>29277014828</v>
      </c>
      <c r="AK421" s="182">
        <f t="shared" si="902"/>
        <v>12564776694.639999</v>
      </c>
      <c r="AL421" s="182">
        <f t="shared" si="902"/>
        <v>15826975532.639999</v>
      </c>
      <c r="AM421" s="182">
        <f t="shared" si="902"/>
        <v>11497432725</v>
      </c>
      <c r="AN421" s="182">
        <f t="shared" si="902"/>
        <v>10858686629</v>
      </c>
      <c r="AO421" s="182">
        <f t="shared" si="902"/>
        <v>1615474143</v>
      </c>
      <c r="AP421" s="182">
        <f t="shared" si="902"/>
        <v>2193691416</v>
      </c>
      <c r="AQ421" s="182">
        <f t="shared" si="902"/>
        <v>1426742254</v>
      </c>
      <c r="AR421" s="182">
        <f t="shared" si="902"/>
        <v>1003621553</v>
      </c>
      <c r="AS421" s="182">
        <f t="shared" si="902"/>
        <v>4987433131</v>
      </c>
      <c r="AT421" s="182">
        <f t="shared" si="902"/>
        <v>5817514937.4499998</v>
      </c>
      <c r="AU421" s="182">
        <f t="shared" si="902"/>
        <v>5268549692</v>
      </c>
      <c r="AV421" s="182">
        <f t="shared" si="902"/>
        <v>5257850617</v>
      </c>
      <c r="AW421" s="182">
        <f t="shared" si="902"/>
        <v>2248717121</v>
      </c>
      <c r="AX421" s="182">
        <f t="shared" si="902"/>
        <v>2252293686</v>
      </c>
      <c r="AY421" s="182">
        <f t="shared" si="902"/>
        <v>2141958657.5599999</v>
      </c>
      <c r="AZ421" s="182">
        <f t="shared" si="902"/>
        <v>2141958657.5599999</v>
      </c>
      <c r="BA421" s="182">
        <f t="shared" si="902"/>
        <v>112952913595</v>
      </c>
      <c r="BB421" s="182">
        <f t="shared" si="902"/>
        <v>115872342405.84</v>
      </c>
      <c r="BC421" s="182">
        <f t="shared" si="902"/>
        <v>113283855070.28</v>
      </c>
      <c r="BD421" s="182">
        <f t="shared" si="902"/>
        <v>112814161930.28</v>
      </c>
      <c r="BE421" s="182">
        <f t="shared" si="902"/>
        <v>11365979119</v>
      </c>
      <c r="BF421" s="182">
        <f t="shared" si="902"/>
        <v>14109434246</v>
      </c>
      <c r="BG421" s="182">
        <f t="shared" si="902"/>
        <v>12271439621.66</v>
      </c>
      <c r="BH421" s="182">
        <f t="shared" si="902"/>
        <v>10529805240.66</v>
      </c>
      <c r="BI421" s="182">
        <f t="shared" si="902"/>
        <v>33076572379</v>
      </c>
      <c r="BJ421" s="182">
        <f t="shared" si="902"/>
        <v>0</v>
      </c>
      <c r="BK421" s="182">
        <f t="shared" si="902"/>
        <v>0</v>
      </c>
      <c r="BL421" s="182">
        <f t="shared" si="902"/>
        <v>0</v>
      </c>
      <c r="BM421" s="182">
        <f t="shared" si="902"/>
        <v>226730977204.64001</v>
      </c>
      <c r="BN421" s="182">
        <f t="shared" si="902"/>
        <v>208412365049.38998</v>
      </c>
      <c r="BO421" s="182">
        <f t="shared" si="902"/>
        <v>177953786592.14001</v>
      </c>
      <c r="BP421" s="182">
        <f t="shared" si="902"/>
        <v>171883099455.5</v>
      </c>
      <c r="BQ421" s="182">
        <f t="shared" si="902"/>
        <v>10000000000</v>
      </c>
      <c r="BR421" s="182">
        <f t="shared" si="902"/>
        <v>0</v>
      </c>
      <c r="BS421" s="182">
        <f t="shared" si="902"/>
        <v>0</v>
      </c>
      <c r="BT421" s="182">
        <f t="shared" si="902"/>
        <v>0</v>
      </c>
      <c r="BU421" s="182">
        <f t="shared" si="902"/>
        <v>38456371357.440002</v>
      </c>
      <c r="BV421" s="182">
        <f t="shared" si="902"/>
        <v>39659883616.809998</v>
      </c>
      <c r="BW421" s="182">
        <f t="shared" si="902"/>
        <v>29357979902.199997</v>
      </c>
      <c r="BX421" s="182">
        <f t="shared" si="902"/>
        <v>28152735741.209999</v>
      </c>
      <c r="BY421" s="182">
        <f t="shared" si="902"/>
        <v>96122616</v>
      </c>
      <c r="BZ421" s="182">
        <f t="shared" si="902"/>
        <v>10848485819.088402</v>
      </c>
      <c r="CA421" s="182">
        <f t="shared" si="902"/>
        <v>58280723844.93</v>
      </c>
      <c r="CB421" s="182">
        <f t="shared" si="902"/>
        <v>48833373322.500008</v>
      </c>
      <c r="CC421" s="182">
        <f t="shared" si="902"/>
        <v>47455334111.830009</v>
      </c>
      <c r="CD421" s="182">
        <f t="shared" si="902"/>
        <v>649139169.85000002</v>
      </c>
      <c r="CE421" s="182">
        <f t="shared" si="902"/>
        <v>200000000</v>
      </c>
      <c r="CF421" s="182">
        <f t="shared" si="902"/>
        <v>11114269951.130001</v>
      </c>
      <c r="CG421" s="182">
        <f t="shared" si="902"/>
        <v>8041355835</v>
      </c>
      <c r="CH421" s="182">
        <f t="shared" si="902"/>
        <v>7901474335</v>
      </c>
      <c r="CI421" s="182">
        <f t="shared" si="902"/>
        <v>233587702.31</v>
      </c>
      <c r="CJ421" s="182">
        <f t="shared" si="902"/>
        <v>0</v>
      </c>
      <c r="CK421" s="182">
        <f t="shared" si="902"/>
        <v>0</v>
      </c>
      <c r="CL421" s="182">
        <f t="shared" si="902"/>
        <v>0</v>
      </c>
      <c r="CM421" s="182">
        <f t="shared" si="902"/>
        <v>2207217417.7399998</v>
      </c>
      <c r="CN421" s="182">
        <f t="shared" si="902"/>
        <v>2432800182</v>
      </c>
      <c r="CO421" s="182">
        <f t="shared" ref="CO421:EW421" si="903">CO363+CO322+CO95+CO35+CO10</f>
        <v>2427064367</v>
      </c>
      <c r="CP421" s="182">
        <f t="shared" si="903"/>
        <v>2427064367</v>
      </c>
      <c r="CQ421" s="182">
        <f t="shared" si="903"/>
        <v>116291155143.60001</v>
      </c>
      <c r="CR421" s="182">
        <f t="shared" si="903"/>
        <v>129482155897</v>
      </c>
      <c r="CS421" s="182">
        <f t="shared" si="903"/>
        <v>126291698200.14</v>
      </c>
      <c r="CT421" s="182">
        <f t="shared" si="903"/>
        <v>126286393950.14</v>
      </c>
      <c r="CU421" s="182">
        <f t="shared" si="903"/>
        <v>20000000</v>
      </c>
      <c r="CV421" s="182">
        <f t="shared" si="903"/>
        <v>10799941036.780186</v>
      </c>
      <c r="CW421" s="182">
        <f t="shared" si="903"/>
        <v>14770969867.99691</v>
      </c>
      <c r="CX421" s="182">
        <f t="shared" si="903"/>
        <v>13797961475.66</v>
      </c>
      <c r="CY421" s="182">
        <f t="shared" si="903"/>
        <v>12820316607.33</v>
      </c>
      <c r="CZ421" s="182">
        <f t="shared" si="903"/>
        <v>278333357</v>
      </c>
      <c r="DA421" s="182">
        <f t="shared" si="903"/>
        <v>32045276423</v>
      </c>
      <c r="DB421" s="182">
        <f t="shared" si="903"/>
        <v>0</v>
      </c>
      <c r="DC421" s="182">
        <f t="shared" si="903"/>
        <v>0</v>
      </c>
      <c r="DD421" s="182">
        <f t="shared" si="903"/>
        <v>0</v>
      </c>
      <c r="DE421" s="182">
        <f t="shared" si="903"/>
        <v>221082034899.59845</v>
      </c>
      <c r="DF421" s="182">
        <f t="shared" si="903"/>
        <v>255740803359.86694</v>
      </c>
      <c r="DG421" s="182">
        <f t="shared" si="903"/>
        <v>228749433102.5</v>
      </c>
      <c r="DH421" s="182">
        <f t="shared" si="903"/>
        <v>225043319112.50998</v>
      </c>
      <c r="DI421" s="182">
        <f t="shared" si="903"/>
        <v>1043595142.85</v>
      </c>
      <c r="DJ421" s="182">
        <f t="shared" si="903"/>
        <v>13000000000</v>
      </c>
      <c r="DK421" s="182">
        <f t="shared" si="903"/>
        <v>8642341966.5</v>
      </c>
      <c r="DL421" s="182">
        <f t="shared" si="903"/>
        <v>7076958184.5</v>
      </c>
      <c r="DM421" s="182">
        <f t="shared" si="903"/>
        <v>3907053634.8099999</v>
      </c>
      <c r="DN421" s="182">
        <f t="shared" si="903"/>
        <v>39390679044.364998</v>
      </c>
      <c r="DO421" s="182">
        <f t="shared" si="903"/>
        <v>30170826080.010002</v>
      </c>
      <c r="DP421" s="182">
        <f t="shared" si="903"/>
        <v>21453910147.310001</v>
      </c>
      <c r="DQ421" s="182">
        <f t="shared" si="903"/>
        <v>16553305413.529999</v>
      </c>
      <c r="DR421" s="182">
        <f t="shared" si="903"/>
        <v>31150699</v>
      </c>
      <c r="DS421" s="182">
        <f t="shared" si="903"/>
        <v>8196763724.441576</v>
      </c>
      <c r="DT421" s="182">
        <f t="shared" si="903"/>
        <v>35998120214</v>
      </c>
      <c r="DU421" s="182">
        <f t="shared" si="903"/>
        <v>27006242062.41</v>
      </c>
      <c r="DV421" s="182">
        <f t="shared" si="903"/>
        <v>24572706574.809998</v>
      </c>
      <c r="DW421" s="182">
        <f t="shared" si="903"/>
        <v>163824173</v>
      </c>
      <c r="DX421" s="182">
        <f t="shared" si="903"/>
        <v>200000000</v>
      </c>
      <c r="DY421" s="182">
        <f t="shared" si="903"/>
        <v>47338786665</v>
      </c>
      <c r="DZ421" s="182">
        <f t="shared" si="903"/>
        <v>40703445071</v>
      </c>
      <c r="EA421" s="182">
        <f t="shared" si="903"/>
        <v>40420448254</v>
      </c>
      <c r="EB421" s="182">
        <f t="shared" si="903"/>
        <v>240595333.3793</v>
      </c>
      <c r="EC421" s="182">
        <f t="shared" si="903"/>
        <v>0</v>
      </c>
      <c r="ED421" s="182">
        <f t="shared" si="903"/>
        <v>0</v>
      </c>
      <c r="EE421" s="182">
        <f t="shared" si="903"/>
        <v>0</v>
      </c>
      <c r="EF421" s="182">
        <f t="shared" si="903"/>
        <v>2272403940.2722001</v>
      </c>
      <c r="EG421" s="182">
        <f t="shared" si="903"/>
        <v>2525108749</v>
      </c>
      <c r="EH421" s="182">
        <f t="shared" si="903"/>
        <v>2514716632</v>
      </c>
      <c r="EI421" s="182">
        <f t="shared" si="903"/>
        <v>2514716632</v>
      </c>
      <c r="EJ421" s="182">
        <f t="shared" si="903"/>
        <v>119779889797.90849</v>
      </c>
      <c r="EK421" s="182">
        <f t="shared" si="903"/>
        <v>135123325409.86</v>
      </c>
      <c r="EL421" s="182">
        <f t="shared" si="903"/>
        <v>134442565703.71001</v>
      </c>
      <c r="EM421" s="182">
        <f t="shared" si="903"/>
        <v>134371544331.71001</v>
      </c>
      <c r="EN421" s="182">
        <f t="shared" si="903"/>
        <v>11123939268.595118</v>
      </c>
      <c r="EO421" s="182">
        <f t="shared" si="903"/>
        <v>12475916796.07</v>
      </c>
      <c r="EP421" s="182">
        <f t="shared" si="903"/>
        <v>11641392865</v>
      </c>
      <c r="EQ421" s="182">
        <f t="shared" si="903"/>
        <v>10984392865</v>
      </c>
      <c r="ER421" s="182">
        <f t="shared" si="903"/>
        <v>42000000</v>
      </c>
      <c r="ES421" s="182">
        <f t="shared" si="903"/>
        <v>33654449896</v>
      </c>
      <c r="ET421" s="182">
        <f t="shared" si="903"/>
        <v>0</v>
      </c>
      <c r="EU421" s="182">
        <f t="shared" si="903"/>
        <v>0</v>
      </c>
      <c r="EV421" s="182">
        <f t="shared" si="903"/>
        <v>0</v>
      </c>
      <c r="EW421" s="182">
        <f t="shared" si="903"/>
        <v>227858721004.9617</v>
      </c>
      <c r="EX421" s="182">
        <f>EX363+EX322+EX95+EX35+EX10</f>
        <v>272274425880.43997</v>
      </c>
      <c r="EY421" s="182">
        <f t="shared" ref="EY421:GZ421" si="904">EY363+EY322+EY95+EY35+EY10</f>
        <v>244839230665.92999</v>
      </c>
      <c r="EZ421" s="182">
        <f t="shared" si="904"/>
        <v>233324167705.85995</v>
      </c>
      <c r="FA421" s="182">
        <f t="shared" si="904"/>
        <v>236974872</v>
      </c>
      <c r="FB421" s="182">
        <f t="shared" si="904"/>
        <v>10000000000</v>
      </c>
      <c r="FC421" s="182">
        <f t="shared" si="904"/>
        <v>23936150863</v>
      </c>
      <c r="FD421" s="182">
        <f t="shared" si="904"/>
        <v>1769218575</v>
      </c>
      <c r="FE421" s="182">
        <f t="shared" si="904"/>
        <v>884654981</v>
      </c>
      <c r="FF421" s="182">
        <f t="shared" si="904"/>
        <v>1727583726.8099999</v>
      </c>
      <c r="FG421" s="182">
        <f t="shared" si="904"/>
        <v>40735593529.225166</v>
      </c>
      <c r="FH421" s="182">
        <f t="shared" si="904"/>
        <v>33480492740.009998</v>
      </c>
      <c r="FI421" s="182">
        <f t="shared" si="904"/>
        <v>16016085729.555</v>
      </c>
      <c r="FJ421" s="182">
        <f t="shared" si="904"/>
        <v>9017975998.5</v>
      </c>
      <c r="FK421" s="182">
        <f t="shared" si="904"/>
        <v>1149624241.6900001</v>
      </c>
      <c r="FL421" s="182">
        <f t="shared" si="904"/>
        <v>7199072744.5355549</v>
      </c>
      <c r="FM421" s="182">
        <f t="shared" si="904"/>
        <v>34406746163</v>
      </c>
      <c r="FN421" s="182">
        <f t="shared" si="904"/>
        <v>15612490007.610001</v>
      </c>
      <c r="FO421" s="182">
        <f t="shared" si="904"/>
        <v>7991852316.7600002</v>
      </c>
      <c r="FP421" s="182">
        <f t="shared" si="904"/>
        <v>351961798.60000002</v>
      </c>
      <c r="FQ421" s="182">
        <f t="shared" si="904"/>
        <v>200000000</v>
      </c>
      <c r="FR421" s="182">
        <f t="shared" si="904"/>
        <v>43192721681.239998</v>
      </c>
      <c r="FS421" s="182">
        <f t="shared" si="904"/>
        <v>21469674607</v>
      </c>
      <c r="FT421" s="182">
        <f t="shared" si="904"/>
        <v>13733715587</v>
      </c>
      <c r="FU421" s="182">
        <f t="shared" si="904"/>
        <v>282879817</v>
      </c>
      <c r="FV421" s="182">
        <f t="shared" si="904"/>
        <v>247813193.38067901</v>
      </c>
      <c r="FW421" s="182">
        <f t="shared" si="904"/>
        <v>0</v>
      </c>
      <c r="FX421" s="182">
        <f t="shared" si="904"/>
        <v>0</v>
      </c>
      <c r="FY421" s="182">
        <f t="shared" si="904"/>
        <v>0</v>
      </c>
      <c r="FZ421" s="182">
        <f t="shared" si="904"/>
        <v>0</v>
      </c>
      <c r="GA421" s="182">
        <f t="shared" si="904"/>
        <v>2341576058.48</v>
      </c>
      <c r="GB421" s="182">
        <f t="shared" si="904"/>
        <v>2621226425</v>
      </c>
      <c r="GC421" s="182">
        <f t="shared" si="904"/>
        <v>2591680073</v>
      </c>
      <c r="GD421" s="182">
        <f t="shared" si="904"/>
        <v>0</v>
      </c>
      <c r="GE421" s="182">
        <f t="shared" si="904"/>
        <v>0</v>
      </c>
      <c r="GF421" s="182">
        <f t="shared" si="904"/>
        <v>123373286491.84402</v>
      </c>
      <c r="GG421" s="182">
        <f t="shared" si="904"/>
        <v>150197080865.14996</v>
      </c>
      <c r="GH421" s="182">
        <f t="shared" si="904"/>
        <v>59393184009</v>
      </c>
      <c r="GI421" s="182">
        <f t="shared" si="904"/>
        <v>57594927690</v>
      </c>
      <c r="GJ421" s="182">
        <f t="shared" si="904"/>
        <v>59349419</v>
      </c>
      <c r="GK421" s="182">
        <f t="shared" si="904"/>
        <v>11457657446.024429</v>
      </c>
      <c r="GL421" s="182">
        <f t="shared" si="904"/>
        <v>14691685021</v>
      </c>
      <c r="GM421" s="182">
        <f t="shared" si="904"/>
        <v>10796516529</v>
      </c>
      <c r="GN421" s="182">
        <f t="shared" si="904"/>
        <v>1920276091</v>
      </c>
      <c r="GO421" s="182">
        <f t="shared" si="904"/>
        <v>0</v>
      </c>
      <c r="GP421" s="182">
        <f t="shared" si="904"/>
        <v>34802379885</v>
      </c>
      <c r="GQ421" s="182">
        <f t="shared" si="904"/>
        <v>0</v>
      </c>
      <c r="GR421" s="182">
        <f t="shared" si="904"/>
        <v>0</v>
      </c>
      <c r="GS421" s="182">
        <f t="shared" si="904"/>
        <v>0</v>
      </c>
      <c r="GT421" s="182">
        <f t="shared" si="904"/>
        <v>0</v>
      </c>
      <c r="GU421" s="182">
        <f t="shared" si="904"/>
        <v>230357379348.48984</v>
      </c>
      <c r="GV421" s="182">
        <f t="shared" si="904"/>
        <v>302526103758.39996</v>
      </c>
      <c r="GW421" s="182">
        <f t="shared" si="904"/>
        <v>127648849530.16501</v>
      </c>
      <c r="GX421" s="182">
        <f t="shared" si="904"/>
        <v>91143402664.26001</v>
      </c>
      <c r="GY421" s="182">
        <f t="shared" si="904"/>
        <v>3571399003.0999999</v>
      </c>
      <c r="GZ421" s="182">
        <f t="shared" si="904"/>
        <v>906029112457.68982</v>
      </c>
    </row>
    <row r="422" spans="1:208" ht="24.75" customHeight="1" x14ac:dyDescent="0.2">
      <c r="A422" s="1057"/>
      <c r="B422" s="575"/>
      <c r="C422" s="576"/>
      <c r="D422" s="576"/>
      <c r="E422" s="577"/>
      <c r="F422" s="577"/>
      <c r="G422" s="578"/>
      <c r="H422" s="578"/>
      <c r="I422" s="578"/>
      <c r="J422" s="578"/>
      <c r="K422" s="578"/>
      <c r="L422" s="578"/>
      <c r="M422" s="578"/>
      <c r="N422" s="578"/>
      <c r="O422" s="578"/>
      <c r="P422" s="578"/>
      <c r="Q422" s="578"/>
      <c r="R422" s="578"/>
      <c r="S422" s="578"/>
      <c r="T422" s="578"/>
      <c r="U422" s="578"/>
      <c r="V422" s="578"/>
      <c r="W422" s="578"/>
      <c r="X422" s="578"/>
      <c r="Y422" s="652"/>
      <c r="Z422" s="578"/>
      <c r="AA422" s="578"/>
      <c r="AB422" s="578"/>
      <c r="AC422" s="578"/>
      <c r="AD422" s="578"/>
      <c r="AE422" s="578"/>
      <c r="AF422" s="578"/>
      <c r="AG422" s="578"/>
      <c r="AH422" s="578"/>
      <c r="AI422" s="578"/>
      <c r="AJ422" s="578"/>
      <c r="AK422" s="578"/>
      <c r="AL422" s="578"/>
      <c r="AM422" s="578"/>
      <c r="AN422" s="578"/>
      <c r="AO422" s="578"/>
      <c r="AP422" s="578"/>
      <c r="AQ422" s="578"/>
      <c r="AR422" s="578"/>
      <c r="AS422" s="578"/>
      <c r="AT422" s="578"/>
      <c r="AU422" s="578"/>
      <c r="AV422" s="578"/>
      <c r="AW422" s="578"/>
      <c r="AX422" s="578"/>
      <c r="AY422" s="578"/>
      <c r="AZ422" s="578"/>
      <c r="BA422" s="578"/>
      <c r="BB422" s="578"/>
      <c r="BC422" s="578"/>
      <c r="BD422" s="578"/>
      <c r="BE422" s="578"/>
      <c r="BF422" s="578"/>
      <c r="BG422" s="578"/>
      <c r="BH422" s="578"/>
      <c r="BI422" s="578"/>
      <c r="BJ422" s="578"/>
      <c r="BK422" s="578"/>
      <c r="BL422" s="578"/>
      <c r="BM422" s="578"/>
      <c r="BN422" s="578"/>
      <c r="BO422" s="578"/>
      <c r="BP422" s="578"/>
      <c r="BQ422" s="578"/>
      <c r="BR422" s="578"/>
      <c r="BS422" s="578"/>
      <c r="BT422" s="578"/>
      <c r="BU422" s="578"/>
      <c r="BV422" s="578"/>
      <c r="BW422" s="578"/>
      <c r="BX422" s="578"/>
      <c r="BY422" s="578"/>
      <c r="BZ422" s="578"/>
      <c r="CA422" s="578"/>
      <c r="CB422" s="578"/>
      <c r="CC422" s="578"/>
      <c r="CD422" s="578"/>
      <c r="CE422" s="578"/>
      <c r="CF422" s="578"/>
      <c r="CG422" s="578"/>
      <c r="CH422" s="578"/>
      <c r="CI422" s="578"/>
      <c r="CJ422" s="578"/>
      <c r="CK422" s="578"/>
      <c r="CL422" s="578"/>
      <c r="CM422" s="578"/>
      <c r="CN422" s="578"/>
      <c r="CO422" s="578"/>
      <c r="CP422" s="578"/>
      <c r="CQ422" s="578"/>
      <c r="CR422" s="578"/>
      <c r="CS422" s="578"/>
      <c r="CT422" s="578"/>
      <c r="CU422" s="578"/>
      <c r="CV422" s="578"/>
      <c r="CW422" s="578"/>
      <c r="CX422" s="578"/>
      <c r="CY422" s="578"/>
      <c r="CZ422" s="578"/>
      <c r="DA422" s="578"/>
      <c r="DB422" s="578"/>
      <c r="DC422" s="578"/>
      <c r="DD422" s="578"/>
      <c r="DE422" s="578"/>
      <c r="DF422" s="578"/>
      <c r="DG422" s="578"/>
      <c r="DH422" s="578"/>
      <c r="DI422" s="578"/>
      <c r="DJ422" s="578"/>
      <c r="DK422" s="578"/>
      <c r="DL422" s="578"/>
      <c r="DM422" s="578"/>
      <c r="DN422" s="578"/>
      <c r="DO422" s="578"/>
      <c r="DP422" s="578"/>
      <c r="DQ422" s="578"/>
      <c r="DR422" s="578"/>
      <c r="DS422" s="578"/>
      <c r="DT422" s="578"/>
      <c r="DU422" s="578"/>
      <c r="DV422" s="578"/>
      <c r="DW422" s="578"/>
      <c r="DX422" s="578"/>
      <c r="DY422" s="578"/>
      <c r="DZ422" s="578"/>
      <c r="EA422" s="578"/>
      <c r="EB422" s="578"/>
      <c r="EC422" s="578"/>
      <c r="ED422" s="578"/>
      <c r="EE422" s="578"/>
      <c r="EF422" s="578"/>
      <c r="EG422" s="578"/>
      <c r="EH422" s="578"/>
      <c r="EI422" s="578"/>
      <c r="EJ422" s="578"/>
      <c r="EK422" s="578"/>
      <c r="EL422" s="578"/>
      <c r="EM422" s="578"/>
      <c r="EN422" s="578"/>
      <c r="EO422" s="578"/>
      <c r="EP422" s="578"/>
      <c r="EQ422" s="578"/>
      <c r="ER422" s="578"/>
      <c r="ES422" s="578"/>
      <c r="ET422" s="578"/>
      <c r="EU422" s="578"/>
      <c r="EV422" s="578"/>
      <c r="EW422" s="578"/>
      <c r="EX422" s="202"/>
      <c r="EY422" s="578"/>
      <c r="EZ422" s="578"/>
      <c r="FA422" s="578"/>
      <c r="FB422" s="578"/>
      <c r="FC422" s="578"/>
      <c r="FD422" s="578"/>
      <c r="FE422" s="578"/>
      <c r="FF422" s="578"/>
      <c r="FG422" s="578"/>
      <c r="FH422" s="578"/>
      <c r="FI422" s="578"/>
      <c r="FJ422" s="578"/>
      <c r="FK422" s="578"/>
      <c r="FL422" s="578"/>
      <c r="FM422" s="578"/>
      <c r="FN422" s="578"/>
      <c r="FO422" s="578"/>
      <c r="FP422" s="578"/>
      <c r="FQ422" s="578"/>
      <c r="FR422" s="578"/>
      <c r="FS422" s="578"/>
      <c r="FT422" s="578"/>
      <c r="FU422" s="578"/>
      <c r="FV422" s="578"/>
      <c r="FW422" s="578"/>
      <c r="FX422" s="578"/>
      <c r="FY422" s="578"/>
      <c r="FZ422" s="578"/>
      <c r="GA422" s="578"/>
      <c r="GB422" s="578"/>
      <c r="GC422" s="578"/>
      <c r="GD422" s="578"/>
      <c r="GE422" s="578"/>
      <c r="GF422" s="578"/>
      <c r="GG422" s="578"/>
      <c r="GH422" s="578"/>
      <c r="GI422" s="578"/>
      <c r="GJ422" s="578"/>
      <c r="GK422" s="578"/>
      <c r="GL422" s="578"/>
      <c r="GM422" s="578"/>
      <c r="GN422" s="578"/>
      <c r="GO422" s="578"/>
      <c r="GP422" s="578"/>
      <c r="GQ422" s="578"/>
      <c r="GR422" s="578"/>
      <c r="GS422" s="578"/>
      <c r="GT422" s="578"/>
      <c r="GU422" s="578"/>
      <c r="GV422" s="578"/>
      <c r="GW422" s="578"/>
      <c r="GX422" s="578"/>
      <c r="GY422" s="578"/>
      <c r="GZ422" s="578"/>
    </row>
    <row r="423" spans="1:208" s="276" customFormat="1" ht="24.75" customHeight="1" x14ac:dyDescent="0.25">
      <c r="C423" s="454"/>
      <c r="G423" s="579"/>
      <c r="H423" s="580"/>
      <c r="I423" s="580"/>
      <c r="J423" s="579"/>
      <c r="K423" s="454"/>
      <c r="L423" s="581"/>
      <c r="M423" s="454"/>
      <c r="N423" s="454"/>
      <c r="O423" s="581"/>
      <c r="P423" s="582"/>
      <c r="Q423" s="454"/>
      <c r="R423" s="583"/>
      <c r="S423" s="582"/>
      <c r="T423" s="454"/>
      <c r="U423" s="454"/>
      <c r="V423" s="582"/>
      <c r="W423" s="454"/>
      <c r="X423" s="454"/>
      <c r="Y423" s="582"/>
      <c r="Z423" s="584"/>
      <c r="AA423" s="494"/>
      <c r="AB423" s="494"/>
      <c r="AC423" s="585"/>
      <c r="AD423" s="585"/>
      <c r="AE423" s="586"/>
      <c r="AF423" s="586"/>
      <c r="AG423" s="587"/>
      <c r="AH423" s="587"/>
      <c r="AI423" s="585"/>
      <c r="AJ423" s="585"/>
      <c r="AK423" s="93"/>
      <c r="AL423" s="93"/>
      <c r="AM423" s="93"/>
      <c r="AN423" s="93"/>
      <c r="AO423" s="585"/>
      <c r="AP423" s="585"/>
      <c r="AQ423" s="585"/>
      <c r="AR423" s="585"/>
      <c r="AS423" s="585"/>
      <c r="AT423" s="585"/>
      <c r="AU423" s="586"/>
      <c r="AV423" s="586"/>
      <c r="AW423" s="585"/>
      <c r="AX423" s="585"/>
      <c r="AY423" s="585"/>
      <c r="AZ423" s="585"/>
      <c r="BA423" s="585"/>
      <c r="BB423" s="585"/>
      <c r="BC423" s="585"/>
      <c r="BD423" s="585"/>
      <c r="BE423" s="585"/>
      <c r="BF423" s="585"/>
      <c r="BG423" s="586"/>
      <c r="BH423" s="586"/>
      <c r="BI423" s="585"/>
      <c r="BJ423" s="588"/>
      <c r="BK423" s="585"/>
      <c r="BL423" s="585"/>
      <c r="BM423" s="589"/>
      <c r="BN423" s="589"/>
      <c r="BO423" s="589"/>
      <c r="BP423" s="589"/>
      <c r="BQ423" s="590"/>
      <c r="BR423" s="590"/>
      <c r="BS423" s="590"/>
      <c r="BT423" s="590"/>
      <c r="BU423" s="590"/>
      <c r="BV423" s="590"/>
      <c r="BW423" s="590"/>
      <c r="BX423" s="590"/>
      <c r="BY423" s="590"/>
      <c r="BZ423" s="590"/>
      <c r="CA423" s="590"/>
      <c r="CB423" s="590"/>
      <c r="CC423" s="590"/>
      <c r="CD423" s="590"/>
      <c r="CE423" s="590"/>
      <c r="CF423" s="590"/>
      <c r="CG423" s="590"/>
      <c r="CH423" s="590"/>
      <c r="CI423" s="590"/>
      <c r="CJ423" s="590"/>
      <c r="CK423" s="590"/>
      <c r="CL423" s="590"/>
      <c r="CM423" s="590"/>
      <c r="CN423" s="590"/>
      <c r="CO423" s="590"/>
      <c r="CP423" s="590"/>
      <c r="CQ423" s="590"/>
      <c r="CR423" s="590"/>
      <c r="CS423" s="590"/>
      <c r="CT423" s="590"/>
      <c r="CU423" s="590"/>
      <c r="CV423" s="590"/>
      <c r="CW423" s="590"/>
      <c r="CX423" s="590"/>
      <c r="CY423" s="590"/>
      <c r="CZ423" s="590"/>
      <c r="DA423" s="590"/>
      <c r="DB423" s="590"/>
      <c r="DC423" s="590"/>
      <c r="DD423" s="590"/>
      <c r="DF423" s="591"/>
      <c r="DG423" s="591"/>
      <c r="DH423" s="591"/>
      <c r="DI423" s="591"/>
      <c r="DJ423" s="590"/>
      <c r="DK423" s="590"/>
      <c r="DL423" s="590"/>
      <c r="DM423" s="590"/>
      <c r="DN423" s="590"/>
      <c r="DO423" s="590"/>
      <c r="DP423" s="590"/>
      <c r="DQ423" s="590"/>
      <c r="DR423" s="590"/>
      <c r="DS423" s="590"/>
      <c r="DT423" s="590"/>
      <c r="DU423" s="590"/>
      <c r="DV423" s="590"/>
      <c r="DW423" s="590"/>
      <c r="DX423" s="590"/>
      <c r="DY423" s="590"/>
      <c r="DZ423" s="590"/>
      <c r="EA423" s="590"/>
      <c r="EB423" s="590"/>
      <c r="EC423" s="590"/>
      <c r="ED423" s="590"/>
      <c r="EE423" s="590"/>
      <c r="EF423" s="590"/>
      <c r="EG423" s="590"/>
      <c r="EH423" s="590"/>
      <c r="EI423" s="590"/>
      <c r="EJ423" s="590"/>
      <c r="EK423" s="590"/>
      <c r="EL423" s="590"/>
      <c r="EM423" s="590"/>
      <c r="EN423" s="590"/>
      <c r="EO423" s="590"/>
      <c r="EP423" s="590"/>
      <c r="EQ423" s="590"/>
      <c r="ER423" s="590"/>
      <c r="ES423" s="590"/>
      <c r="ET423" s="590"/>
      <c r="EU423" s="590"/>
      <c r="EV423" s="590"/>
      <c r="EW423" s="590"/>
      <c r="EX423" s="590"/>
      <c r="EY423" s="590"/>
      <c r="EZ423" s="590"/>
      <c r="FA423" s="590"/>
      <c r="FB423" s="590"/>
      <c r="FC423" s="590"/>
      <c r="FD423" s="590"/>
      <c r="FE423" s="590"/>
      <c r="FF423" s="590"/>
      <c r="FG423" s="590"/>
      <c r="FH423" s="590"/>
      <c r="FI423" s="590"/>
      <c r="FJ423" s="590"/>
      <c r="FK423" s="590"/>
      <c r="FL423" s="590"/>
      <c r="FM423" s="590"/>
      <c r="FN423" s="590"/>
      <c r="FO423" s="590"/>
      <c r="FP423" s="590"/>
      <c r="FQ423" s="590"/>
      <c r="FR423" s="590"/>
      <c r="FS423" s="590"/>
      <c r="FT423" s="590"/>
      <c r="FU423" s="590"/>
      <c r="FV423" s="590"/>
      <c r="FW423" s="590"/>
      <c r="FX423" s="590"/>
      <c r="FY423" s="590"/>
      <c r="FZ423" s="590"/>
      <c r="GA423" s="590"/>
      <c r="GB423" s="590"/>
      <c r="GC423" s="590"/>
      <c r="GD423" s="590"/>
      <c r="GE423" s="590"/>
      <c r="GF423" s="590"/>
      <c r="GG423" s="590"/>
      <c r="GH423" s="590"/>
      <c r="GI423" s="590"/>
      <c r="GJ423" s="590"/>
      <c r="GK423" s="590"/>
      <c r="GL423" s="590"/>
      <c r="GM423" s="590"/>
      <c r="GN423" s="590"/>
      <c r="GO423" s="590"/>
      <c r="GP423" s="590"/>
      <c r="GQ423" s="590"/>
      <c r="GR423" s="590"/>
      <c r="GS423" s="590"/>
      <c r="GT423" s="590"/>
      <c r="GU423" s="590"/>
      <c r="GV423" s="590"/>
      <c r="GW423" s="590"/>
      <c r="GX423" s="590"/>
      <c r="GY423" s="668"/>
      <c r="GZ423" s="593"/>
    </row>
    <row r="424" spans="1:208" s="276" customFormat="1" ht="27.75" customHeight="1" x14ac:dyDescent="0.25">
      <c r="C424" s="454"/>
      <c r="G424" s="579"/>
      <c r="H424" s="580"/>
      <c r="I424" s="580"/>
      <c r="J424" s="579"/>
      <c r="K424" s="454"/>
      <c r="L424" s="581"/>
      <c r="M424" s="454"/>
      <c r="N424" s="454"/>
      <c r="O424" s="581"/>
      <c r="P424" s="582"/>
      <c r="Q424" s="454"/>
      <c r="R424" s="583"/>
      <c r="S424" s="582"/>
      <c r="T424" s="454"/>
      <c r="U424" s="454"/>
      <c r="V424" s="582"/>
      <c r="W424" s="454"/>
      <c r="X424" s="454"/>
      <c r="Y424" s="582"/>
      <c r="Z424" s="584"/>
      <c r="AA424" s="494"/>
      <c r="AB424" s="494"/>
      <c r="AC424" s="585"/>
      <c r="AD424" s="585"/>
      <c r="AE424" s="586"/>
      <c r="AF424" s="586"/>
      <c r="AG424" s="587"/>
      <c r="AH424" s="587"/>
      <c r="AI424" s="585"/>
      <c r="AJ424" s="585"/>
      <c r="AK424" s="93"/>
      <c r="AL424" s="93"/>
      <c r="AM424" s="93"/>
      <c r="AN424" s="93"/>
      <c r="AO424" s="585"/>
      <c r="AP424" s="585"/>
      <c r="AQ424" s="585"/>
      <c r="AR424" s="585"/>
      <c r="AS424" s="585"/>
      <c r="AT424" s="585"/>
      <c r="AU424" s="586"/>
      <c r="AV424" s="586"/>
      <c r="AW424" s="585"/>
      <c r="AX424" s="585"/>
      <c r="AY424" s="585"/>
      <c r="AZ424" s="585"/>
      <c r="BA424" s="585"/>
      <c r="BB424" s="585"/>
      <c r="BC424" s="585"/>
      <c r="BD424" s="585"/>
      <c r="BE424" s="585"/>
      <c r="BF424" s="585"/>
      <c r="BG424" s="586"/>
      <c r="BH424" s="586"/>
      <c r="BI424" s="585"/>
      <c r="BJ424" s="588"/>
      <c r="BK424" s="585"/>
      <c r="BL424" s="585"/>
      <c r="BM424" s="589"/>
      <c r="BN424" s="589"/>
      <c r="BO424" s="589"/>
      <c r="BP424" s="589"/>
      <c r="BQ424" s="590"/>
      <c r="BR424" s="590"/>
      <c r="BS424" s="590"/>
      <c r="BT424" s="590"/>
      <c r="BU424" s="590"/>
      <c r="BV424" s="590"/>
      <c r="BW424" s="590"/>
      <c r="BX424" s="590"/>
      <c r="BY424" s="590"/>
      <c r="BZ424" s="590"/>
      <c r="CA424" s="590"/>
      <c r="CB424" s="590"/>
      <c r="CC424" s="590"/>
      <c r="CD424" s="590"/>
      <c r="CE424" s="590"/>
      <c r="CF424" s="590"/>
      <c r="CG424" s="590"/>
      <c r="CH424" s="590"/>
      <c r="CI424" s="590"/>
      <c r="CJ424" s="590"/>
      <c r="CK424" s="590"/>
      <c r="CL424" s="590"/>
      <c r="CM424" s="590"/>
      <c r="CN424" s="590"/>
      <c r="CO424" s="590"/>
      <c r="CP424" s="590"/>
      <c r="CQ424" s="590"/>
      <c r="CR424" s="590"/>
      <c r="CS424" s="590"/>
      <c r="CT424" s="590"/>
      <c r="CU424" s="590"/>
      <c r="CV424" s="590"/>
      <c r="CW424" s="590"/>
      <c r="CX424" s="590"/>
      <c r="CY424" s="590"/>
      <c r="CZ424" s="590"/>
      <c r="DA424" s="590"/>
      <c r="DB424" s="590"/>
      <c r="DC424" s="590"/>
      <c r="DD424" s="590"/>
      <c r="DF424" s="594"/>
      <c r="DG424" s="594"/>
      <c r="DH424" s="594"/>
      <c r="DI424" s="594"/>
      <c r="DJ424" s="590"/>
      <c r="DK424" s="590"/>
      <c r="DL424" s="590"/>
      <c r="DM424" s="590"/>
      <c r="DN424" s="590"/>
      <c r="DO424" s="590"/>
      <c r="DP424" s="590"/>
      <c r="DQ424" s="590"/>
      <c r="DR424" s="590"/>
      <c r="DS424" s="590"/>
      <c r="DT424" s="590"/>
      <c r="DU424" s="590"/>
      <c r="DV424" s="590"/>
      <c r="DW424" s="590"/>
      <c r="DX424" s="590"/>
      <c r="DY424" s="590"/>
      <c r="DZ424" s="590"/>
      <c r="EA424" s="590"/>
      <c r="EB424" s="590"/>
      <c r="EC424" s="590"/>
      <c r="ED424" s="590"/>
      <c r="EE424" s="590"/>
      <c r="EF424" s="590"/>
      <c r="EG424" s="590"/>
      <c r="EH424" s="590"/>
      <c r="EI424" s="590"/>
      <c r="EJ424" s="590"/>
      <c r="EK424" s="590"/>
      <c r="EL424" s="590"/>
      <c r="EM424" s="590"/>
      <c r="EN424" s="590"/>
      <c r="EO424" s="590"/>
      <c r="EP424" s="590"/>
      <c r="EQ424" s="590"/>
      <c r="ER424" s="590"/>
      <c r="ES424" s="590"/>
      <c r="ET424" s="590"/>
      <c r="EU424" s="590"/>
      <c r="EV424" s="590"/>
      <c r="EW424" s="590"/>
      <c r="EX424" s="592"/>
      <c r="EY424" s="595"/>
      <c r="EZ424" s="595"/>
      <c r="FA424" s="590"/>
      <c r="FB424" s="203"/>
      <c r="FC424" s="203"/>
      <c r="FD424" s="203"/>
      <c r="FE424" s="203"/>
      <c r="FF424" s="203"/>
      <c r="FG424" s="203"/>
      <c r="FH424" s="203"/>
      <c r="FI424" s="203"/>
      <c r="FJ424" s="203"/>
      <c r="FK424" s="203"/>
      <c r="FL424" s="203"/>
      <c r="FM424" s="203"/>
      <c r="FN424" s="203"/>
      <c r="FO424" s="203"/>
      <c r="FP424" s="203"/>
      <c r="FQ424" s="203"/>
      <c r="FR424" s="203"/>
      <c r="FS424" s="203"/>
      <c r="FT424" s="203"/>
      <c r="FU424" s="203"/>
      <c r="FV424" s="203"/>
      <c r="FW424" s="203"/>
      <c r="FX424" s="203"/>
      <c r="FY424" s="203"/>
      <c r="FZ424" s="203"/>
      <c r="GA424" s="203"/>
      <c r="GB424" s="203"/>
      <c r="GC424" s="203"/>
      <c r="GD424" s="203"/>
      <c r="GE424" s="203"/>
      <c r="GF424" s="203"/>
      <c r="GG424" s="203"/>
      <c r="GH424" s="203"/>
      <c r="GI424" s="203"/>
      <c r="GJ424" s="203"/>
      <c r="GK424" s="203"/>
      <c r="GL424" s="203"/>
      <c r="GM424" s="203"/>
      <c r="GN424" s="203"/>
      <c r="GO424" s="203"/>
      <c r="GP424" s="203"/>
      <c r="GQ424" s="203"/>
      <c r="GR424" s="203"/>
      <c r="GS424" s="203"/>
      <c r="GT424" s="203"/>
      <c r="GU424" s="203"/>
      <c r="GV424" s="596"/>
      <c r="GW424" s="596"/>
      <c r="GX424" s="596"/>
      <c r="GY424" s="674"/>
      <c r="GZ424" s="593"/>
    </row>
  </sheetData>
  <sheetProtection password="CBEB" sheet="1" objects="1" scenarios="1"/>
  <mergeCells count="83">
    <mergeCell ref="AC6:BP6"/>
    <mergeCell ref="CV7:CZ7"/>
    <mergeCell ref="FB7:FF7"/>
    <mergeCell ref="D59:D60"/>
    <mergeCell ref="A1:GP2"/>
    <mergeCell ref="A3:GP5"/>
    <mergeCell ref="D6:AB6"/>
    <mergeCell ref="DJ7:DM7"/>
    <mergeCell ref="CI7:CL7"/>
    <mergeCell ref="CM7:CP7"/>
    <mergeCell ref="A7:C7"/>
    <mergeCell ref="AB7:AB8"/>
    <mergeCell ref="Z7:Z8"/>
    <mergeCell ref="CE7:CH7"/>
    <mergeCell ref="ES7:EV7"/>
    <mergeCell ref="DX7:EA7"/>
    <mergeCell ref="EB7:EE7"/>
    <mergeCell ref="BU7:BY7"/>
    <mergeCell ref="BZ7:CD7"/>
    <mergeCell ref="CQ7:CU7"/>
    <mergeCell ref="DN7:DQ7"/>
    <mergeCell ref="Q7:S7"/>
    <mergeCell ref="M7:M8"/>
    <mergeCell ref="EN7:ER7"/>
    <mergeCell ref="EJ7:EM7"/>
    <mergeCell ref="T7:V7"/>
    <mergeCell ref="D121:D123"/>
    <mergeCell ref="D118:D119"/>
    <mergeCell ref="DE7:DH7"/>
    <mergeCell ref="DA7:DD7"/>
    <mergeCell ref="N7:N8"/>
    <mergeCell ref="BM7:BP7"/>
    <mergeCell ref="D160:D161"/>
    <mergeCell ref="D302:D303"/>
    <mergeCell ref="D227:D228"/>
    <mergeCell ref="E227:E228"/>
    <mergeCell ref="F227:F228"/>
    <mergeCell ref="D218:D219"/>
    <mergeCell ref="E218:E219"/>
    <mergeCell ref="F218:F219"/>
    <mergeCell ref="BI7:BL7"/>
    <mergeCell ref="AA7:AA8"/>
    <mergeCell ref="AW7:AZ7"/>
    <mergeCell ref="D7:D8"/>
    <mergeCell ref="E7:E8"/>
    <mergeCell ref="F7:F8"/>
    <mergeCell ref="D65:D66"/>
    <mergeCell ref="O7:P7"/>
    <mergeCell ref="L7:L8"/>
    <mergeCell ref="D75:D76"/>
    <mergeCell ref="D112:D113"/>
    <mergeCell ref="BA7:BD7"/>
    <mergeCell ref="FB6:GU6"/>
    <mergeCell ref="BQ7:BT7"/>
    <mergeCell ref="D14:D15"/>
    <mergeCell ref="G7:H8"/>
    <mergeCell ref="I7:I8"/>
    <mergeCell ref="J7:J8"/>
    <mergeCell ref="K7:K8"/>
    <mergeCell ref="AO7:AR7"/>
    <mergeCell ref="EF7:EI7"/>
    <mergeCell ref="DS7:DV7"/>
    <mergeCell ref="EW7:EZ7"/>
    <mergeCell ref="DJ6:EZ6"/>
    <mergeCell ref="D309:D311"/>
    <mergeCell ref="D114:D115"/>
    <mergeCell ref="GZ6:GZ7"/>
    <mergeCell ref="BE7:BH7"/>
    <mergeCell ref="AS7:AV7"/>
    <mergeCell ref="AK7:AN7"/>
    <mergeCell ref="W7:Y7"/>
    <mergeCell ref="AC7:AF7"/>
    <mergeCell ref="AG7:AJ7"/>
    <mergeCell ref="FV7:FZ7"/>
    <mergeCell ref="GA7:GE7"/>
    <mergeCell ref="GF7:GJ7"/>
    <mergeCell ref="GK7:GO7"/>
    <mergeCell ref="GP7:GT7"/>
    <mergeCell ref="GU7:GY7"/>
    <mergeCell ref="FL7:FO7"/>
    <mergeCell ref="FG7:FK7"/>
    <mergeCell ref="FQ7:FU7"/>
    <mergeCell ref="BQ6:DI6"/>
  </mergeCells>
  <conditionalFormatting sqref="Z23">
    <cfRule type="cellIs" dxfId="209" priority="141" operator="between">
      <formula>0</formula>
      <formula>0.39</formula>
    </cfRule>
    <cfRule type="cellIs" dxfId="208" priority="142" operator="between">
      <formula>0.4</formula>
      <formula>0.59</formula>
    </cfRule>
    <cfRule type="cellIs" dxfId="207" priority="143" operator="between">
      <formula>0.6</formula>
      <formula>0.69</formula>
    </cfRule>
    <cfRule type="cellIs" dxfId="206" priority="144" operator="between">
      <formula>0.7</formula>
      <formula>0.79</formula>
    </cfRule>
    <cfRule type="cellIs" dxfId="205" priority="145" operator="greaterThanOrEqual">
      <formula>0.8</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39"/>
  <sheetViews>
    <sheetView showGridLines="0" zoomScale="90" zoomScaleNormal="90" workbookViewId="0"/>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786" t="s">
        <v>992</v>
      </c>
      <c r="C1" s="786"/>
      <c r="D1" s="786"/>
      <c r="E1" s="786"/>
      <c r="F1" s="786"/>
      <c r="G1" s="786"/>
      <c r="H1" s="786"/>
      <c r="I1" s="786"/>
      <c r="J1" s="786"/>
    </row>
    <row r="3" spans="2:133" ht="93" customHeight="1" x14ac:dyDescent="0.25">
      <c r="B3" s="3" t="s">
        <v>924</v>
      </c>
      <c r="C3" s="3" t="s">
        <v>925</v>
      </c>
      <c r="D3" s="3" t="s">
        <v>926</v>
      </c>
      <c r="E3" s="4" t="s">
        <v>927</v>
      </c>
      <c r="F3" s="3" t="s">
        <v>928</v>
      </c>
      <c r="G3" s="4" t="s">
        <v>929</v>
      </c>
      <c r="H3" s="3" t="s">
        <v>930</v>
      </c>
      <c r="I3" s="4" t="s">
        <v>931</v>
      </c>
      <c r="J3" s="15" t="s">
        <v>932</v>
      </c>
      <c r="K3" s="15" t="s">
        <v>983</v>
      </c>
    </row>
    <row r="4" spans="2:133" ht="21.75" customHeight="1" x14ac:dyDescent="0.25">
      <c r="B4" s="1">
        <v>1</v>
      </c>
      <c r="C4" s="6" t="s">
        <v>933</v>
      </c>
      <c r="D4" s="21">
        <f>'SGTO P. INDICATIVO'!GV10</f>
        <v>7045793050</v>
      </c>
      <c r="E4" s="9">
        <v>1</v>
      </c>
      <c r="F4" s="21">
        <f>'SGTO P. INDICATIVO'!GW10</f>
        <v>3383870991</v>
      </c>
      <c r="G4" s="14">
        <f>F4/D4</f>
        <v>0.48026829158713369</v>
      </c>
      <c r="H4" s="21">
        <f>'SGTO P. INDICATIVO'!GX10</f>
        <v>221551200</v>
      </c>
      <c r="I4" s="14">
        <f t="shared" ref="I4:I9" si="0">H4/F4</f>
        <v>6.5472708796893972E-2</v>
      </c>
      <c r="J4" s="118">
        <f t="shared" ref="J4:J9" si="1">F4/D4</f>
        <v>0.48026829158713369</v>
      </c>
      <c r="K4" s="118">
        <f>H4/D4</f>
        <v>3.144446599946616E-2</v>
      </c>
    </row>
    <row r="5" spans="2:133" ht="21.75" customHeight="1" x14ac:dyDescent="0.25">
      <c r="B5" s="1">
        <v>2</v>
      </c>
      <c r="C5" s="6" t="s">
        <v>934</v>
      </c>
      <c r="D5" s="21">
        <f>'SGTO P. INDICATIVO'!GV35</f>
        <v>35584261198</v>
      </c>
      <c r="E5" s="9">
        <v>1</v>
      </c>
      <c r="F5" s="21">
        <f>'SGTO P. INDICATIVO'!GW35</f>
        <v>7319877168.5050001</v>
      </c>
      <c r="G5" s="14">
        <f>F5/D5</f>
        <v>0.20570546983609739</v>
      </c>
      <c r="H5" s="21">
        <f>'SGTO P. INDICATIVO'!GX35</f>
        <v>3629210558.5599999</v>
      </c>
      <c r="I5" s="14">
        <f t="shared" si="0"/>
        <v>0.49580211184079526</v>
      </c>
      <c r="J5" s="118">
        <f t="shared" si="1"/>
        <v>0.20570546983609739</v>
      </c>
      <c r="K5" s="118">
        <f t="shared" ref="K5:K9" si="2">H5/D5</f>
        <v>0.1019892063619401</v>
      </c>
    </row>
    <row r="6" spans="2:133" ht="21.75" customHeight="1" x14ac:dyDescent="0.25">
      <c r="B6" s="1">
        <v>3</v>
      </c>
      <c r="C6" s="6" t="s">
        <v>935</v>
      </c>
      <c r="D6" s="21">
        <f>'SGTO P. INDICATIVO'!GV95</f>
        <v>237677114464.39996</v>
      </c>
      <c r="E6" s="9">
        <v>1</v>
      </c>
      <c r="F6" s="21">
        <f>'SGTO P. INDICATIVO'!GW95</f>
        <v>108836034059.66</v>
      </c>
      <c r="G6" s="14">
        <f>F6/D6</f>
        <v>0.45791549726998143</v>
      </c>
      <c r="H6" s="21">
        <f>'SGTO P. INDICATIVO'!GX95</f>
        <v>83324279285.950012</v>
      </c>
      <c r="I6" s="14">
        <f t="shared" si="0"/>
        <v>0.76559459379303219</v>
      </c>
      <c r="J6" s="118">
        <f t="shared" si="1"/>
        <v>0.45791549726998143</v>
      </c>
      <c r="K6" s="118">
        <f t="shared" si="2"/>
        <v>0.35057762912394574</v>
      </c>
    </row>
    <row r="7" spans="2:133" ht="21.75" customHeight="1" x14ac:dyDescent="0.25">
      <c r="B7" s="1">
        <v>4</v>
      </c>
      <c r="C7" s="6" t="s">
        <v>936</v>
      </c>
      <c r="D7" s="21">
        <f>'SGTO P. INDICATIVO'!GV322</f>
        <v>9579252550</v>
      </c>
      <c r="E7" s="9">
        <v>1</v>
      </c>
      <c r="F7" s="21">
        <f>'SGTO P. INDICATIVO'!GW322</f>
        <v>2534990084</v>
      </c>
      <c r="G7" s="14">
        <f>F7/D7</f>
        <v>0.26463339083799392</v>
      </c>
      <c r="H7" s="21">
        <f>'SGTO P. INDICATIVO'!GX322</f>
        <v>935550340</v>
      </c>
      <c r="I7" s="14">
        <f t="shared" si="0"/>
        <v>0.3690548321687242</v>
      </c>
      <c r="J7" s="118">
        <f t="shared" si="1"/>
        <v>0.26463339083799392</v>
      </c>
      <c r="K7" s="118">
        <f t="shared" si="2"/>
        <v>9.7664231641956242E-2</v>
      </c>
      <c r="EC7" s="36"/>
    </row>
    <row r="8" spans="2:133" ht="21.75" customHeight="1" x14ac:dyDescent="0.25">
      <c r="B8" s="1">
        <v>5</v>
      </c>
      <c r="C8" s="6" t="s">
        <v>937</v>
      </c>
      <c r="D8" s="21">
        <f>'SGTO P. INDICATIVO'!GV363</f>
        <v>12639682496</v>
      </c>
      <c r="E8" s="9">
        <v>1</v>
      </c>
      <c r="F8" s="21">
        <f>'SGTO P. INDICATIVO'!GW363</f>
        <v>5574077227</v>
      </c>
      <c r="G8" s="14">
        <f>F8/D8</f>
        <v>0.44099819981743948</v>
      </c>
      <c r="H8" s="21">
        <f>'SGTO P. INDICATIVO'!GX363</f>
        <v>3032811279.75</v>
      </c>
      <c r="I8" s="14">
        <f t="shared" si="0"/>
        <v>0.54409208129724396</v>
      </c>
      <c r="J8" s="118">
        <f t="shared" si="1"/>
        <v>0.44099819981743948</v>
      </c>
      <c r="K8" s="118">
        <f t="shared" si="2"/>
        <v>0.2399436283870085</v>
      </c>
      <c r="EC8" s="36"/>
    </row>
    <row r="9" spans="2:133" x14ac:dyDescent="0.25">
      <c r="B9" s="17"/>
      <c r="C9" s="17" t="s">
        <v>938</v>
      </c>
      <c r="D9" s="22">
        <f>SUM(D4:D8)</f>
        <v>302526103758.39996</v>
      </c>
      <c r="E9" s="18">
        <v>1</v>
      </c>
      <c r="F9" s="22">
        <f>SUM(F4:F8)</f>
        <v>127648849530.16501</v>
      </c>
      <c r="G9" s="19">
        <f>+F9/D9</f>
        <v>0.42194325694323065</v>
      </c>
      <c r="H9" s="22">
        <f>SUM(H4:H8)</f>
        <v>91143402664.26001</v>
      </c>
      <c r="I9" s="20">
        <f t="shared" si="0"/>
        <v>0.71401664017913213</v>
      </c>
      <c r="J9" s="118">
        <f t="shared" si="1"/>
        <v>0.42194325694323065</v>
      </c>
      <c r="K9" s="118">
        <f t="shared" si="2"/>
        <v>0.30127450666884581</v>
      </c>
    </row>
    <row r="10" spans="2:133" x14ac:dyDescent="0.25">
      <c r="C10" s="5"/>
      <c r="D10" s="40"/>
      <c r="E10" s="40"/>
      <c r="F10" s="40"/>
      <c r="G10" s="40"/>
      <c r="H10" s="40"/>
    </row>
    <row r="11" spans="2:133" x14ac:dyDescent="0.25">
      <c r="C11" s="34"/>
    </row>
    <row r="172" spans="108:132" x14ac:dyDescent="0.25">
      <c r="DD172" s="38"/>
      <c r="DE172" s="38"/>
      <c r="DF172" s="38"/>
      <c r="DG172" s="38"/>
      <c r="DQ172" s="38"/>
      <c r="EA172" s="38"/>
      <c r="EB172" s="38"/>
    </row>
    <row r="208" spans="88:90" x14ac:dyDescent="0.25">
      <c r="CJ208">
        <v>238136825</v>
      </c>
      <c r="CK208" s="116">
        <v>12710390</v>
      </c>
      <c r="CL208" s="116">
        <v>12710390</v>
      </c>
    </row>
    <row r="210" spans="80:90" x14ac:dyDescent="0.25">
      <c r="CJ210">
        <v>169295280</v>
      </c>
      <c r="CK210" s="116">
        <v>144673600</v>
      </c>
      <c r="CL210" s="116">
        <v>144673600</v>
      </c>
    </row>
    <row r="218" spans="80:90" x14ac:dyDescent="0.25">
      <c r="CF218">
        <v>100000000</v>
      </c>
      <c r="CG218">
        <v>90400614</v>
      </c>
      <c r="CH218">
        <v>90400614</v>
      </c>
    </row>
    <row r="220" spans="80:90" x14ac:dyDescent="0.25">
      <c r="CB220">
        <v>655342908</v>
      </c>
      <c r="CJ220">
        <v>719782544.13</v>
      </c>
      <c r="CK220">
        <v>338985315</v>
      </c>
      <c r="CL220">
        <v>278985315</v>
      </c>
    </row>
    <row r="224" spans="80:90" x14ac:dyDescent="0.25">
      <c r="CF224">
        <v>19440000</v>
      </c>
      <c r="CG224">
        <v>19439999.670000002</v>
      </c>
      <c r="CH224">
        <v>11413333</v>
      </c>
    </row>
    <row r="232" spans="88:104" x14ac:dyDescent="0.25">
      <c r="CZ232">
        <v>279309844</v>
      </c>
    </row>
    <row r="237" spans="88:104" x14ac:dyDescent="0.25">
      <c r="CJ237">
        <v>15844597469</v>
      </c>
      <c r="CK237" s="116">
        <v>15516775294.75</v>
      </c>
      <c r="CL237" s="116">
        <v>15516775294.75</v>
      </c>
    </row>
    <row r="243" spans="80:128" x14ac:dyDescent="0.25">
      <c r="CB243">
        <v>8177253080</v>
      </c>
      <c r="CC243" s="116">
        <v>8108995941</v>
      </c>
      <c r="CD243" s="116">
        <v>8108995941</v>
      </c>
      <c r="CF243">
        <v>600000000</v>
      </c>
      <c r="CG243">
        <v>600000000</v>
      </c>
      <c r="CH243">
        <v>600000000</v>
      </c>
      <c r="CJ243">
        <v>5107044005</v>
      </c>
      <c r="CK243" s="116">
        <v>4102731729</v>
      </c>
      <c r="CL243" s="116">
        <v>4045688729</v>
      </c>
    </row>
    <row r="247" spans="80:128" x14ac:dyDescent="0.25">
      <c r="DX247" s="37"/>
    </row>
    <row r="248" spans="80:128" x14ac:dyDescent="0.25">
      <c r="CJ248">
        <v>39484444</v>
      </c>
      <c r="CK248">
        <v>1900000</v>
      </c>
      <c r="CL248">
        <v>1900000</v>
      </c>
    </row>
    <row r="250" spans="80:128" x14ac:dyDescent="0.25">
      <c r="CG250">
        <v>108085124</v>
      </c>
      <c r="CH250">
        <v>93085034</v>
      </c>
    </row>
    <row r="252" spans="80:128" x14ac:dyDescent="0.25">
      <c r="CJ252">
        <v>35436120</v>
      </c>
      <c r="CK252">
        <v>19566667</v>
      </c>
      <c r="CL252">
        <v>19566667</v>
      </c>
    </row>
    <row r="255" spans="80:128" x14ac:dyDescent="0.25">
      <c r="CJ255">
        <v>23817720</v>
      </c>
      <c r="CK255">
        <v>21000000</v>
      </c>
      <c r="CL255">
        <v>21000000</v>
      </c>
    </row>
    <row r="260" spans="88:90" x14ac:dyDescent="0.25">
      <c r="CJ260">
        <v>129545160</v>
      </c>
      <c r="CK260">
        <v>119632000</v>
      </c>
      <c r="CL260">
        <v>119632000</v>
      </c>
    </row>
    <row r="330" spans="132:132" x14ac:dyDescent="0.25">
      <c r="EB330" s="787"/>
    </row>
    <row r="331" spans="132:132" x14ac:dyDescent="0.25">
      <c r="EB331" s="787"/>
    </row>
    <row r="427" spans="18:132" x14ac:dyDescent="0.25">
      <c r="DF427">
        <f>DF369+DF327+DF95+DF35+DF10</f>
        <v>0</v>
      </c>
    </row>
    <row r="428" spans="18:132" x14ac:dyDescent="0.25">
      <c r="DE428">
        <f>DE427-DE434</f>
        <v>0</v>
      </c>
      <c r="DF428">
        <f>DF427-DF434</f>
        <v>0</v>
      </c>
      <c r="EB428" s="39"/>
    </row>
    <row r="429" spans="18:132" x14ac:dyDescent="0.25">
      <c r="EB429">
        <f>EB428-EB427</f>
        <v>0</v>
      </c>
    </row>
    <row r="431" spans="18:132" x14ac:dyDescent="0.25">
      <c r="R431" s="35"/>
      <c r="S431" s="35"/>
      <c r="T431" s="35"/>
      <c r="U431" s="35"/>
      <c r="V431" s="35"/>
      <c r="W431" s="35"/>
      <c r="X431" s="35"/>
      <c r="Y431" s="35"/>
    </row>
    <row r="432" spans="18:132" x14ac:dyDescent="0.25">
      <c r="R432" s="35"/>
      <c r="S432" s="35"/>
      <c r="T432" s="35"/>
      <c r="U432" s="35"/>
      <c r="V432" s="35"/>
      <c r="W432" s="35"/>
      <c r="X432" s="35"/>
      <c r="Y432" s="35"/>
    </row>
    <row r="433" spans="17:25" x14ac:dyDescent="0.25">
      <c r="R433" s="35"/>
      <c r="S433" s="35"/>
      <c r="T433" s="35"/>
      <c r="U433" s="35"/>
      <c r="V433" s="35">
        <v>121</v>
      </c>
      <c r="W433" s="35"/>
      <c r="X433" s="35">
        <v>10</v>
      </c>
      <c r="Y433" s="35"/>
    </row>
    <row r="434" spans="17:25" x14ac:dyDescent="0.25">
      <c r="R434" s="35"/>
      <c r="S434" s="35"/>
      <c r="T434" s="35"/>
      <c r="U434" s="35"/>
      <c r="V434" s="35"/>
      <c r="W434" s="35"/>
      <c r="X434" s="35">
        <v>4</v>
      </c>
      <c r="Y434" s="35"/>
    </row>
    <row r="435" spans="17:25" x14ac:dyDescent="0.25">
      <c r="R435" s="35"/>
      <c r="S435" s="35"/>
      <c r="T435" s="35"/>
      <c r="U435" s="35"/>
      <c r="V435" s="35"/>
      <c r="W435" s="35"/>
      <c r="X435" s="35">
        <v>10</v>
      </c>
      <c r="Y435" s="35"/>
    </row>
    <row r="436" spans="17:25" x14ac:dyDescent="0.25">
      <c r="R436" s="35"/>
      <c r="S436" s="35"/>
      <c r="T436" s="35"/>
      <c r="U436" s="35"/>
      <c r="V436" s="35">
        <v>52</v>
      </c>
      <c r="W436" s="35"/>
      <c r="X436" s="35">
        <v>99</v>
      </c>
      <c r="Y436" s="35"/>
    </row>
    <row r="437" spans="17:25" x14ac:dyDescent="0.25">
      <c r="R437" s="35"/>
      <c r="S437" s="35"/>
      <c r="T437" s="35"/>
      <c r="U437" s="35"/>
      <c r="V437" s="35">
        <v>46</v>
      </c>
      <c r="W437" s="35"/>
      <c r="X437" s="35">
        <v>162</v>
      </c>
      <c r="Y437" s="35"/>
    </row>
    <row r="438" spans="17:25" x14ac:dyDescent="0.25">
      <c r="R438" s="35"/>
      <c r="S438" s="35"/>
      <c r="T438" s="35"/>
      <c r="U438" s="35"/>
      <c r="V438" s="35"/>
      <c r="W438" s="35"/>
      <c r="X438" s="35"/>
      <c r="Y438" s="35"/>
    </row>
    <row r="439" spans="17:25" x14ac:dyDescent="0.25">
      <c r="Q439" t="s">
        <v>942</v>
      </c>
      <c r="V439">
        <v>2</v>
      </c>
      <c r="X439">
        <v>2</v>
      </c>
    </row>
  </sheetData>
  <sheetProtection password="CBEB" sheet="1" objects="1" scenarios="1"/>
  <mergeCells count="2">
    <mergeCell ref="B1:J1"/>
    <mergeCell ref="EB330:EB331"/>
  </mergeCells>
  <conditionalFormatting sqref="J4:K4">
    <cfRule type="cellIs" dxfId="79" priority="16" operator="between">
      <formula>0</formula>
      <formula>0.3999</formula>
    </cfRule>
    <cfRule type="cellIs" dxfId="78" priority="17" operator="between">
      <formula>0.4</formula>
      <formula>0.59</formula>
    </cfRule>
    <cfRule type="cellIs" dxfId="77" priority="18" operator="between">
      <formula>0.6</formula>
      <formula>0.69</formula>
    </cfRule>
    <cfRule type="cellIs" dxfId="76" priority="19" operator="between">
      <formula>0.7</formula>
      <formula>0.79</formula>
    </cfRule>
    <cfRule type="cellIs" dxfId="75" priority="20" operator="between">
      <formula>0.8</formula>
      <formula>1</formula>
    </cfRule>
  </conditionalFormatting>
  <conditionalFormatting sqref="J5:J8">
    <cfRule type="cellIs" dxfId="74" priority="11" operator="between">
      <formula>0</formula>
      <formula>0.3999</formula>
    </cfRule>
    <cfRule type="cellIs" dxfId="73" priority="12" operator="between">
      <formula>0.4</formula>
      <formula>0.59</formula>
    </cfRule>
    <cfRule type="cellIs" dxfId="72" priority="13" operator="between">
      <formula>0.6</formula>
      <formula>0.69</formula>
    </cfRule>
    <cfRule type="cellIs" dxfId="71" priority="14" operator="between">
      <formula>0.7</formula>
      <formula>0.79</formula>
    </cfRule>
    <cfRule type="cellIs" dxfId="70" priority="15" operator="between">
      <formula>0.8</formula>
      <formula>1</formula>
    </cfRule>
  </conditionalFormatting>
  <conditionalFormatting sqref="J9">
    <cfRule type="cellIs" dxfId="69" priority="6" operator="between">
      <formula>0</formula>
      <formula>0.3999</formula>
    </cfRule>
    <cfRule type="cellIs" dxfId="68" priority="7" operator="between">
      <formula>0.4</formula>
      <formula>0.59</formula>
    </cfRule>
    <cfRule type="cellIs" dxfId="67" priority="8" operator="between">
      <formula>0.6</formula>
      <formula>0.69</formula>
    </cfRule>
    <cfRule type="cellIs" dxfId="66" priority="9" operator="between">
      <formula>0.7</formula>
      <formula>0.79</formula>
    </cfRule>
    <cfRule type="cellIs" dxfId="65" priority="10"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8"/>
  <sheetViews>
    <sheetView showGridLines="0" zoomScale="70" zoomScaleNormal="70" workbookViewId="0"/>
  </sheetViews>
  <sheetFormatPr baseColWidth="10" defaultColWidth="11.42578125" defaultRowHeight="15" x14ac:dyDescent="0.25"/>
  <cols>
    <col min="3" max="3" width="11.42578125" style="2"/>
    <col min="4" max="4" width="46.5703125" style="5" customWidth="1"/>
    <col min="5" max="5" width="27.85546875" style="10" customWidth="1"/>
    <col min="6" max="6" width="17.85546875" style="10" customWidth="1"/>
    <col min="7" max="7" width="21.42578125" style="10" customWidth="1"/>
    <col min="8" max="8" width="13.5703125" style="10" customWidth="1"/>
    <col min="9" max="9" width="23" style="10" customWidth="1"/>
    <col min="10" max="10" width="15.140625" style="10" customWidth="1"/>
    <col min="11" max="12" width="30.42578125" customWidth="1"/>
  </cols>
  <sheetData>
    <row r="2" spans="3:12" ht="27" customHeight="1" x14ac:dyDescent="0.25">
      <c r="C2" s="788" t="s">
        <v>993</v>
      </c>
      <c r="D2" s="788"/>
      <c r="E2" s="788"/>
      <c r="F2" s="788"/>
      <c r="G2" s="788"/>
      <c r="H2" s="788"/>
      <c r="I2" s="788"/>
      <c r="J2" s="788"/>
      <c r="K2" s="788"/>
      <c r="L2" s="185"/>
    </row>
    <row r="4" spans="3:12" ht="129.75" customHeight="1" x14ac:dyDescent="0.25">
      <c r="C4" s="3" t="s">
        <v>924</v>
      </c>
      <c r="D4" s="137" t="s">
        <v>939</v>
      </c>
      <c r="E4" s="3" t="s">
        <v>926</v>
      </c>
      <c r="F4" s="3" t="s">
        <v>44</v>
      </c>
      <c r="G4" s="3" t="s">
        <v>928</v>
      </c>
      <c r="H4" s="4" t="s">
        <v>44</v>
      </c>
      <c r="I4" s="3" t="s">
        <v>930</v>
      </c>
      <c r="J4" s="4" t="s">
        <v>44</v>
      </c>
      <c r="K4" s="15" t="s">
        <v>932</v>
      </c>
      <c r="L4" s="15" t="s">
        <v>983</v>
      </c>
    </row>
    <row r="5" spans="3:12" ht="26.25" customHeight="1" x14ac:dyDescent="0.25">
      <c r="C5" s="16">
        <v>1</v>
      </c>
      <c r="D5" s="32" t="s">
        <v>50</v>
      </c>
      <c r="E5" s="23">
        <f>'SGTO P. INDICATIVO'!GV11</f>
        <v>7045793050</v>
      </c>
      <c r="F5" s="13">
        <v>1</v>
      </c>
      <c r="G5" s="24">
        <f>'SGTO P. INDICATIVO'!GW11</f>
        <v>3383870991</v>
      </c>
      <c r="H5" s="12">
        <f>G5/E5</f>
        <v>0.48026829158713369</v>
      </c>
      <c r="I5" s="24">
        <f>'SGTO P. INDICATIVO'!GX11</f>
        <v>221551200</v>
      </c>
      <c r="J5" s="13">
        <f>I5/G5</f>
        <v>6.5472708796893972E-2</v>
      </c>
      <c r="K5" s="118">
        <f t="shared" ref="K5:K14" si="0">G5/E5</f>
        <v>0.48026829158713369</v>
      </c>
      <c r="L5" s="118">
        <f>I5/E5</f>
        <v>3.144446599946616E-2</v>
      </c>
    </row>
    <row r="6" spans="3:12" ht="31.5" customHeight="1" x14ac:dyDescent="0.25">
      <c r="C6" s="16">
        <v>2</v>
      </c>
      <c r="D6" s="32" t="s">
        <v>118</v>
      </c>
      <c r="E6" s="23">
        <f>'SGTO P. INDICATIVO'!GV36</f>
        <v>3757554531</v>
      </c>
      <c r="F6" s="13">
        <v>1</v>
      </c>
      <c r="G6" s="24">
        <f>'SGTO P. INDICATIVO'!GW36</f>
        <v>1416248393</v>
      </c>
      <c r="H6" s="12">
        <f t="shared" ref="H6:H32" si="1">G6/E6</f>
        <v>0.37690694341649195</v>
      </c>
      <c r="I6" s="24">
        <f>'SGTO P. INDICATIVO'!GX36</f>
        <v>814717180</v>
      </c>
      <c r="J6" s="13">
        <f t="shared" ref="J6:J32" si="2">I6/G6</f>
        <v>0.57526432794335391</v>
      </c>
      <c r="K6" s="118">
        <f t="shared" si="0"/>
        <v>0.37690694341649195</v>
      </c>
      <c r="L6" s="118">
        <f t="shared" ref="L6:L33" si="3">I6/E6</f>
        <v>0.21682111950167199</v>
      </c>
    </row>
    <row r="7" spans="3:12" ht="39.75" customHeight="1" x14ac:dyDescent="0.25">
      <c r="C7" s="16">
        <v>3</v>
      </c>
      <c r="D7" s="32" t="s">
        <v>200</v>
      </c>
      <c r="E7" s="23">
        <f>'SGTO P. INDICATIVO'!GV73</f>
        <v>1700180390</v>
      </c>
      <c r="F7" s="13">
        <v>1</v>
      </c>
      <c r="G7" s="24">
        <f>'SGTO P. INDICATIVO'!GW73</f>
        <v>1176112000</v>
      </c>
      <c r="H7" s="12">
        <f t="shared" si="1"/>
        <v>0.69175718465968195</v>
      </c>
      <c r="I7" s="24">
        <f>'SGTO P. INDICATIVO'!GX73</f>
        <v>796978000</v>
      </c>
      <c r="J7" s="13">
        <f t="shared" si="2"/>
        <v>0.67763784401485572</v>
      </c>
      <c r="K7" s="118">
        <f t="shared" si="0"/>
        <v>0.69175718465968195</v>
      </c>
      <c r="L7" s="118">
        <f t="shared" si="3"/>
        <v>0.46876084719457328</v>
      </c>
    </row>
    <row r="8" spans="3:12" ht="26.25" customHeight="1" x14ac:dyDescent="0.25">
      <c r="C8" s="16">
        <v>4</v>
      </c>
      <c r="D8" s="32" t="s">
        <v>213</v>
      </c>
      <c r="E8" s="23">
        <f>'SGTO P. INDICATIVO'!GV81</f>
        <v>30126526277</v>
      </c>
      <c r="F8" s="13">
        <v>1</v>
      </c>
      <c r="G8" s="24">
        <f>'SGTO P. INDICATIVO'!GW81</f>
        <v>4727516775.5050001</v>
      </c>
      <c r="H8" s="12">
        <f t="shared" si="1"/>
        <v>0.15692206701952915</v>
      </c>
      <c r="I8" s="24">
        <f>'SGTO P. INDICATIVO'!GX81</f>
        <v>2017515378.5599999</v>
      </c>
      <c r="J8" s="13">
        <f t="shared" si="2"/>
        <v>0.42676006757151824</v>
      </c>
      <c r="K8" s="118">
        <f t="shared" si="0"/>
        <v>0.15692206701952915</v>
      </c>
      <c r="L8" s="118">
        <f t="shared" si="3"/>
        <v>6.6968071924716571E-2</v>
      </c>
    </row>
    <row r="9" spans="3:12" ht="26.25" customHeight="1" x14ac:dyDescent="0.25">
      <c r="C9" s="16">
        <v>5</v>
      </c>
      <c r="D9" s="32" t="s">
        <v>259</v>
      </c>
      <c r="E9" s="23">
        <f>'SGTO P. INDICATIVO'!GV96</f>
        <v>169205419654.52997</v>
      </c>
      <c r="F9" s="13">
        <v>1</v>
      </c>
      <c r="G9" s="24">
        <f>'SGTO P. INDICATIVO'!GW96</f>
        <v>77014503397</v>
      </c>
      <c r="H9" s="12">
        <f t="shared" si="1"/>
        <v>0.45515388073409246</v>
      </c>
      <c r="I9" s="24">
        <f>'SGTO P. INDICATIVO'!GX96</f>
        <v>66082438470</v>
      </c>
      <c r="J9" s="13">
        <f t="shared" si="2"/>
        <v>0.85805186757296104</v>
      </c>
      <c r="K9" s="118">
        <f t="shared" si="0"/>
        <v>0.45515388073409246</v>
      </c>
      <c r="L9" s="118">
        <f t="shared" si="3"/>
        <v>0.39054563739696879</v>
      </c>
    </row>
    <row r="10" spans="3:12" ht="26.25" customHeight="1" x14ac:dyDescent="0.25">
      <c r="C10" s="16">
        <v>6</v>
      </c>
      <c r="D10" s="33" t="s">
        <v>290</v>
      </c>
      <c r="E10" s="23">
        <f>'SGTO P. INDICATIVO'!GV110</f>
        <v>604181578.86000001</v>
      </c>
      <c r="F10" s="13">
        <v>1</v>
      </c>
      <c r="G10" s="24">
        <f>'SGTO P. INDICATIVO'!GW110</f>
        <v>201574250</v>
      </c>
      <c r="H10" s="12">
        <f t="shared" si="1"/>
        <v>0.33363190314464797</v>
      </c>
      <c r="I10" s="24">
        <f>'SGTO P. INDICATIVO'!GX110</f>
        <v>118851250</v>
      </c>
      <c r="J10" s="13">
        <f t="shared" si="2"/>
        <v>0.58961524103401108</v>
      </c>
      <c r="K10" s="118">
        <f t="shared" si="0"/>
        <v>0.33363190314464797</v>
      </c>
      <c r="L10" s="118">
        <f t="shared" si="3"/>
        <v>0.19671445498926743</v>
      </c>
    </row>
    <row r="11" spans="3:12" ht="26.25" customHeight="1" x14ac:dyDescent="0.25">
      <c r="C11" s="16">
        <v>7</v>
      </c>
      <c r="D11" s="33" t="s">
        <v>349</v>
      </c>
      <c r="E11" s="24">
        <f>'SGTO P. INDICATIVO'!GV138</f>
        <v>2004690771</v>
      </c>
      <c r="F11" s="13">
        <v>1</v>
      </c>
      <c r="G11" s="24">
        <f>'SGTO P. INDICATIVO'!GW138</f>
        <v>1666421296</v>
      </c>
      <c r="H11" s="12">
        <f t="shared" si="1"/>
        <v>0.83126102045590755</v>
      </c>
      <c r="I11" s="24">
        <f>'SGTO P. INDICATIVO'!GX138</f>
        <v>1385985036</v>
      </c>
      <c r="J11" s="13">
        <f t="shared" si="2"/>
        <v>0.83171346845293792</v>
      </c>
      <c r="K11" s="118">
        <f t="shared" si="0"/>
        <v>0.83126102045590755</v>
      </c>
      <c r="L11" s="118">
        <f t="shared" si="3"/>
        <v>0.69137098651311146</v>
      </c>
    </row>
    <row r="12" spans="3:12" ht="26.25" customHeight="1" x14ac:dyDescent="0.25">
      <c r="C12" s="16">
        <v>8</v>
      </c>
      <c r="D12" s="33" t="s">
        <v>371</v>
      </c>
      <c r="E12" s="24">
        <f>'SGTO P. INDICATIVO'!GV151</f>
        <v>4266768856</v>
      </c>
      <c r="F12" s="13">
        <v>1</v>
      </c>
      <c r="G12" s="24">
        <f>'SGTO P. INDICATIVO'!GW151</f>
        <v>1303493949</v>
      </c>
      <c r="H12" s="12">
        <f t="shared" si="1"/>
        <v>0.30549907740303428</v>
      </c>
      <c r="I12" s="24">
        <f>'SGTO P. INDICATIVO'!GX151</f>
        <v>935522951</v>
      </c>
      <c r="J12" s="13">
        <f t="shared" si="2"/>
        <v>0.71770409959916126</v>
      </c>
      <c r="K12" s="118">
        <f t="shared" si="0"/>
        <v>0.30549907740303428</v>
      </c>
      <c r="L12" s="118">
        <f t="shared" si="3"/>
        <v>0.21925794027591919</v>
      </c>
    </row>
    <row r="13" spans="3:12" ht="26.25" customHeight="1" x14ac:dyDescent="0.25">
      <c r="C13" s="16">
        <v>9</v>
      </c>
      <c r="D13" s="33" t="s">
        <v>396</v>
      </c>
      <c r="E13" s="24">
        <f>'SGTO P. INDICATIVO'!GV162</f>
        <v>4787984507</v>
      </c>
      <c r="F13" s="13">
        <v>1</v>
      </c>
      <c r="G13" s="24">
        <f>'SGTO P. INDICATIVO'!GW162</f>
        <v>1867127751.8600001</v>
      </c>
      <c r="H13" s="12">
        <f t="shared" si="1"/>
        <v>0.38996110975928855</v>
      </c>
      <c r="I13" s="24">
        <f>'SGTO P. INDICATIVO'!GX162</f>
        <v>338779433.35000002</v>
      </c>
      <c r="J13" s="13">
        <f t="shared" si="2"/>
        <v>0.18144416364253269</v>
      </c>
      <c r="K13" s="118">
        <f t="shared" si="0"/>
        <v>0.38996110975928855</v>
      </c>
      <c r="L13" s="118">
        <f t="shared" si="3"/>
        <v>7.0756167413387999E-2</v>
      </c>
    </row>
    <row r="14" spans="3:12" ht="39.75" customHeight="1" x14ac:dyDescent="0.25">
      <c r="C14" s="16">
        <v>10</v>
      </c>
      <c r="D14" s="32" t="s">
        <v>416</v>
      </c>
      <c r="E14" s="24">
        <f>'SGTO P. INDICATIVO'!GV171</f>
        <v>630177027</v>
      </c>
      <c r="F14" s="13">
        <v>1</v>
      </c>
      <c r="G14" s="24">
        <f>'SGTO P. INDICATIVO'!GW171</f>
        <v>466903374</v>
      </c>
      <c r="H14" s="12">
        <f t="shared" si="1"/>
        <v>0.74090827496953482</v>
      </c>
      <c r="I14" s="24">
        <f>'SGTO P. INDICATIVO'!GX171</f>
        <v>58075300</v>
      </c>
      <c r="J14" s="13">
        <f t="shared" si="2"/>
        <v>0.12438398014232384</v>
      </c>
      <c r="K14" s="118">
        <f t="shared" si="0"/>
        <v>0.74090827496953482</v>
      </c>
      <c r="L14" s="118">
        <f t="shared" si="3"/>
        <v>9.2157120161094036E-2</v>
      </c>
    </row>
    <row r="15" spans="3:12" ht="26.25" customHeight="1" x14ac:dyDescent="0.25">
      <c r="C15" s="16">
        <v>11</v>
      </c>
      <c r="D15" s="32" t="s">
        <v>940</v>
      </c>
      <c r="E15" s="24">
        <f>'SGTO P. INDICATIVO'!GV177</f>
        <v>364373530</v>
      </c>
      <c r="F15" s="13">
        <v>1</v>
      </c>
      <c r="G15" s="24">
        <f>'SGTO P. INDICATIVO'!GW177</f>
        <v>212501092</v>
      </c>
      <c r="H15" s="12">
        <f t="shared" si="1"/>
        <v>0.58319574421336262</v>
      </c>
      <c r="I15" s="24">
        <f>'SGTO P. INDICATIVO'!GX177</f>
        <v>148589000</v>
      </c>
      <c r="J15" s="13">
        <f t="shared" si="2"/>
        <v>0.69923875967658555</v>
      </c>
      <c r="K15" s="118">
        <f t="shared" ref="K15:K33" si="4">G15/E15</f>
        <v>0.58319574421336262</v>
      </c>
      <c r="L15" s="118">
        <f t="shared" si="3"/>
        <v>0.4077930688324149</v>
      </c>
    </row>
    <row r="16" spans="3:12" ht="39" customHeight="1" x14ac:dyDescent="0.25">
      <c r="C16" s="16">
        <v>12</v>
      </c>
      <c r="D16" s="32" t="s">
        <v>449</v>
      </c>
      <c r="E16" s="24">
        <f>'SGTO P. INDICATIVO'!GV188</f>
        <v>6857928038</v>
      </c>
      <c r="F16" s="13">
        <v>1</v>
      </c>
      <c r="G16" s="24">
        <f>'SGTO P. INDICATIVO'!GW188</f>
        <v>3489504753</v>
      </c>
      <c r="H16" s="12">
        <f t="shared" si="1"/>
        <v>0.50882784620435528</v>
      </c>
      <c r="I16" s="24">
        <f>'SGTO P. INDICATIVO'!GX188</f>
        <v>1743310523</v>
      </c>
      <c r="J16" s="13">
        <f t="shared" si="2"/>
        <v>0.49958680282674484</v>
      </c>
      <c r="K16" s="118">
        <f t="shared" si="4"/>
        <v>0.50882784620435528</v>
      </c>
      <c r="L16" s="118">
        <f t="shared" si="3"/>
        <v>0.2542036768744525</v>
      </c>
    </row>
    <row r="17" spans="3:12" ht="36" customHeight="1" x14ac:dyDescent="0.25">
      <c r="C17" s="16">
        <v>13</v>
      </c>
      <c r="D17" s="32" t="s">
        <v>575</v>
      </c>
      <c r="E17" s="24">
        <f>'SGTO P. INDICATIVO'!GV233</f>
        <v>21751884086</v>
      </c>
      <c r="F17" s="13">
        <v>1</v>
      </c>
      <c r="G17" s="24">
        <f>'SGTO P. INDICATIVO'!GW233</f>
        <v>7501083653</v>
      </c>
      <c r="H17" s="12">
        <f t="shared" si="1"/>
        <v>0.34484753703831411</v>
      </c>
      <c r="I17" s="24">
        <f>'SGTO P. INDICATIVO'!GX233</f>
        <v>7494703653</v>
      </c>
      <c r="J17" s="13">
        <f t="shared" si="2"/>
        <v>0.99914945622590834</v>
      </c>
      <c r="K17" s="118">
        <f t="shared" si="4"/>
        <v>0.34484753703831411</v>
      </c>
      <c r="L17" s="118">
        <f t="shared" si="3"/>
        <v>0.3445542291126753</v>
      </c>
    </row>
    <row r="18" spans="3:12" ht="33.75" customHeight="1" x14ac:dyDescent="0.25">
      <c r="C18" s="16">
        <v>14</v>
      </c>
      <c r="D18" s="32" t="s">
        <v>587</v>
      </c>
      <c r="E18" s="24">
        <f>'SGTO P. INDICATIVO'!GV240</f>
        <v>17263797658</v>
      </c>
      <c r="F18" s="13">
        <v>1</v>
      </c>
      <c r="G18" s="24">
        <f>'SGTO P. INDICATIVO'!GW240</f>
        <v>11048750606</v>
      </c>
      <c r="H18" s="12">
        <f t="shared" si="1"/>
        <v>0.63999537210053181</v>
      </c>
      <c r="I18" s="24">
        <f>'SGTO P. INDICATIVO'!GX240</f>
        <v>2510486086</v>
      </c>
      <c r="J18" s="13">
        <f t="shared" si="2"/>
        <v>0.2272190019961792</v>
      </c>
      <c r="K18" s="118">
        <f t="shared" si="4"/>
        <v>0.63999537210053181</v>
      </c>
      <c r="L18" s="118">
        <f t="shared" si="3"/>
        <v>0.14541910973085617</v>
      </c>
    </row>
    <row r="19" spans="3:12" ht="26.25" customHeight="1" x14ac:dyDescent="0.25">
      <c r="C19" s="16">
        <v>15</v>
      </c>
      <c r="D19" s="33" t="s">
        <v>618</v>
      </c>
      <c r="E19" s="24">
        <f>'SGTO P. INDICATIVO'!GV257</f>
        <v>150000000</v>
      </c>
      <c r="F19" s="13">
        <v>1</v>
      </c>
      <c r="G19" s="24">
        <f>'SGTO P. INDICATIVO'!GW257</f>
        <v>36374000</v>
      </c>
      <c r="H19" s="12">
        <f t="shared" si="1"/>
        <v>0.24249333333333334</v>
      </c>
      <c r="I19" s="24">
        <f>'SGTO P. INDICATIVO'!GX257</f>
        <v>23596466</v>
      </c>
      <c r="J19" s="13">
        <f t="shared" si="2"/>
        <v>0.64871793038983894</v>
      </c>
      <c r="K19" s="118">
        <f t="shared" si="4"/>
        <v>0.24249333333333334</v>
      </c>
      <c r="L19" s="118">
        <f t="shared" si="3"/>
        <v>0.15730977333333335</v>
      </c>
    </row>
    <row r="20" spans="3:12" ht="26.25" customHeight="1" x14ac:dyDescent="0.25">
      <c r="C20" s="16">
        <v>16</v>
      </c>
      <c r="D20" s="33" t="s">
        <v>632</v>
      </c>
      <c r="E20" s="24">
        <f>'SGTO P. INDICATIVO'!GV262</f>
        <v>82867998</v>
      </c>
      <c r="F20" s="13">
        <v>1</v>
      </c>
      <c r="G20" s="24">
        <f>'SGTO P. INDICATIVO'!GW262</f>
        <v>61943275</v>
      </c>
      <c r="H20" s="12">
        <f t="shared" si="1"/>
        <v>0.74749332064230634</v>
      </c>
      <c r="I20" s="24">
        <f>'SGTO P. INDICATIVO'!GX262</f>
        <v>29106000</v>
      </c>
      <c r="J20" s="13">
        <f t="shared" si="2"/>
        <v>0.46988151659724159</v>
      </c>
      <c r="K20" s="118">
        <f t="shared" si="4"/>
        <v>0.74749332064230634</v>
      </c>
      <c r="L20" s="118">
        <f t="shared" si="3"/>
        <v>0.35123329514971507</v>
      </c>
    </row>
    <row r="21" spans="3:12" ht="26.25" customHeight="1" x14ac:dyDescent="0.25">
      <c r="C21" s="16">
        <v>17</v>
      </c>
      <c r="D21" s="33" t="s">
        <v>641</v>
      </c>
      <c r="E21" s="24">
        <f>'SGTO P. INDICATIVO'!GV268</f>
        <v>658250000</v>
      </c>
      <c r="F21" s="13">
        <v>1</v>
      </c>
      <c r="G21" s="24">
        <f>'SGTO P. INDICATIVO'!GW268</f>
        <v>431936575</v>
      </c>
      <c r="H21" s="12">
        <f t="shared" si="1"/>
        <v>0.65618925180402587</v>
      </c>
      <c r="I21" s="24">
        <f>'SGTO P. INDICATIVO'!GX268</f>
        <v>186896500</v>
      </c>
      <c r="J21" s="13">
        <f t="shared" si="2"/>
        <v>0.43269431397422181</v>
      </c>
      <c r="K21" s="118">
        <f t="shared" si="4"/>
        <v>0.65618925180402587</v>
      </c>
      <c r="L21" s="118">
        <f t="shared" si="3"/>
        <v>0.28392935814660086</v>
      </c>
    </row>
    <row r="22" spans="3:12" ht="37.5" customHeight="1" x14ac:dyDescent="0.25">
      <c r="C22" s="16">
        <v>18</v>
      </c>
      <c r="D22" s="33" t="s">
        <v>665</v>
      </c>
      <c r="E22" s="24">
        <f>'SGTO P. INDICATIVO'!GV281</f>
        <v>1367460000</v>
      </c>
      <c r="F22" s="13">
        <v>1</v>
      </c>
      <c r="G22" s="24">
        <f>'SGTO P. INDICATIVO'!GW281</f>
        <v>772727911</v>
      </c>
      <c r="H22" s="12">
        <f t="shared" si="1"/>
        <v>0.56508264300235478</v>
      </c>
      <c r="I22" s="24">
        <f>'SGTO P. INDICATIVO'!GX281</f>
        <v>251589367</v>
      </c>
      <c r="J22" s="13">
        <f t="shared" si="2"/>
        <v>0.32558597071304701</v>
      </c>
      <c r="K22" s="118">
        <f t="shared" si="4"/>
        <v>0.56508264300235478</v>
      </c>
      <c r="L22" s="118">
        <f t="shared" si="3"/>
        <v>0.18398298085501588</v>
      </c>
    </row>
    <row r="23" spans="3:12" ht="26.25" customHeight="1" x14ac:dyDescent="0.25">
      <c r="C23" s="16">
        <v>19</v>
      </c>
      <c r="D23" s="33" t="s">
        <v>691</v>
      </c>
      <c r="E23" s="24">
        <f>'SGTO P. INDICATIVO'!GV294</f>
        <v>3977405943</v>
      </c>
      <c r="F23" s="13">
        <v>1</v>
      </c>
      <c r="G23" s="24">
        <f>'SGTO P. INDICATIVO'!GW294</f>
        <v>1467404215</v>
      </c>
      <c r="H23" s="12">
        <f t="shared" si="1"/>
        <v>0.36893498828867216</v>
      </c>
      <c r="I23" s="24">
        <f>'SGTO P. INDICATIVO'!GX294</f>
        <v>1450127149</v>
      </c>
      <c r="J23" s="13">
        <f t="shared" si="2"/>
        <v>0.9882261030577727</v>
      </c>
      <c r="K23" s="118">
        <f t="shared" si="4"/>
        <v>0.36893498828867216</v>
      </c>
      <c r="L23" s="118">
        <f t="shared" si="3"/>
        <v>0.36459118575817945</v>
      </c>
    </row>
    <row r="24" spans="3:12" ht="26.25" customHeight="1" x14ac:dyDescent="0.25">
      <c r="C24" s="16">
        <v>20</v>
      </c>
      <c r="D24" s="33" t="s">
        <v>703</v>
      </c>
      <c r="E24" s="24">
        <f>'SGTO P. INDICATIVO'!GV300</f>
        <v>3079312421.1400003</v>
      </c>
      <c r="F24" s="13">
        <v>1</v>
      </c>
      <c r="G24" s="24">
        <f>'SGTO P. INDICATIVO'!GW300</f>
        <v>1078806861.8</v>
      </c>
      <c r="H24" s="12">
        <f t="shared" si="1"/>
        <v>0.35034017801955025</v>
      </c>
      <c r="I24" s="24">
        <f>'SGTO P. INDICATIVO'!GX300</f>
        <v>521390101.60000002</v>
      </c>
      <c r="J24" s="13">
        <f t="shared" si="2"/>
        <v>0.48330254474842277</v>
      </c>
      <c r="K24" s="118">
        <f t="shared" si="4"/>
        <v>0.35034017801955025</v>
      </c>
      <c r="L24" s="118">
        <f t="shared" si="3"/>
        <v>0.16932029956446407</v>
      </c>
    </row>
    <row r="25" spans="3:12" ht="26.25" customHeight="1" x14ac:dyDescent="0.25">
      <c r="C25" s="16">
        <v>21</v>
      </c>
      <c r="D25" s="33" t="s">
        <v>724</v>
      </c>
      <c r="E25" s="24">
        <f>'SGTO P. INDICATIVO'!GV312</f>
        <v>390929980.87</v>
      </c>
      <c r="F25" s="13">
        <v>1</v>
      </c>
      <c r="G25" s="24">
        <f>'SGTO P. INDICATIVO'!GW312</f>
        <v>186447100</v>
      </c>
      <c r="H25" s="12">
        <f t="shared" si="1"/>
        <v>0.47693221068660169</v>
      </c>
      <c r="I25" s="24">
        <f>'SGTO P. INDICATIVO'!GX312</f>
        <v>37624000</v>
      </c>
      <c r="J25" s="13">
        <v>0</v>
      </c>
      <c r="K25" s="119">
        <f t="shared" si="4"/>
        <v>0.47693221068660169</v>
      </c>
      <c r="L25" s="118">
        <f t="shared" si="3"/>
        <v>9.624229872640927E-2</v>
      </c>
    </row>
    <row r="26" spans="3:12" ht="39" customHeight="1" x14ac:dyDescent="0.25">
      <c r="C26" s="16">
        <v>22</v>
      </c>
      <c r="D26" s="33" t="s">
        <v>735</v>
      </c>
      <c r="E26" s="24">
        <f>'SGTO P. INDICATIVO'!GV319</f>
        <v>233682415</v>
      </c>
      <c r="F26" s="13">
        <v>1</v>
      </c>
      <c r="G26" s="24">
        <f>'SGTO P. INDICATIVO'!GW319</f>
        <v>28530000</v>
      </c>
      <c r="H26" s="12">
        <f t="shared" si="1"/>
        <v>0.12208877591409692</v>
      </c>
      <c r="I26" s="24">
        <f>'SGTO P. INDICATIVO'!GX319</f>
        <v>7208000</v>
      </c>
      <c r="J26" s="13">
        <v>0</v>
      </c>
      <c r="K26" s="119">
        <f t="shared" ref="K26" si="5">G26/E26</f>
        <v>0.12208877591409692</v>
      </c>
      <c r="L26" s="118">
        <f t="shared" ref="L26" si="6">I26/E26</f>
        <v>3.0845282046575904E-2</v>
      </c>
    </row>
    <row r="27" spans="3:12" ht="43.5" customHeight="1" x14ac:dyDescent="0.25">
      <c r="C27" s="16">
        <v>23</v>
      </c>
      <c r="D27" s="33" t="s">
        <v>740</v>
      </c>
      <c r="E27" s="24">
        <f>'SGTO P. INDICATIVO'!GV323</f>
        <v>7994062174</v>
      </c>
      <c r="F27" s="13">
        <v>1</v>
      </c>
      <c r="G27" s="24">
        <f>'SGTO P. INDICATIVO'!GW323</f>
        <v>1711924571</v>
      </c>
      <c r="H27" s="12">
        <f t="shared" si="1"/>
        <v>0.21414951919787259</v>
      </c>
      <c r="I27" s="24">
        <f>'SGTO P. INDICATIVO'!GX323</f>
        <v>563822131</v>
      </c>
      <c r="J27" s="13">
        <f t="shared" si="2"/>
        <v>0.32934986771680608</v>
      </c>
      <c r="K27" s="118">
        <f t="shared" si="4"/>
        <v>0.21414951919787259</v>
      </c>
      <c r="L27" s="118">
        <f t="shared" si="3"/>
        <v>7.0530115819436953E-2</v>
      </c>
    </row>
    <row r="28" spans="3:12" ht="36" customHeight="1" x14ac:dyDescent="0.25">
      <c r="C28" s="16">
        <v>24</v>
      </c>
      <c r="D28" s="33" t="s">
        <v>774</v>
      </c>
      <c r="E28" s="24">
        <f>'SGTO P. INDICATIVO'!GV339</f>
        <v>545000000</v>
      </c>
      <c r="F28" s="13">
        <v>1</v>
      </c>
      <c r="G28" s="24">
        <f>'SGTO P. INDICATIVO'!GW339</f>
        <v>377780981</v>
      </c>
      <c r="H28" s="12">
        <f t="shared" si="1"/>
        <v>0.69317611192660555</v>
      </c>
      <c r="I28" s="24">
        <f>'SGTO P. INDICATIVO'!GX339</f>
        <v>174746114</v>
      </c>
      <c r="J28" s="13">
        <f t="shared" si="2"/>
        <v>0.46255932084627627</v>
      </c>
      <c r="K28" s="118">
        <f t="shared" si="4"/>
        <v>0.69317611192660555</v>
      </c>
      <c r="L28" s="118">
        <f t="shared" si="3"/>
        <v>0.320635071559633</v>
      </c>
    </row>
    <row r="29" spans="3:12" ht="26.25" customHeight="1" x14ac:dyDescent="0.25">
      <c r="C29" s="16">
        <v>25</v>
      </c>
      <c r="D29" s="33" t="s">
        <v>798</v>
      </c>
      <c r="E29" s="24">
        <f>'SGTO P. INDICATIVO'!GV353</f>
        <v>1040190376</v>
      </c>
      <c r="F29" s="13">
        <v>1</v>
      </c>
      <c r="G29" s="24">
        <f>'SGTO P. INDICATIVO'!GW353</f>
        <v>445284532</v>
      </c>
      <c r="H29" s="12">
        <f t="shared" si="1"/>
        <v>0.42807984218458101</v>
      </c>
      <c r="I29" s="24">
        <f>'SGTO P. INDICATIVO'!GX353</f>
        <v>196982095</v>
      </c>
      <c r="J29" s="13">
        <f t="shared" si="2"/>
        <v>0.44237354061065837</v>
      </c>
      <c r="K29" s="118">
        <f t="shared" si="4"/>
        <v>0.42807984218458101</v>
      </c>
      <c r="L29" s="118">
        <f t="shared" si="3"/>
        <v>0.18937119545124498</v>
      </c>
    </row>
    <row r="30" spans="3:12" ht="26.25" customHeight="1" x14ac:dyDescent="0.25">
      <c r="C30" s="16">
        <v>26</v>
      </c>
      <c r="D30" s="33" t="s">
        <v>818</v>
      </c>
      <c r="E30" s="24">
        <f>'SGTO P. INDICATIVO'!GV364</f>
        <v>687235128</v>
      </c>
      <c r="F30" s="13">
        <v>1</v>
      </c>
      <c r="G30" s="24">
        <f>'SGTO P. INDICATIVO'!GW364</f>
        <v>541075198</v>
      </c>
      <c r="H30" s="12">
        <f t="shared" si="1"/>
        <v>0.78732179999972296</v>
      </c>
      <c r="I30" s="24">
        <f>'SGTO P. INDICATIVO'!GX364</f>
        <v>250904632</v>
      </c>
      <c r="J30" s="13">
        <f t="shared" si="2"/>
        <v>0.46371490123263792</v>
      </c>
      <c r="K30" s="118">
        <f t="shared" si="4"/>
        <v>0.78732179999972296</v>
      </c>
      <c r="L30" s="118">
        <f t="shared" si="3"/>
        <v>0.36509285072517422</v>
      </c>
    </row>
    <row r="31" spans="3:12" ht="26.25" customHeight="1" x14ac:dyDescent="0.25">
      <c r="C31" s="16">
        <v>27</v>
      </c>
      <c r="D31" s="33" t="s">
        <v>838</v>
      </c>
      <c r="E31" s="24">
        <f>'SGTO P. INDICATIVO'!GV373</f>
        <v>919644033</v>
      </c>
      <c r="F31" s="13">
        <v>1</v>
      </c>
      <c r="G31" s="24">
        <f>'SGTO P. INDICATIVO'!GW373</f>
        <v>627226916</v>
      </c>
      <c r="H31" s="12">
        <f t="shared" si="1"/>
        <v>0.68203227933084409</v>
      </c>
      <c r="I31" s="24">
        <f>'SGTO P. INDICATIVO'!GX373</f>
        <v>277335265</v>
      </c>
      <c r="J31" s="13">
        <f t="shared" si="2"/>
        <v>0.44216097543875171</v>
      </c>
      <c r="K31" s="118">
        <f t="shared" si="4"/>
        <v>0.68203227933084409</v>
      </c>
      <c r="L31" s="118">
        <f t="shared" si="3"/>
        <v>0.3015680579096412</v>
      </c>
    </row>
    <row r="32" spans="3:12" ht="26.25" customHeight="1" x14ac:dyDescent="0.25">
      <c r="C32" s="16">
        <v>28</v>
      </c>
      <c r="D32" s="33" t="s">
        <v>856</v>
      </c>
      <c r="E32" s="24">
        <f>'SGTO P. INDICATIVO'!GV383</f>
        <v>11032803335</v>
      </c>
      <c r="F32" s="13">
        <v>1</v>
      </c>
      <c r="G32" s="24">
        <f>'SGTO P. INDICATIVO'!GW383</f>
        <v>4405775113</v>
      </c>
      <c r="H32" s="12">
        <f t="shared" si="1"/>
        <v>0.39933414738059408</v>
      </c>
      <c r="I32" s="24">
        <f>'SGTO P. INDICATIVO'!GX383</f>
        <v>2504571382.75</v>
      </c>
      <c r="J32" s="13">
        <f t="shared" si="2"/>
        <v>0.56847463125383535</v>
      </c>
      <c r="K32" s="118">
        <f t="shared" si="4"/>
        <v>0.39933414738059408</v>
      </c>
      <c r="L32" s="118">
        <f t="shared" si="3"/>
        <v>0.22701133217924799</v>
      </c>
    </row>
    <row r="33" spans="3:12" ht="26.25" customHeight="1" x14ac:dyDescent="0.25">
      <c r="C33" s="25"/>
      <c r="D33" s="26" t="s">
        <v>938</v>
      </c>
      <c r="E33" s="27">
        <f>SUM(E5:E32)</f>
        <v>302526103758.39996</v>
      </c>
      <c r="F33" s="28"/>
      <c r="G33" s="27">
        <f>SUM(G5:G32)</f>
        <v>127648849530.16501</v>
      </c>
      <c r="H33" s="3"/>
      <c r="I33" s="27">
        <f>SUM(I5:I32)</f>
        <v>91143402664.26001</v>
      </c>
      <c r="J33" s="3"/>
      <c r="K33" s="118">
        <f t="shared" si="4"/>
        <v>0.42194325694323065</v>
      </c>
      <c r="L33" s="118">
        <f t="shared" si="3"/>
        <v>0.30127450666884581</v>
      </c>
    </row>
    <row r="34" spans="3:12" x14ac:dyDescent="0.25">
      <c r="E34" s="11"/>
      <c r="G34" s="11"/>
      <c r="I34" s="11"/>
    </row>
    <row r="35" spans="3:12" x14ac:dyDescent="0.25">
      <c r="E35" s="617">
        <f>'SGTO P. INDICATIVO'!GV421</f>
        <v>302526103758.39996</v>
      </c>
      <c r="G35" s="617">
        <f>'SGTO P. INDICATIVO'!GW421</f>
        <v>127648849530.16501</v>
      </c>
      <c r="I35" s="617">
        <f>'SGTO P. INDICATIVO'!GX421</f>
        <v>91143402664.26001</v>
      </c>
    </row>
    <row r="36" spans="3:12" x14ac:dyDescent="0.25">
      <c r="D36"/>
      <c r="E36" s="617">
        <f>E35-E33</f>
        <v>0</v>
      </c>
      <c r="G36" s="617">
        <f>G35-G33</f>
        <v>0</v>
      </c>
      <c r="I36" s="617">
        <f>I35-I33</f>
        <v>0</v>
      </c>
    </row>
    <row r="37" spans="3:12" x14ac:dyDescent="0.25">
      <c r="E37" s="148"/>
      <c r="F37" s="148"/>
      <c r="G37" s="148"/>
    </row>
    <row r="38" spans="3:12" x14ac:dyDescent="0.25">
      <c r="D38"/>
    </row>
  </sheetData>
  <sheetProtection password="CBEB" sheet="1" objects="1" scenarios="1"/>
  <mergeCells count="1">
    <mergeCell ref="C2:K2"/>
  </mergeCells>
  <conditionalFormatting sqref="K5">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6:K33">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0.795</formula>
    </cfRule>
    <cfRule type="cellIs" dxfId="50" priority="20" operator="between">
      <formula>0.795</formula>
      <formula>1</formula>
    </cfRule>
  </conditionalFormatting>
  <conditionalFormatting sqref="L5">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6:L33">
    <cfRule type="cellIs" dxfId="44" priority="1" operator="between">
      <formula>0</formula>
      <formula>0.3999</formula>
    </cfRule>
    <cfRule type="cellIs" dxfId="43" priority="2" operator="between">
      <formula>0.4</formula>
      <formula>0.59</formula>
    </cfRule>
    <cfRule type="cellIs" dxfId="42" priority="3" operator="between">
      <formula>0.6</formula>
      <formula>0.69</formula>
    </cfRule>
    <cfRule type="cellIs" dxfId="41" priority="4" operator="between">
      <formula>0.7</formula>
      <formula>0.79</formula>
    </cfRule>
    <cfRule type="cellIs" dxfId="40" priority="5" operator="between">
      <formula>0.8</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heetViews>
  <sheetFormatPr baseColWidth="10" defaultColWidth="11.42578125" defaultRowHeight="15" x14ac:dyDescent="0.25"/>
  <cols>
    <col min="3" max="3" width="37.5703125" customWidth="1"/>
    <col min="4" max="4" width="22" customWidth="1"/>
    <col min="5" max="5" width="10.7109375" customWidth="1"/>
    <col min="6" max="6" width="25.7109375" customWidth="1"/>
    <col min="7" max="7" width="13.5703125" customWidth="1"/>
    <col min="8" max="8" width="22.7109375" customWidth="1"/>
    <col min="9" max="9" width="12.140625" customWidth="1"/>
    <col min="10" max="10" width="35.85546875" customWidth="1"/>
    <col min="11" max="11" width="33.7109375" customWidth="1"/>
  </cols>
  <sheetData>
    <row r="1" spans="2:11" ht="26.25" customHeight="1" x14ac:dyDescent="0.25">
      <c r="B1" s="786" t="s">
        <v>994</v>
      </c>
      <c r="C1" s="786"/>
      <c r="D1" s="786"/>
      <c r="E1" s="786"/>
      <c r="F1" s="786"/>
      <c r="G1" s="786"/>
      <c r="H1" s="786"/>
      <c r="I1" s="786"/>
      <c r="J1" s="786"/>
    </row>
    <row r="3" spans="2:11" ht="84" customHeight="1" x14ac:dyDescent="0.25">
      <c r="B3" s="130" t="s">
        <v>924</v>
      </c>
      <c r="C3" s="130" t="s">
        <v>925</v>
      </c>
      <c r="D3" s="130" t="s">
        <v>926</v>
      </c>
      <c r="E3" s="131" t="s">
        <v>44</v>
      </c>
      <c r="F3" s="130" t="s">
        <v>928</v>
      </c>
      <c r="G3" s="131" t="s">
        <v>44</v>
      </c>
      <c r="H3" s="130" t="s">
        <v>930</v>
      </c>
      <c r="I3" s="131" t="s">
        <v>44</v>
      </c>
      <c r="J3" s="132" t="s">
        <v>932</v>
      </c>
      <c r="K3" s="132" t="s">
        <v>983</v>
      </c>
    </row>
    <row r="4" spans="2:11" ht="21.75" customHeight="1" x14ac:dyDescent="0.25">
      <c r="B4" s="16">
        <v>1</v>
      </c>
      <c r="C4" s="6" t="s">
        <v>933</v>
      </c>
      <c r="D4" s="29">
        <f>'EJECUCION ESTRATEGIAS'!D4</f>
        <v>7045793050</v>
      </c>
      <c r="E4" s="30">
        <v>1</v>
      </c>
      <c r="F4" s="29">
        <f>'EJECUCION ESTRATEGIAS'!F4</f>
        <v>3383870991</v>
      </c>
      <c r="G4" s="12">
        <f>+F4/D4</f>
        <v>0.48026829158713369</v>
      </c>
      <c r="H4" s="29">
        <f>'EJECUCION ESTRATEGIAS'!H4</f>
        <v>221551200</v>
      </c>
      <c r="I4" s="12">
        <f>+H4/F4</f>
        <v>6.5472708796893972E-2</v>
      </c>
      <c r="J4" s="118">
        <f>F4/D4</f>
        <v>0.48026829158713369</v>
      </c>
      <c r="K4" s="118">
        <f>H4/D4</f>
        <v>3.144446599946616E-2</v>
      </c>
    </row>
    <row r="5" spans="2:11" ht="21.75" customHeight="1" x14ac:dyDescent="0.25">
      <c r="B5" s="16">
        <v>2</v>
      </c>
      <c r="C5" s="6" t="s">
        <v>934</v>
      </c>
      <c r="D5" s="29">
        <f>'EJECUCION ESTRATEGIAS'!D5</f>
        <v>35584261198</v>
      </c>
      <c r="E5" s="30">
        <v>1</v>
      </c>
      <c r="F5" s="29">
        <f>'EJECUCION ESTRATEGIAS'!F5</f>
        <v>7319877168.5050001</v>
      </c>
      <c r="G5" s="12">
        <f t="shared" ref="G5:G8" si="0">+F5/D5</f>
        <v>0.20570546983609739</v>
      </c>
      <c r="H5" s="29">
        <f>'EJECUCION ESTRATEGIAS'!H5</f>
        <v>3629210558.5599999</v>
      </c>
      <c r="I5" s="12">
        <f t="shared" ref="I5:I8" si="1">+H5/F5</f>
        <v>0.49580211184079526</v>
      </c>
      <c r="J5" s="118">
        <f t="shared" ref="J5:J9" si="2">F5/D5</f>
        <v>0.20570546983609739</v>
      </c>
      <c r="K5" s="118">
        <f t="shared" ref="K5:K9" si="3">H5/D5</f>
        <v>0.1019892063619401</v>
      </c>
    </row>
    <row r="6" spans="2:11" ht="21.75" customHeight="1" x14ac:dyDescent="0.25">
      <c r="B6" s="16">
        <v>3</v>
      </c>
      <c r="C6" s="6" t="s">
        <v>935</v>
      </c>
      <c r="D6" s="29">
        <f>'EJECUCION ESTRATEGIAS'!D6</f>
        <v>237677114464.39996</v>
      </c>
      <c r="E6" s="30">
        <v>1</v>
      </c>
      <c r="F6" s="29">
        <f>'EJECUCION ESTRATEGIAS'!F6</f>
        <v>108836034059.66</v>
      </c>
      <c r="G6" s="12">
        <f t="shared" si="0"/>
        <v>0.45791549726998143</v>
      </c>
      <c r="H6" s="29">
        <f>'EJECUCION ESTRATEGIAS'!H6</f>
        <v>83324279285.950012</v>
      </c>
      <c r="I6" s="12">
        <f t="shared" si="1"/>
        <v>0.76559459379303219</v>
      </c>
      <c r="J6" s="118">
        <f>F6/D6</f>
        <v>0.45791549726998143</v>
      </c>
      <c r="K6" s="118">
        <f t="shared" si="3"/>
        <v>0.35057762912394574</v>
      </c>
    </row>
    <row r="7" spans="2:11" ht="21.75" customHeight="1" x14ac:dyDescent="0.25">
      <c r="B7" s="16">
        <v>4</v>
      </c>
      <c r="C7" s="6" t="s">
        <v>936</v>
      </c>
      <c r="D7" s="29">
        <f>'EJECUCION ESTRATEGIAS'!D7</f>
        <v>9579252550</v>
      </c>
      <c r="E7" s="30">
        <v>1</v>
      </c>
      <c r="F7" s="29">
        <f>'EJECUCION ESTRATEGIAS'!F7</f>
        <v>2534990084</v>
      </c>
      <c r="G7" s="12">
        <f t="shared" si="0"/>
        <v>0.26463339083799392</v>
      </c>
      <c r="H7" s="29">
        <f>'EJECUCION ESTRATEGIAS'!H7</f>
        <v>935550340</v>
      </c>
      <c r="I7" s="12">
        <f t="shared" si="1"/>
        <v>0.3690548321687242</v>
      </c>
      <c r="J7" s="118">
        <f>F7/D7</f>
        <v>0.26463339083799392</v>
      </c>
      <c r="K7" s="118">
        <f t="shared" si="3"/>
        <v>9.7664231641956242E-2</v>
      </c>
    </row>
    <row r="8" spans="2:11" ht="21.75" customHeight="1" x14ac:dyDescent="0.25">
      <c r="B8" s="16">
        <v>5</v>
      </c>
      <c r="C8" s="6" t="s">
        <v>937</v>
      </c>
      <c r="D8" s="29">
        <f>'EJECUCION ESTRATEGIAS'!D8</f>
        <v>12639682496</v>
      </c>
      <c r="E8" s="30">
        <v>1</v>
      </c>
      <c r="F8" s="29">
        <f>'EJECUCION ESTRATEGIAS'!F8</f>
        <v>5574077227</v>
      </c>
      <c r="G8" s="12">
        <f t="shared" si="0"/>
        <v>0.44099819981743948</v>
      </c>
      <c r="H8" s="29">
        <f>'EJECUCION ESTRATEGIAS'!H8</f>
        <v>3032811279.75</v>
      </c>
      <c r="I8" s="12">
        <f t="shared" si="1"/>
        <v>0.54409208129724396</v>
      </c>
      <c r="J8" s="118">
        <f>F8/D8</f>
        <v>0.44099819981743948</v>
      </c>
      <c r="K8" s="118">
        <f t="shared" si="3"/>
        <v>0.2399436283870085</v>
      </c>
    </row>
    <row r="9" spans="2:11" ht="21.75" customHeight="1" x14ac:dyDescent="0.25">
      <c r="B9" s="133"/>
      <c r="C9" s="133" t="s">
        <v>938</v>
      </c>
      <c r="D9" s="134">
        <f>SUM(D4:D8)</f>
        <v>302526103758.39996</v>
      </c>
      <c r="E9" s="135">
        <f>SUM(E4:E8)/5</f>
        <v>1</v>
      </c>
      <c r="F9" s="134">
        <f>SUM(F4:F8)</f>
        <v>127648849530.16501</v>
      </c>
      <c r="G9" s="136">
        <f>+F9/D9</f>
        <v>0.42194325694323065</v>
      </c>
      <c r="H9" s="134">
        <f>SUM(H4:H8)</f>
        <v>91143402664.26001</v>
      </c>
      <c r="I9" s="136">
        <f t="shared" ref="I9" si="4">+H9/$F$9</f>
        <v>0.71401664017913213</v>
      </c>
      <c r="J9" s="118">
        <f t="shared" si="2"/>
        <v>0.42194325694323065</v>
      </c>
      <c r="K9" s="118">
        <f t="shared" si="3"/>
        <v>0.30127450666884581</v>
      </c>
    </row>
    <row r="10" spans="2:11" x14ac:dyDescent="0.25">
      <c r="C10" s="5"/>
      <c r="D10" s="8"/>
      <c r="F10" s="8"/>
      <c r="H10" s="8"/>
    </row>
    <row r="11" spans="2:11" x14ac:dyDescent="0.25">
      <c r="D11" s="40"/>
      <c r="F11" s="40"/>
      <c r="H11" s="40"/>
    </row>
    <row r="12" spans="2:11" x14ac:dyDescent="0.25">
      <c r="D12" s="40"/>
      <c r="E12" s="40"/>
      <c r="F12" s="40"/>
      <c r="G12" s="40"/>
      <c r="H12" s="40"/>
    </row>
  </sheetData>
  <sheetProtection password="CBEB" sheet="1" objects="1" scenarios="1"/>
  <mergeCells count="1">
    <mergeCell ref="B1:J1"/>
  </mergeCells>
  <conditionalFormatting sqref="J4">
    <cfRule type="cellIs" dxfId="39" priority="21" operator="between">
      <formula>0</formula>
      <formula>0.3999</formula>
    </cfRule>
    <cfRule type="cellIs" dxfId="38" priority="22" operator="between">
      <formula>0.4</formula>
      <formula>0.59</formula>
    </cfRule>
    <cfRule type="cellIs" dxfId="37" priority="23" operator="between">
      <formula>0.6</formula>
      <formula>0.69</formula>
    </cfRule>
    <cfRule type="cellIs" dxfId="36" priority="24" operator="between">
      <formula>0.7</formula>
      <formula>0.79</formula>
    </cfRule>
    <cfRule type="cellIs" dxfId="35" priority="25" operator="between">
      <formula>0.8</formula>
      <formula>1</formula>
    </cfRule>
  </conditionalFormatting>
  <conditionalFormatting sqref="J5:J9">
    <cfRule type="cellIs" dxfId="34" priority="16" operator="between">
      <formula>0</formula>
      <formula>0.3999</formula>
    </cfRule>
    <cfRule type="cellIs" dxfId="33" priority="17" operator="between">
      <formula>0.4</formula>
      <formula>0.59</formula>
    </cfRule>
    <cfRule type="cellIs" dxfId="32" priority="18" operator="between">
      <formula>0.6</formula>
      <formula>0.69</formula>
    </cfRule>
    <cfRule type="cellIs" dxfId="31" priority="19" operator="between">
      <formula>0.7</formula>
      <formula>0.79</formula>
    </cfRule>
    <cfRule type="cellIs" dxfId="30" priority="20" operator="between">
      <formula>0.8</formula>
      <formula>1</formula>
    </cfRule>
  </conditionalFormatting>
  <conditionalFormatting sqref="K4">
    <cfRule type="cellIs" dxfId="29" priority="11" operator="between">
      <formula>0</formula>
      <formula>0.3999</formula>
    </cfRule>
    <cfRule type="cellIs" dxfId="28" priority="12" operator="between">
      <formula>0.4</formula>
      <formula>0.59</formula>
    </cfRule>
    <cfRule type="cellIs" dxfId="27" priority="13" operator="between">
      <formula>0.6</formula>
      <formula>0.69</formula>
    </cfRule>
    <cfRule type="cellIs" dxfId="26" priority="14" operator="between">
      <formula>0.7</formula>
      <formula>0.79</formula>
    </cfRule>
    <cfRule type="cellIs" dxfId="25" priority="15" operator="between">
      <formula>0.8</formula>
      <formula>1</formula>
    </cfRule>
  </conditionalFormatting>
  <conditionalFormatting sqref="K5:K9">
    <cfRule type="cellIs" dxfId="24" priority="1" operator="between">
      <formula>0</formula>
      <formula>0.3999</formula>
    </cfRule>
    <cfRule type="cellIs" dxfId="23" priority="2" operator="between">
      <formula>0.4</formula>
      <formula>0.59</formula>
    </cfRule>
    <cfRule type="cellIs" dxfId="22" priority="3" operator="between">
      <formula>0.6</formula>
      <formula>0.69</formula>
    </cfRule>
    <cfRule type="cellIs" dxfId="21" priority="4" operator="between">
      <formula>0.7</formula>
      <formula>0.79</formula>
    </cfRule>
    <cfRule type="cellIs" dxfId="2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M37"/>
  <sheetViews>
    <sheetView showGridLines="0" zoomScale="85" zoomScaleNormal="85" workbookViewId="0"/>
  </sheetViews>
  <sheetFormatPr baseColWidth="10" defaultColWidth="11.42578125" defaultRowHeight="33.75" customHeight="1" x14ac:dyDescent="0.25"/>
  <cols>
    <col min="3" max="3" width="11.42578125" style="2"/>
    <col min="4" max="4" width="46.5703125" style="5" customWidth="1"/>
    <col min="5" max="5" width="20.85546875" style="10" customWidth="1"/>
    <col min="6" max="6" width="14.7109375" style="10" customWidth="1"/>
    <col min="7" max="7" width="24.85546875" style="10" bestFit="1" customWidth="1"/>
    <col min="8" max="8" width="19.85546875" style="10" customWidth="1"/>
    <col min="9" max="9" width="21.140625" style="10" bestFit="1" customWidth="1"/>
    <col min="10" max="10" width="17.5703125" style="10" customWidth="1"/>
    <col min="11" max="11" width="32.5703125" customWidth="1"/>
    <col min="12" max="12" width="29.5703125" customWidth="1"/>
  </cols>
  <sheetData>
    <row r="1" spans="3:12" ht="33.75" customHeight="1" x14ac:dyDescent="0.25">
      <c r="C1" s="786" t="s">
        <v>995</v>
      </c>
      <c r="D1" s="786"/>
      <c r="E1" s="786"/>
      <c r="F1" s="786"/>
      <c r="G1" s="786"/>
      <c r="H1" s="786"/>
      <c r="I1" s="786"/>
      <c r="J1" s="786"/>
      <c r="K1" s="786"/>
    </row>
    <row r="3" spans="3:12" ht="121.5" customHeight="1" x14ac:dyDescent="0.25">
      <c r="C3" s="121" t="s">
        <v>924</v>
      </c>
      <c r="D3" s="121" t="s">
        <v>939</v>
      </c>
      <c r="E3" s="121" t="s">
        <v>926</v>
      </c>
      <c r="F3" s="121" t="s">
        <v>927</v>
      </c>
      <c r="G3" s="121" t="s">
        <v>928</v>
      </c>
      <c r="H3" s="122" t="s">
        <v>929</v>
      </c>
      <c r="I3" s="121" t="s">
        <v>930</v>
      </c>
      <c r="J3" s="122" t="s">
        <v>931</v>
      </c>
      <c r="K3" s="123" t="s">
        <v>932</v>
      </c>
      <c r="L3" s="123" t="s">
        <v>983</v>
      </c>
    </row>
    <row r="4" spans="3:12" ht="33.75" customHeight="1" x14ac:dyDescent="0.25">
      <c r="C4" s="16">
        <v>1</v>
      </c>
      <c r="D4" s="32" t="s">
        <v>50</v>
      </c>
      <c r="E4" s="23">
        <f>'EJECUCION PROGRAMAS'!E5</f>
        <v>7045793050</v>
      </c>
      <c r="F4" s="12">
        <f>E4/$E$32</f>
        <v>2.3289868088959467E-2</v>
      </c>
      <c r="G4" s="23">
        <f>'EJECUCION PROGRAMAS'!G5</f>
        <v>3383870991</v>
      </c>
      <c r="H4" s="12">
        <f>G4/$E$32</f>
        <v>1.1185385158374266E-2</v>
      </c>
      <c r="I4" s="23">
        <f>'EJECUCION PROGRAMAS'!I5</f>
        <v>221551200</v>
      </c>
      <c r="J4" s="12">
        <f>I4/$G$32</f>
        <v>1.7356302137893119E-3</v>
      </c>
      <c r="K4" s="118">
        <f>G4/E4</f>
        <v>0.48026829158713369</v>
      </c>
      <c r="L4" s="118">
        <f>I4/E4</f>
        <v>3.144446599946616E-2</v>
      </c>
    </row>
    <row r="5" spans="3:12" ht="33.75" customHeight="1" x14ac:dyDescent="0.25">
      <c r="C5" s="16">
        <v>2</v>
      </c>
      <c r="D5" s="32" t="s">
        <v>118</v>
      </c>
      <c r="E5" s="23">
        <f>'EJECUCION PROGRAMAS'!E6</f>
        <v>3757554531</v>
      </c>
      <c r="F5" s="12">
        <f t="shared" ref="F5:F31" si="0">E5/$E$32</f>
        <v>1.2420596055409541E-2</v>
      </c>
      <c r="G5" s="23">
        <f>'EJECUCION PROGRAMAS'!G6</f>
        <v>1416248393</v>
      </c>
      <c r="H5" s="12">
        <f t="shared" ref="H5:H31" si="1">G5/$E$32</f>
        <v>4.681408894655347E-3</v>
      </c>
      <c r="I5" s="23">
        <f>'EJECUCION PROGRAMAS'!I6</f>
        <v>814717180</v>
      </c>
      <c r="J5" s="12">
        <f t="shared" ref="J5:J31" si="2">I5/$G$32</f>
        <v>6.3824874489563825E-3</v>
      </c>
      <c r="K5" s="118">
        <f t="shared" ref="K5:K32" si="3">G5/E5</f>
        <v>0.37690694341649195</v>
      </c>
      <c r="L5" s="118">
        <f t="shared" ref="L5:L32" si="4">I5/E5</f>
        <v>0.21682111950167199</v>
      </c>
    </row>
    <row r="6" spans="3:12" ht="33.75" customHeight="1" x14ac:dyDescent="0.25">
      <c r="C6" s="16">
        <v>3</v>
      </c>
      <c r="D6" s="32" t="s">
        <v>200</v>
      </c>
      <c r="E6" s="23">
        <f>'EJECUCION PROGRAMAS'!E7</f>
        <v>1700180390</v>
      </c>
      <c r="F6" s="12">
        <f t="shared" si="0"/>
        <v>5.6199460769764823E-3</v>
      </c>
      <c r="G6" s="23">
        <f>'EJECUCION PROGRAMAS'!G7</f>
        <v>1176112000</v>
      </c>
      <c r="H6" s="12">
        <f t="shared" si="1"/>
        <v>3.8876380761484752E-3</v>
      </c>
      <c r="I6" s="23">
        <f>'EJECUCION PROGRAMAS'!I7</f>
        <v>796978000</v>
      </c>
      <c r="J6" s="12">
        <f t="shared" si="2"/>
        <v>6.2435188639257122E-3</v>
      </c>
      <c r="K6" s="118">
        <f t="shared" si="3"/>
        <v>0.69175718465968195</v>
      </c>
      <c r="L6" s="118">
        <f t="shared" si="4"/>
        <v>0.46876084719457328</v>
      </c>
    </row>
    <row r="7" spans="3:12" ht="33.75" customHeight="1" x14ac:dyDescent="0.25">
      <c r="C7" s="16">
        <v>4</v>
      </c>
      <c r="D7" s="32" t="s">
        <v>213</v>
      </c>
      <c r="E7" s="23">
        <f>'EJECUCION PROGRAMAS'!E8</f>
        <v>30126526277</v>
      </c>
      <c r="F7" s="12">
        <f t="shared" si="0"/>
        <v>9.9583229026277059E-2</v>
      </c>
      <c r="G7" s="23">
        <f>'EJECUCION PROGRAMAS'!G8</f>
        <v>4727516775.5050001</v>
      </c>
      <c r="H7" s="12">
        <f t="shared" si="1"/>
        <v>1.5626806139282568E-2</v>
      </c>
      <c r="I7" s="23">
        <f>'EJECUCION PROGRAMAS'!I8</f>
        <v>2017515378.5599999</v>
      </c>
      <c r="J7" s="12">
        <f t="shared" si="2"/>
        <v>1.5805198291922215E-2</v>
      </c>
      <c r="K7" s="118">
        <f t="shared" si="3"/>
        <v>0.15692206701952915</v>
      </c>
      <c r="L7" s="118">
        <f t="shared" si="4"/>
        <v>6.6968071924716571E-2</v>
      </c>
    </row>
    <row r="8" spans="3:12" ht="33.75" customHeight="1" x14ac:dyDescent="0.25">
      <c r="C8" s="16">
        <v>5</v>
      </c>
      <c r="D8" s="32" t="s">
        <v>259</v>
      </c>
      <c r="E8" s="23">
        <f>'EJECUCION PROGRAMAS'!E9</f>
        <v>169205419654.52997</v>
      </c>
      <c r="F8" s="12">
        <f t="shared" si="0"/>
        <v>0.55930849454782561</v>
      </c>
      <c r="G8" s="23">
        <f>'EJECUCION PROGRAMAS'!G9</f>
        <v>77014503397</v>
      </c>
      <c r="H8" s="12">
        <f t="shared" si="1"/>
        <v>0.25457143182098585</v>
      </c>
      <c r="I8" s="23">
        <f>'EJECUCION PROGRAMAS'!I9</f>
        <v>66082438470</v>
      </c>
      <c r="J8" s="12">
        <f t="shared" si="2"/>
        <v>0.51768926013221839</v>
      </c>
      <c r="K8" s="118">
        <f t="shared" si="3"/>
        <v>0.45515388073409246</v>
      </c>
      <c r="L8" s="118">
        <f t="shared" si="4"/>
        <v>0.39054563739696879</v>
      </c>
    </row>
    <row r="9" spans="3:12" ht="33.75" customHeight="1" x14ac:dyDescent="0.25">
      <c r="C9" s="16">
        <v>6</v>
      </c>
      <c r="D9" s="7" t="s">
        <v>290</v>
      </c>
      <c r="E9" s="23">
        <f>'EJECUCION PROGRAMAS'!E10</f>
        <v>604181578.86000001</v>
      </c>
      <c r="F9" s="12">
        <f t="shared" si="0"/>
        <v>1.9971221370784745E-3</v>
      </c>
      <c r="G9" s="23">
        <f>'EJECUCION PROGRAMAS'!G10</f>
        <v>201574250</v>
      </c>
      <c r="H9" s="12">
        <f t="shared" si="1"/>
        <v>6.663036594057979E-4</v>
      </c>
      <c r="I9" s="23">
        <f>'EJECUCION PROGRAMAS'!I10</f>
        <v>118851250</v>
      </c>
      <c r="J9" s="12">
        <f t="shared" si="2"/>
        <v>9.3107968021218998E-4</v>
      </c>
      <c r="K9" s="118">
        <f t="shared" si="3"/>
        <v>0.33363190314464797</v>
      </c>
      <c r="L9" s="118">
        <f t="shared" si="4"/>
        <v>0.19671445498926743</v>
      </c>
    </row>
    <row r="10" spans="3:12" ht="33.75" customHeight="1" x14ac:dyDescent="0.25">
      <c r="C10" s="16">
        <v>7</v>
      </c>
      <c r="D10" s="33" t="s">
        <v>349</v>
      </c>
      <c r="E10" s="24">
        <f>'EJECUCION PROGRAMAS'!E11</f>
        <v>2004690771</v>
      </c>
      <c r="F10" s="12">
        <f t="shared" si="0"/>
        <v>6.6265051051626403E-3</v>
      </c>
      <c r="G10" s="24">
        <f>'EJECUCION PROGRAMAS'!G11</f>
        <v>1666421296</v>
      </c>
      <c r="H10" s="12">
        <f t="shared" si="1"/>
        <v>5.508355395773777E-3</v>
      </c>
      <c r="I10" s="24">
        <f>'EJECUCION PROGRAMAS'!I11</f>
        <v>1385985036</v>
      </c>
      <c r="J10" s="12">
        <f t="shared" si="2"/>
        <v>1.0857794967219619E-2</v>
      </c>
      <c r="K10" s="118">
        <f t="shared" si="3"/>
        <v>0.83126102045590755</v>
      </c>
      <c r="L10" s="118">
        <f t="shared" si="4"/>
        <v>0.69137098651311146</v>
      </c>
    </row>
    <row r="11" spans="3:12" ht="33.75" customHeight="1" x14ac:dyDescent="0.25">
      <c r="C11" s="16">
        <v>8</v>
      </c>
      <c r="D11" s="33" t="s">
        <v>371</v>
      </c>
      <c r="E11" s="24">
        <f>'EJECUCION PROGRAMAS'!E12</f>
        <v>4266768856</v>
      </c>
      <c r="F11" s="12">
        <f t="shared" si="0"/>
        <v>1.4103803946146345E-2</v>
      </c>
      <c r="G11" s="24">
        <f>'EJECUCION PROGRAMAS'!G12</f>
        <v>1303493949</v>
      </c>
      <c r="H11" s="12">
        <f t="shared" si="1"/>
        <v>4.3086990934209828E-3</v>
      </c>
      <c r="I11" s="24">
        <f>'EJECUCION PROGRAMAS'!I12</f>
        <v>935522951</v>
      </c>
      <c r="J11" s="12">
        <f t="shared" si="2"/>
        <v>7.3288788300353959E-3</v>
      </c>
      <c r="K11" s="118">
        <f t="shared" si="3"/>
        <v>0.30549907740303428</v>
      </c>
      <c r="L11" s="118">
        <f t="shared" si="4"/>
        <v>0.21925794027591919</v>
      </c>
    </row>
    <row r="12" spans="3:12" ht="33.75" customHeight="1" x14ac:dyDescent="0.25">
      <c r="C12" s="16">
        <v>9</v>
      </c>
      <c r="D12" s="33" t="s">
        <v>396</v>
      </c>
      <c r="E12" s="24">
        <f>'EJECUCION PROGRAMAS'!E13</f>
        <v>4787984507</v>
      </c>
      <c r="F12" s="12">
        <f t="shared" si="0"/>
        <v>1.5826682218549069E-2</v>
      </c>
      <c r="G12" s="24">
        <f>'EJECUCION PROGRAMAS'!G13</f>
        <v>1867127751.8600001</v>
      </c>
      <c r="H12" s="12">
        <f t="shared" si="1"/>
        <v>6.1717905617529947E-3</v>
      </c>
      <c r="I12" s="24">
        <f>'EJECUCION PROGRAMAS'!I13</f>
        <v>338779433.35000002</v>
      </c>
      <c r="J12" s="12">
        <f t="shared" si="2"/>
        <v>2.6539951953890679E-3</v>
      </c>
      <c r="K12" s="118">
        <f t="shared" si="3"/>
        <v>0.38996110975928855</v>
      </c>
      <c r="L12" s="118">
        <f t="shared" si="4"/>
        <v>7.0756167413387999E-2</v>
      </c>
    </row>
    <row r="13" spans="3:12" ht="33.75" customHeight="1" x14ac:dyDescent="0.25">
      <c r="C13" s="16">
        <v>10</v>
      </c>
      <c r="D13" s="32" t="s">
        <v>416</v>
      </c>
      <c r="E13" s="24">
        <f>'EJECUCION PROGRAMAS'!E14</f>
        <v>630177027</v>
      </c>
      <c r="F13" s="12">
        <f t="shared" si="0"/>
        <v>2.0830500878141244E-3</v>
      </c>
      <c r="G13" s="24">
        <f>'EJECUCION PROGRAMAS'!G14</f>
        <v>466903374</v>
      </c>
      <c r="H13" s="12">
        <f t="shared" si="1"/>
        <v>1.5433490472375011E-3</v>
      </c>
      <c r="I13" s="24">
        <f>'EJECUCION PROGRAMAS'!I14</f>
        <v>58075300</v>
      </c>
      <c r="J13" s="12">
        <f t="shared" si="2"/>
        <v>4.5496140555717333E-4</v>
      </c>
      <c r="K13" s="118">
        <f t="shared" si="3"/>
        <v>0.74090827496953482</v>
      </c>
      <c r="L13" s="118">
        <f t="shared" si="4"/>
        <v>9.2157120161094036E-2</v>
      </c>
    </row>
    <row r="14" spans="3:12" ht="33.75" customHeight="1" x14ac:dyDescent="0.25">
      <c r="C14" s="16">
        <v>11</v>
      </c>
      <c r="D14" s="32" t="s">
        <v>940</v>
      </c>
      <c r="E14" s="24">
        <f>'EJECUCION PROGRAMAS'!E15</f>
        <v>364373530</v>
      </c>
      <c r="F14" s="12">
        <f t="shared" si="0"/>
        <v>1.2044366600873289E-3</v>
      </c>
      <c r="G14" s="24">
        <f>'EJECUCION PROGRAMAS'!G15</f>
        <v>212501092</v>
      </c>
      <c r="H14" s="12">
        <f t="shared" si="1"/>
        <v>7.024223343374867E-4</v>
      </c>
      <c r="I14" s="24">
        <f>'EJECUCION PROGRAMAS'!I15</f>
        <v>148589000</v>
      </c>
      <c r="J14" s="12">
        <f t="shared" si="2"/>
        <v>1.1640449604278381E-3</v>
      </c>
      <c r="K14" s="118">
        <f t="shared" si="3"/>
        <v>0.58319574421336262</v>
      </c>
      <c r="L14" s="118">
        <f t="shared" si="4"/>
        <v>0.4077930688324149</v>
      </c>
    </row>
    <row r="15" spans="3:12" ht="33.75" customHeight="1" x14ac:dyDescent="0.25">
      <c r="C15" s="16">
        <v>12</v>
      </c>
      <c r="D15" s="32" t="s">
        <v>449</v>
      </c>
      <c r="E15" s="24">
        <f>'EJECUCION PROGRAMAS'!E16</f>
        <v>6857928038</v>
      </c>
      <c r="F15" s="12">
        <f t="shared" si="0"/>
        <v>2.2668880314132504E-2</v>
      </c>
      <c r="G15" s="24">
        <f>'EJECUCION PROGRAMAS'!G16</f>
        <v>3489504753</v>
      </c>
      <c r="H15" s="12">
        <f t="shared" si="1"/>
        <v>1.153455754610435E-2</v>
      </c>
      <c r="I15" s="24">
        <f>'EJECUCION PROGRAMAS'!I16</f>
        <v>1743310523</v>
      </c>
      <c r="J15" s="12">
        <f t="shared" si="2"/>
        <v>1.3657079788941099E-2</v>
      </c>
      <c r="K15" s="118">
        <f t="shared" si="3"/>
        <v>0.50882784620435528</v>
      </c>
      <c r="L15" s="118">
        <f t="shared" si="4"/>
        <v>0.2542036768744525</v>
      </c>
    </row>
    <row r="16" spans="3:12" ht="33.75" customHeight="1" x14ac:dyDescent="0.25">
      <c r="C16" s="16">
        <v>13</v>
      </c>
      <c r="D16" s="32" t="s">
        <v>575</v>
      </c>
      <c r="E16" s="24">
        <f>'EJECUCION PROGRAMAS'!E17</f>
        <v>21751884086</v>
      </c>
      <c r="F16" s="12">
        <f t="shared" si="0"/>
        <v>7.1900850259755594E-2</v>
      </c>
      <c r="G16" s="24">
        <f>'EJECUCION PROGRAMAS'!G17</f>
        <v>7501083653</v>
      </c>
      <c r="H16" s="12">
        <f t="shared" si="1"/>
        <v>2.4794831123037344E-2</v>
      </c>
      <c r="I16" s="24">
        <f>'EJECUCION PROGRAMAS'!I17</f>
        <v>7494703653</v>
      </c>
      <c r="J16" s="12">
        <f t="shared" si="2"/>
        <v>5.8713444583211136E-2</v>
      </c>
      <c r="K16" s="118">
        <f t="shared" si="3"/>
        <v>0.34484753703831411</v>
      </c>
      <c r="L16" s="118">
        <f t="shared" si="4"/>
        <v>0.3445542291126753</v>
      </c>
    </row>
    <row r="17" spans="3:13" ht="33.75" customHeight="1" x14ac:dyDescent="0.25">
      <c r="C17" s="16">
        <v>14</v>
      </c>
      <c r="D17" s="32" t="s">
        <v>587</v>
      </c>
      <c r="E17" s="24">
        <f>'EJECUCION PROGRAMAS'!E18</f>
        <v>17263797658</v>
      </c>
      <c r="F17" s="12">
        <f t="shared" si="0"/>
        <v>5.7065481105680133E-2</v>
      </c>
      <c r="G17" s="24">
        <f>'EJECUCION PROGRAMAS'!G18</f>
        <v>11048750606</v>
      </c>
      <c r="H17" s="12">
        <f t="shared" si="1"/>
        <v>3.6521643814325627E-2</v>
      </c>
      <c r="I17" s="24">
        <f>'EJECUCION PROGRAMAS'!I18</f>
        <v>2510486086</v>
      </c>
      <c r="J17" s="12">
        <f t="shared" si="2"/>
        <v>1.966712661524412E-2</v>
      </c>
      <c r="K17" s="118">
        <f t="shared" si="3"/>
        <v>0.63999537210053181</v>
      </c>
      <c r="L17" s="118">
        <f t="shared" si="4"/>
        <v>0.14541910973085617</v>
      </c>
    </row>
    <row r="18" spans="3:13" ht="33.75" customHeight="1" x14ac:dyDescent="0.25">
      <c r="C18" s="16">
        <v>15</v>
      </c>
      <c r="D18" s="33" t="s">
        <v>618</v>
      </c>
      <c r="E18" s="24">
        <f>'EJECUCION PROGRAMAS'!E19</f>
        <v>150000000</v>
      </c>
      <c r="F18" s="12">
        <f t="shared" si="0"/>
        <v>4.9582498216349405E-4</v>
      </c>
      <c r="G18" s="24">
        <f>'EJECUCION PROGRAMAS'!G19</f>
        <v>36374000</v>
      </c>
      <c r="H18" s="12">
        <f t="shared" si="1"/>
        <v>1.202342526747662E-4</v>
      </c>
      <c r="I18" s="24">
        <f>'EJECUCION PROGRAMAS'!I19</f>
        <v>23596466</v>
      </c>
      <c r="J18" s="12">
        <f t="shared" si="2"/>
        <v>1.8485451366660272E-4</v>
      </c>
      <c r="K18" s="118">
        <f t="shared" si="3"/>
        <v>0.24249333333333334</v>
      </c>
      <c r="L18" s="118">
        <f t="shared" si="4"/>
        <v>0.15730977333333335</v>
      </c>
    </row>
    <row r="19" spans="3:13" ht="33.75" customHeight="1" x14ac:dyDescent="0.25">
      <c r="C19" s="16">
        <v>16</v>
      </c>
      <c r="D19" s="33" t="s">
        <v>632</v>
      </c>
      <c r="E19" s="24">
        <f>'EJECUCION PROGRAMAS'!E20</f>
        <v>82867998</v>
      </c>
      <c r="F19" s="12">
        <f t="shared" si="0"/>
        <v>2.7392015753516306E-4</v>
      </c>
      <c r="G19" s="24">
        <f>'EJECUCION PROGRAMAS'!G20</f>
        <v>61943275</v>
      </c>
      <c r="H19" s="12">
        <f t="shared" si="1"/>
        <v>2.047534881468227E-4</v>
      </c>
      <c r="I19" s="24">
        <f>'EJECUCION PROGRAMAS'!I20</f>
        <v>29106000</v>
      </c>
      <c r="J19" s="12">
        <f t="shared" si="2"/>
        <v>2.2801615609643148E-4</v>
      </c>
      <c r="K19" s="118">
        <f t="shared" si="3"/>
        <v>0.74749332064230634</v>
      </c>
      <c r="L19" s="118">
        <f t="shared" si="4"/>
        <v>0.35123329514971507</v>
      </c>
    </row>
    <row r="20" spans="3:13" ht="33.75" customHeight="1" x14ac:dyDescent="0.25">
      <c r="C20" s="16">
        <v>17</v>
      </c>
      <c r="D20" s="33" t="s">
        <v>641</v>
      </c>
      <c r="E20" s="24">
        <f>'EJECUCION PROGRAMAS'!E21</f>
        <v>658250000</v>
      </c>
      <c r="F20" s="12">
        <f t="shared" si="0"/>
        <v>2.1758452967274664E-3</v>
      </c>
      <c r="G20" s="24">
        <f>'EJECUCION PROGRAMAS'!G21</f>
        <v>431936575</v>
      </c>
      <c r="H20" s="12">
        <f t="shared" si="1"/>
        <v>1.4277662973009046E-3</v>
      </c>
      <c r="I20" s="24">
        <f>'EJECUCION PROGRAMAS'!I21</f>
        <v>186896500</v>
      </c>
      <c r="J20" s="12">
        <f t="shared" si="2"/>
        <v>1.4641455891526388E-3</v>
      </c>
      <c r="K20" s="118">
        <f t="shared" si="3"/>
        <v>0.65618925180402587</v>
      </c>
      <c r="L20" s="118">
        <f t="shared" si="4"/>
        <v>0.28392935814660086</v>
      </c>
    </row>
    <row r="21" spans="3:13" ht="33.75" customHeight="1" x14ac:dyDescent="0.25">
      <c r="C21" s="16">
        <v>18</v>
      </c>
      <c r="D21" s="33" t="s">
        <v>665</v>
      </c>
      <c r="E21" s="24">
        <f>'EJECUCION PROGRAMAS'!E22</f>
        <v>1367460000</v>
      </c>
      <c r="F21" s="12">
        <f t="shared" si="0"/>
        <v>4.5201388673952771E-3</v>
      </c>
      <c r="G21" s="24">
        <f>'EJECUCION PROGRAMAS'!G22</f>
        <v>772727911</v>
      </c>
      <c r="H21" s="12">
        <f t="shared" si="1"/>
        <v>2.5542520179253933E-3</v>
      </c>
      <c r="I21" s="24">
        <f>'EJECUCION PROGRAMAS'!I22</f>
        <v>251589367</v>
      </c>
      <c r="J21" s="12">
        <f t="shared" si="2"/>
        <v>1.9709489582242284E-3</v>
      </c>
      <c r="K21" s="118">
        <f t="shared" si="3"/>
        <v>0.56508264300235478</v>
      </c>
      <c r="L21" s="118">
        <f t="shared" si="4"/>
        <v>0.18398298085501588</v>
      </c>
    </row>
    <row r="22" spans="3:13" ht="33.75" customHeight="1" x14ac:dyDescent="0.25">
      <c r="C22" s="16">
        <v>19</v>
      </c>
      <c r="D22" s="33" t="s">
        <v>691</v>
      </c>
      <c r="E22" s="24">
        <f>'EJECUCION PROGRAMAS'!E23</f>
        <v>3977405943</v>
      </c>
      <c r="F22" s="12">
        <f t="shared" si="0"/>
        <v>1.3147314871633E-2</v>
      </c>
      <c r="G22" s="24">
        <f>'EJECUCION PROGRAMAS'!G23</f>
        <v>1467404215</v>
      </c>
      <c r="H22" s="12">
        <f t="shared" si="1"/>
        <v>4.8505044581934062E-3</v>
      </c>
      <c r="I22" s="24">
        <f>'EJECUCION PROGRAMAS'!I23</f>
        <v>1450127149</v>
      </c>
      <c r="J22" s="12">
        <f t="shared" si="2"/>
        <v>1.1360283734146126E-2</v>
      </c>
      <c r="K22" s="118">
        <f t="shared" si="3"/>
        <v>0.36893498828867216</v>
      </c>
      <c r="L22" s="118">
        <f t="shared" si="4"/>
        <v>0.36459118575817945</v>
      </c>
    </row>
    <row r="23" spans="3:13" ht="33.75" customHeight="1" x14ac:dyDescent="0.25">
      <c r="C23" s="16">
        <v>20</v>
      </c>
      <c r="D23" s="33" t="s">
        <v>703</v>
      </c>
      <c r="E23" s="24">
        <f>'EJECUCION PROGRAMAS'!E24</f>
        <v>3079312421.1400003</v>
      </c>
      <c r="F23" s="12">
        <f t="shared" si="0"/>
        <v>1.0178666841917108E-2</v>
      </c>
      <c r="G23" s="24">
        <f>'EJECUCION PROGRAMAS'!G24</f>
        <v>1078806861.8</v>
      </c>
      <c r="H23" s="12">
        <f t="shared" si="1"/>
        <v>3.5659959533989329E-3</v>
      </c>
      <c r="I23" s="24">
        <f>'EJECUCION PROGRAMAS'!I24</f>
        <v>521390101.60000002</v>
      </c>
      <c r="J23" s="12">
        <f t="shared" si="2"/>
        <v>4.0845656151157796E-3</v>
      </c>
      <c r="K23" s="118">
        <f t="shared" si="3"/>
        <v>0.35034017801955025</v>
      </c>
      <c r="L23" s="118">
        <f t="shared" si="4"/>
        <v>0.16932029956446407</v>
      </c>
    </row>
    <row r="24" spans="3:13" ht="33.75" customHeight="1" x14ac:dyDescent="0.25">
      <c r="C24" s="16">
        <v>21</v>
      </c>
      <c r="D24" s="33" t="s">
        <v>724</v>
      </c>
      <c r="E24" s="24">
        <f>'EJECUCION PROGRAMAS'!E25</f>
        <v>390929980.87</v>
      </c>
      <c r="F24" s="12">
        <f t="shared" si="0"/>
        <v>1.2922190052802854E-3</v>
      </c>
      <c r="G24" s="24">
        <f>'EJECUCION PROGRAMAS'!G25</f>
        <v>186447100</v>
      </c>
      <c r="H24" s="12">
        <f t="shared" si="1"/>
        <v>6.1630086687956788E-4</v>
      </c>
      <c r="I24" s="24">
        <f>'EJECUCION PROGRAMAS'!I25</f>
        <v>37624000</v>
      </c>
      <c r="J24" s="12">
        <f t="shared" si="2"/>
        <v>2.947460955463526E-4</v>
      </c>
      <c r="K24" s="119">
        <f t="shared" si="3"/>
        <v>0.47693221068660169</v>
      </c>
      <c r="L24" s="118">
        <f t="shared" si="4"/>
        <v>9.624229872640927E-2</v>
      </c>
    </row>
    <row r="25" spans="3:13" ht="33.75" customHeight="1" x14ac:dyDescent="0.25">
      <c r="C25" s="16">
        <v>22</v>
      </c>
      <c r="D25" s="33" t="s">
        <v>735</v>
      </c>
      <c r="E25" s="24">
        <f>'EJECUCION PROGRAMAS'!E26</f>
        <v>233682415</v>
      </c>
      <c r="F25" s="12">
        <f t="shared" si="0"/>
        <v>7.7243719499531466E-4</v>
      </c>
      <c r="G25" s="24">
        <f>'EJECUCION PROGRAMAS'!G26</f>
        <v>28530000</v>
      </c>
      <c r="H25" s="12">
        <f t="shared" si="1"/>
        <v>9.4305911607496561E-5</v>
      </c>
      <c r="I25" s="24">
        <f>'EJECUCION PROGRAMAS'!I26</f>
        <v>7208000</v>
      </c>
      <c r="J25" s="12">
        <f t="shared" si="2"/>
        <v>5.6467410607540651E-5</v>
      </c>
      <c r="K25" s="119">
        <f t="shared" ref="K25" si="5">G25/E25</f>
        <v>0.12208877591409692</v>
      </c>
      <c r="L25" s="118">
        <f t="shared" ref="L25" si="6">I25/E25</f>
        <v>3.0845282046575904E-2</v>
      </c>
      <c r="M25" s="24"/>
    </row>
    <row r="26" spans="3:13" ht="33.75" customHeight="1" x14ac:dyDescent="0.25">
      <c r="C26" s="16">
        <v>23</v>
      </c>
      <c r="D26" s="33" t="s">
        <v>740</v>
      </c>
      <c r="E26" s="24">
        <f>'EJECUCION PROGRAMAS'!E27</f>
        <v>7994062174</v>
      </c>
      <c r="F26" s="12">
        <f t="shared" si="0"/>
        <v>2.6424371565582749E-2</v>
      </c>
      <c r="G26" s="24">
        <f>'EJECUCION PROGRAMAS'!G27</f>
        <v>1711924571</v>
      </c>
      <c r="H26" s="12">
        <f t="shared" si="1"/>
        <v>5.6587664658754805E-3</v>
      </c>
      <c r="I26" s="24">
        <f>'EJECUCION PROGRAMAS'!I27</f>
        <v>563822131</v>
      </c>
      <c r="J26" s="12">
        <f t="shared" si="2"/>
        <v>4.4169777720304629E-3</v>
      </c>
      <c r="K26" s="118">
        <f t="shared" si="3"/>
        <v>0.21414951919787259</v>
      </c>
      <c r="L26" s="118">
        <f t="shared" si="4"/>
        <v>7.0530115819436953E-2</v>
      </c>
    </row>
    <row r="27" spans="3:13" ht="33.75" customHeight="1" x14ac:dyDescent="0.25">
      <c r="C27" s="16">
        <v>24</v>
      </c>
      <c r="D27" s="33" t="s">
        <v>774</v>
      </c>
      <c r="E27" s="24">
        <f>'EJECUCION PROGRAMAS'!E28</f>
        <v>545000000</v>
      </c>
      <c r="F27" s="12">
        <f t="shared" si="0"/>
        <v>1.8014974351940282E-3</v>
      </c>
      <c r="G27" s="24">
        <f>'EJECUCION PROGRAMAS'!G28</f>
        <v>377780981</v>
      </c>
      <c r="H27" s="12">
        <f t="shared" si="1"/>
        <v>1.2487549877735484E-3</v>
      </c>
      <c r="I27" s="24">
        <f>'EJECUCION PROGRAMAS'!I28</f>
        <v>174746114</v>
      </c>
      <c r="J27" s="12">
        <f t="shared" si="2"/>
        <v>1.3689595687167186E-3</v>
      </c>
      <c r="K27" s="118">
        <f t="shared" si="3"/>
        <v>0.69317611192660555</v>
      </c>
      <c r="L27" s="118">
        <f t="shared" si="4"/>
        <v>0.320635071559633</v>
      </c>
    </row>
    <row r="28" spans="3:13" ht="33.75" customHeight="1" x14ac:dyDescent="0.25">
      <c r="C28" s="16">
        <v>25</v>
      </c>
      <c r="D28" s="33" t="s">
        <v>798</v>
      </c>
      <c r="E28" s="24">
        <f>'EJECUCION PROGRAMAS'!E29</f>
        <v>1040190376</v>
      </c>
      <c r="F28" s="12">
        <f t="shared" si="0"/>
        <v>3.4383491641789207E-3</v>
      </c>
      <c r="G28" s="24">
        <f>'EJECUCION PROGRAMAS'!G29</f>
        <v>445284532</v>
      </c>
      <c r="H28" s="12">
        <f t="shared" si="1"/>
        <v>1.4718879675771985E-3</v>
      </c>
      <c r="I28" s="24">
        <f>'EJECUCION PROGRAMAS'!I29</f>
        <v>196982095</v>
      </c>
      <c r="J28" s="12">
        <f t="shared" si="2"/>
        <v>1.5431560544809351E-3</v>
      </c>
      <c r="K28" s="118">
        <f t="shared" si="3"/>
        <v>0.42807984218458101</v>
      </c>
      <c r="L28" s="118">
        <f t="shared" si="4"/>
        <v>0.18937119545124498</v>
      </c>
    </row>
    <row r="29" spans="3:13" ht="33.75" customHeight="1" x14ac:dyDescent="0.25">
      <c r="C29" s="16">
        <v>26</v>
      </c>
      <c r="D29" s="33" t="s">
        <v>818</v>
      </c>
      <c r="E29" s="24">
        <f>'EJECUCION PROGRAMAS'!E30</f>
        <v>687235128</v>
      </c>
      <c r="F29" s="12">
        <f t="shared" si="0"/>
        <v>2.2716556338848435E-3</v>
      </c>
      <c r="G29" s="24">
        <f>'EJECUCION PROGRAMAS'!G30</f>
        <v>541075198</v>
      </c>
      <c r="H29" s="12">
        <f t="shared" si="1"/>
        <v>1.7885240026497267E-3</v>
      </c>
      <c r="I29" s="24">
        <f>'EJECUCION PROGRAMAS'!I30</f>
        <v>250904632</v>
      </c>
      <c r="J29" s="12">
        <f t="shared" si="2"/>
        <v>1.9655847500662988E-3</v>
      </c>
      <c r="K29" s="118">
        <f t="shared" si="3"/>
        <v>0.78732179999972296</v>
      </c>
      <c r="L29" s="118">
        <f t="shared" si="4"/>
        <v>0.36509285072517422</v>
      </c>
    </row>
    <row r="30" spans="3:13" ht="33.75" customHeight="1" x14ac:dyDescent="0.25">
      <c r="C30" s="16">
        <v>27</v>
      </c>
      <c r="D30" s="33" t="s">
        <v>838</v>
      </c>
      <c r="E30" s="24">
        <f>'EJECUCION PROGRAMAS'!E31</f>
        <v>919644033</v>
      </c>
      <c r="F30" s="12">
        <f t="shared" si="0"/>
        <v>3.0398832417265912E-3</v>
      </c>
      <c r="G30" s="24">
        <f>'EJECUCION PROGRAMAS'!G31</f>
        <v>627226916</v>
      </c>
      <c r="H30" s="12">
        <f t="shared" si="1"/>
        <v>2.0732984962544224E-3</v>
      </c>
      <c r="I30" s="24">
        <f>'EJECUCION PROGRAMAS'!I31</f>
        <v>277335265</v>
      </c>
      <c r="J30" s="12">
        <f t="shared" si="2"/>
        <v>2.1726421038715453E-3</v>
      </c>
      <c r="K30" s="118">
        <f t="shared" si="3"/>
        <v>0.68203227933084409</v>
      </c>
      <c r="L30" s="118">
        <f t="shared" si="4"/>
        <v>0.3015680579096412</v>
      </c>
    </row>
    <row r="31" spans="3:13" ht="33.75" customHeight="1" x14ac:dyDescent="0.25">
      <c r="C31" s="16">
        <v>28</v>
      </c>
      <c r="D31" s="33" t="s">
        <v>856</v>
      </c>
      <c r="E31" s="24">
        <f>'EJECUCION PROGRAMAS'!E32</f>
        <v>11032803335</v>
      </c>
      <c r="F31" s="12">
        <f t="shared" si="0"/>
        <v>3.6468930111931412E-2</v>
      </c>
      <c r="G31" s="24">
        <f>'EJECUCION PROGRAMAS'!G32</f>
        <v>4405775113</v>
      </c>
      <c r="H31" s="12">
        <f t="shared" si="1"/>
        <v>1.4563289112130605E-2</v>
      </c>
      <c r="I31" s="24">
        <f>'EJECUCION PROGRAMAS'!I32</f>
        <v>2504571382.75</v>
      </c>
      <c r="J31" s="12">
        <f t="shared" si="2"/>
        <v>1.9620790880360724E-2</v>
      </c>
      <c r="K31" s="118">
        <f t="shared" si="3"/>
        <v>0.39933414738059408</v>
      </c>
      <c r="L31" s="118">
        <f t="shared" si="4"/>
        <v>0.22701133217924799</v>
      </c>
    </row>
    <row r="32" spans="3:13" s="31" customFormat="1" ht="33.75" customHeight="1" x14ac:dyDescent="0.25">
      <c r="C32" s="125"/>
      <c r="D32" s="126" t="s">
        <v>938</v>
      </c>
      <c r="E32" s="127">
        <f>SUM(E4:E31)</f>
        <v>302526103758.39996</v>
      </c>
      <c r="F32" s="124">
        <f t="shared" ref="F32:J32" si="7">SUM(F4:F31)</f>
        <v>1</v>
      </c>
      <c r="G32" s="128">
        <f t="shared" si="7"/>
        <v>127648849530.16501</v>
      </c>
      <c r="H32" s="129">
        <f t="shared" si="7"/>
        <v>0.42194325694323059</v>
      </c>
      <c r="I32" s="127">
        <f t="shared" si="7"/>
        <v>91143402664.26001</v>
      </c>
      <c r="J32" s="129">
        <f t="shared" si="7"/>
        <v>0.71401664017913224</v>
      </c>
      <c r="K32" s="118">
        <f t="shared" si="3"/>
        <v>0.42194325694323065</v>
      </c>
      <c r="L32" s="118">
        <f t="shared" si="4"/>
        <v>0.30127450666884581</v>
      </c>
    </row>
    <row r="33" spans="4:9" ht="33.75" customHeight="1" x14ac:dyDescent="0.25">
      <c r="E33" s="11"/>
      <c r="G33" s="11"/>
      <c r="I33" s="11"/>
    </row>
    <row r="35" spans="4:9" ht="33.75" customHeight="1" x14ac:dyDescent="0.25">
      <c r="D35"/>
    </row>
    <row r="37" spans="4:9" ht="33.75" customHeight="1" x14ac:dyDescent="0.25">
      <c r="D37"/>
    </row>
  </sheetData>
  <sheetProtection password="CBEB" sheet="1" objects="1" scenarios="1"/>
  <mergeCells count="1">
    <mergeCell ref="C1:K1"/>
  </mergeCells>
  <conditionalFormatting sqref="K4">
    <cfRule type="cellIs" dxfId="19" priority="21" operator="between">
      <formula>0</formula>
      <formula>0.3999</formula>
    </cfRule>
    <cfRule type="cellIs" dxfId="18" priority="22" operator="between">
      <formula>0.4</formula>
      <formula>0.59</formula>
    </cfRule>
    <cfRule type="cellIs" dxfId="17" priority="23" operator="between">
      <formula>0.6</formula>
      <formula>0.69</formula>
    </cfRule>
    <cfRule type="cellIs" dxfId="16" priority="24" operator="between">
      <formula>0.7</formula>
      <formula>0.79</formula>
    </cfRule>
    <cfRule type="cellIs" dxfId="15" priority="25" operator="between">
      <formula>0.8</formula>
      <formula>1</formula>
    </cfRule>
  </conditionalFormatting>
  <conditionalFormatting sqref="K5:K32">
    <cfRule type="cellIs" dxfId="14" priority="16" operator="between">
      <formula>0</formula>
      <formula>0.3999</formula>
    </cfRule>
    <cfRule type="cellIs" dxfId="13" priority="17" operator="between">
      <formula>0.4</formula>
      <formula>0.59</formula>
    </cfRule>
    <cfRule type="cellIs" dxfId="12" priority="18" operator="between">
      <formula>0.595</formula>
      <formula>0.6999</formula>
    </cfRule>
    <cfRule type="cellIs" dxfId="11" priority="19" operator="between">
      <formula>0.7</formula>
      <formula>0.794</formula>
    </cfRule>
    <cfRule type="cellIs" dxfId="10" priority="20" operator="between">
      <formula>0.795</formula>
      <formula>1</formula>
    </cfRule>
  </conditionalFormatting>
  <conditionalFormatting sqref="L4">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L5:L32">
    <cfRule type="cellIs" dxfId="4" priority="1" operator="between">
      <formula>0</formula>
      <formula>0.3999</formula>
    </cfRule>
    <cfRule type="cellIs" dxfId="3" priority="2" operator="between">
      <formula>0.4</formula>
      <formula>0.59</formula>
    </cfRule>
    <cfRule type="cellIs" dxfId="2" priority="3" operator="between">
      <formula>0.6</formula>
      <formula>0.69</formula>
    </cfRule>
    <cfRule type="cellIs" dxfId="1" priority="4" operator="between">
      <formula>0.7</formula>
      <formula>0.79</formula>
    </cfRule>
    <cfRule type="cellIs" dxfId="0" priority="5" operator="between">
      <formula>0.8</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topLeftCell="E1" zoomScale="90" zoomScaleNormal="90" workbookViewId="0">
      <selection activeCell="O8" sqref="O8"/>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789" t="s">
        <v>972</v>
      </c>
      <c r="C1" s="790"/>
      <c r="D1" s="790"/>
      <c r="E1" s="790"/>
      <c r="F1" s="790"/>
      <c r="G1" s="790"/>
      <c r="H1" s="790"/>
      <c r="I1" s="790"/>
      <c r="J1" s="790"/>
      <c r="K1" s="790"/>
      <c r="L1" s="790"/>
      <c r="M1" s="790"/>
      <c r="N1" s="790"/>
      <c r="O1" s="791"/>
    </row>
    <row r="2" spans="2:15" ht="15.75" thickBot="1" x14ac:dyDescent="0.3">
      <c r="B2" s="792" t="s">
        <v>996</v>
      </c>
      <c r="C2" s="793"/>
      <c r="D2" s="793"/>
      <c r="E2" s="793"/>
      <c r="F2" s="793"/>
      <c r="G2" s="793"/>
      <c r="H2" s="793"/>
      <c r="I2" s="793"/>
      <c r="J2" s="793"/>
      <c r="K2" s="793"/>
      <c r="L2" s="793"/>
      <c r="M2" s="793"/>
      <c r="N2" s="793"/>
      <c r="O2" s="794"/>
    </row>
    <row r="4" spans="2:15" ht="15.75" customHeight="1" x14ac:dyDescent="0.25">
      <c r="B4" s="795" t="s">
        <v>924</v>
      </c>
      <c r="C4" s="795" t="s">
        <v>959</v>
      </c>
      <c r="D4" s="796" t="s">
        <v>960</v>
      </c>
      <c r="E4" s="797" t="s">
        <v>44</v>
      </c>
      <c r="F4" s="800" t="s">
        <v>961</v>
      </c>
      <c r="G4" s="801"/>
      <c r="H4" s="801"/>
      <c r="I4" s="801"/>
      <c r="J4" s="801"/>
      <c r="K4" s="801"/>
      <c r="L4" s="801"/>
      <c r="M4" s="801"/>
      <c r="N4" s="801"/>
      <c r="O4" s="802"/>
    </row>
    <row r="5" spans="2:15" ht="27" customHeight="1" x14ac:dyDescent="0.25">
      <c r="B5" s="795"/>
      <c r="C5" s="795"/>
      <c r="D5" s="796"/>
      <c r="E5" s="798"/>
      <c r="F5" s="803" t="s">
        <v>962</v>
      </c>
      <c r="G5" s="803"/>
      <c r="H5" s="804" t="s">
        <v>963</v>
      </c>
      <c r="I5" s="804"/>
      <c r="J5" s="804" t="s">
        <v>964</v>
      </c>
      <c r="K5" s="804"/>
      <c r="L5" s="804" t="s">
        <v>965</v>
      </c>
      <c r="M5" s="804"/>
      <c r="N5" s="805" t="s">
        <v>966</v>
      </c>
      <c r="O5" s="806"/>
    </row>
    <row r="6" spans="2:15" ht="30" x14ac:dyDescent="0.25">
      <c r="B6" s="795"/>
      <c r="C6" s="795"/>
      <c r="D6" s="796"/>
      <c r="E6" s="799"/>
      <c r="F6" s="152" t="s">
        <v>967</v>
      </c>
      <c r="G6" s="152" t="s">
        <v>44</v>
      </c>
      <c r="H6" s="152" t="s">
        <v>968</v>
      </c>
      <c r="I6" s="152" t="s">
        <v>44</v>
      </c>
      <c r="J6" s="152" t="s">
        <v>969</v>
      </c>
      <c r="K6" s="152" t="s">
        <v>44</v>
      </c>
      <c r="L6" s="152" t="s">
        <v>970</v>
      </c>
      <c r="M6" s="152" t="s">
        <v>44</v>
      </c>
      <c r="N6" s="152" t="s">
        <v>971</v>
      </c>
      <c r="O6" s="152" t="s">
        <v>44</v>
      </c>
    </row>
    <row r="7" spans="2:15" x14ac:dyDescent="0.25">
      <c r="B7" s="153">
        <v>1</v>
      </c>
      <c r="C7" s="6" t="s">
        <v>978</v>
      </c>
      <c r="D7" s="154">
        <f>F7+H7+J7+L7+N7</f>
        <v>18</v>
      </c>
      <c r="E7" s="172">
        <f>+D7/$D$12</f>
        <v>6.4056939501779361E-2</v>
      </c>
      <c r="F7" s="155">
        <v>2</v>
      </c>
      <c r="G7" s="172">
        <f>+F7/D7</f>
        <v>0.1111111111111111</v>
      </c>
      <c r="H7" s="156">
        <v>1</v>
      </c>
      <c r="I7" s="172"/>
      <c r="J7" s="157">
        <v>5</v>
      </c>
      <c r="K7" s="173"/>
      <c r="L7" s="158">
        <v>3</v>
      </c>
      <c r="M7" s="172">
        <f>+L7/D7</f>
        <v>0.16666666666666666</v>
      </c>
      <c r="N7" s="159">
        <v>7</v>
      </c>
      <c r="O7" s="9">
        <f>+N7/D7</f>
        <v>0.3888888888888889</v>
      </c>
    </row>
    <row r="8" spans="2:15" x14ac:dyDescent="0.25">
      <c r="B8" s="153">
        <v>2</v>
      </c>
      <c r="C8" s="6" t="s">
        <v>979</v>
      </c>
      <c r="D8" s="154">
        <f t="shared" ref="D8:D11" si="0">F8+H8+J8+L8+N8</f>
        <v>41</v>
      </c>
      <c r="E8" s="172">
        <f>+D8/$D$12</f>
        <v>0.14590747330960854</v>
      </c>
      <c r="F8" s="155">
        <v>5</v>
      </c>
      <c r="G8" s="172">
        <f t="shared" ref="G8:G11" si="1">+F8/D8</f>
        <v>0.12195121951219512</v>
      </c>
      <c r="H8" s="156">
        <v>5</v>
      </c>
      <c r="I8" s="172">
        <f t="shared" ref="I8:I10" si="2">+H8/D8</f>
        <v>0.12195121951219512</v>
      </c>
      <c r="J8" s="157">
        <v>10</v>
      </c>
      <c r="K8" s="174">
        <f>J8/D8</f>
        <v>0.24390243902439024</v>
      </c>
      <c r="L8" s="158">
        <v>14</v>
      </c>
      <c r="M8" s="172">
        <f t="shared" ref="M8:M11" si="3">+L8/D8</f>
        <v>0.34146341463414637</v>
      </c>
      <c r="N8" s="159">
        <v>7</v>
      </c>
      <c r="O8" s="9">
        <f t="shared" ref="O8:O11" si="4">+N8/D8</f>
        <v>0.17073170731707318</v>
      </c>
    </row>
    <row r="9" spans="2:15" x14ac:dyDescent="0.25">
      <c r="B9" s="153">
        <v>3</v>
      </c>
      <c r="C9" s="6" t="s">
        <v>980</v>
      </c>
      <c r="D9" s="154">
        <f t="shared" si="0"/>
        <v>149</v>
      </c>
      <c r="E9" s="172">
        <f t="shared" ref="E9:E11" si="5">+D9/$D$12</f>
        <v>0.53024911032028466</v>
      </c>
      <c r="F9" s="155">
        <v>15</v>
      </c>
      <c r="G9" s="172">
        <f t="shared" si="1"/>
        <v>0.10067114093959731</v>
      </c>
      <c r="H9" s="156">
        <v>14</v>
      </c>
      <c r="I9" s="172">
        <f t="shared" si="2"/>
        <v>9.3959731543624164E-2</v>
      </c>
      <c r="J9" s="160">
        <v>19</v>
      </c>
      <c r="K9" s="174">
        <f t="shared" ref="K9:K11" si="6">+J9/D9</f>
        <v>0.12751677852348994</v>
      </c>
      <c r="L9" s="158">
        <v>70</v>
      </c>
      <c r="M9" s="172">
        <f t="shared" si="3"/>
        <v>0.46979865771812079</v>
      </c>
      <c r="N9" s="159">
        <v>31</v>
      </c>
      <c r="O9" s="9">
        <f t="shared" si="4"/>
        <v>0.20805369127516779</v>
      </c>
    </row>
    <row r="10" spans="2:15" x14ac:dyDescent="0.25">
      <c r="B10" s="153">
        <v>4</v>
      </c>
      <c r="C10" s="6" t="s">
        <v>981</v>
      </c>
      <c r="D10" s="154">
        <f t="shared" si="0"/>
        <v>28</v>
      </c>
      <c r="E10" s="172">
        <f t="shared" si="5"/>
        <v>9.9644128113879002E-2</v>
      </c>
      <c r="F10" s="155">
        <v>4</v>
      </c>
      <c r="G10" s="172">
        <f t="shared" si="1"/>
        <v>0.14285714285714285</v>
      </c>
      <c r="H10" s="161">
        <v>2</v>
      </c>
      <c r="I10" s="172">
        <f t="shared" si="2"/>
        <v>7.1428571428571425E-2</v>
      </c>
      <c r="J10" s="160">
        <v>6</v>
      </c>
      <c r="K10" s="174">
        <f t="shared" si="6"/>
        <v>0.21428571428571427</v>
      </c>
      <c r="L10" s="158">
        <v>9</v>
      </c>
      <c r="M10" s="172">
        <f t="shared" si="3"/>
        <v>0.32142857142857145</v>
      </c>
      <c r="N10" s="159">
        <v>7</v>
      </c>
      <c r="O10" s="9">
        <f t="shared" si="4"/>
        <v>0.25</v>
      </c>
    </row>
    <row r="11" spans="2:15" ht="15.75" customHeight="1" x14ac:dyDescent="0.25">
      <c r="B11" s="153">
        <v>5</v>
      </c>
      <c r="C11" s="6" t="s">
        <v>982</v>
      </c>
      <c r="D11" s="154">
        <f t="shared" si="0"/>
        <v>45</v>
      </c>
      <c r="E11" s="172">
        <f t="shared" si="5"/>
        <v>0.16014234875444841</v>
      </c>
      <c r="F11" s="155">
        <v>4</v>
      </c>
      <c r="G11" s="172">
        <f t="shared" si="1"/>
        <v>8.8888888888888892E-2</v>
      </c>
      <c r="H11" s="161"/>
      <c r="I11" s="172"/>
      <c r="J11" s="160">
        <v>10</v>
      </c>
      <c r="K11" s="174">
        <f t="shared" si="6"/>
        <v>0.22222222222222221</v>
      </c>
      <c r="L11" s="158">
        <v>18</v>
      </c>
      <c r="M11" s="172">
        <f t="shared" si="3"/>
        <v>0.4</v>
      </c>
      <c r="N11" s="159">
        <v>13</v>
      </c>
      <c r="O11" s="9">
        <f t="shared" si="4"/>
        <v>0.28888888888888886</v>
      </c>
    </row>
    <row r="12" spans="2:15" ht="27.75" customHeight="1" x14ac:dyDescent="0.25">
      <c r="B12" s="162"/>
      <c r="C12" s="162" t="s">
        <v>938</v>
      </c>
      <c r="D12" s="163">
        <f>SUM(D7:D11)</f>
        <v>281</v>
      </c>
      <c r="E12" s="164">
        <f>SUM(E7:E11)</f>
        <v>1</v>
      </c>
      <c r="F12" s="163">
        <f>SUM(F7:F11)</f>
        <v>30</v>
      </c>
      <c r="G12" s="164">
        <f>F12/D12</f>
        <v>0.10676156583629894</v>
      </c>
      <c r="H12" s="163">
        <f>SUM(H7:H11)</f>
        <v>22</v>
      </c>
      <c r="I12" s="164">
        <f>H12/D12</f>
        <v>7.8291814946619215E-2</v>
      </c>
      <c r="J12" s="163">
        <f>SUM(J7:J11)</f>
        <v>50</v>
      </c>
      <c r="K12" s="164">
        <f>J12/D12</f>
        <v>0.17793594306049823</v>
      </c>
      <c r="L12" s="163">
        <f>SUM(L7:L11)</f>
        <v>114</v>
      </c>
      <c r="M12" s="164">
        <f>L12/D12</f>
        <v>0.40569395017793597</v>
      </c>
      <c r="N12" s="163">
        <f>SUM(N7:N11)</f>
        <v>65</v>
      </c>
      <c r="O12" s="164">
        <f>N12/D12</f>
        <v>0.23131672597864769</v>
      </c>
    </row>
    <row r="16" spans="2:15" x14ac:dyDescent="0.25">
      <c r="F16" t="s">
        <v>65</v>
      </c>
    </row>
    <row r="17" spans="3:4" x14ac:dyDescent="0.25">
      <c r="C17" s="620" t="s">
        <v>985</v>
      </c>
      <c r="D17" s="618"/>
    </row>
    <row r="18" spans="3:4" x14ac:dyDescent="0.25">
      <c r="C18" t="s">
        <v>986</v>
      </c>
    </row>
    <row r="19" spans="3:4" x14ac:dyDescent="0.25">
      <c r="C19" t="s">
        <v>987</v>
      </c>
      <c r="D19" s="165"/>
    </row>
    <row r="20" spans="3:4" x14ac:dyDescent="0.25">
      <c r="C20" t="s">
        <v>988</v>
      </c>
      <c r="D20" s="166"/>
    </row>
    <row r="21" spans="3:4" x14ac:dyDescent="0.25">
      <c r="C21" t="s">
        <v>989</v>
      </c>
      <c r="D21" s="166"/>
    </row>
    <row r="22" spans="3:4" x14ac:dyDescent="0.25">
      <c r="D22" s="166"/>
    </row>
    <row r="23" spans="3:4" x14ac:dyDescent="0.25">
      <c r="D23" s="166"/>
    </row>
  </sheetData>
  <sheetProtection password="CBEB"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SGTO P. INDICATIVO</vt:lpstr>
      <vt:lpstr>EJECUCION ESTRATEGIAS</vt:lpstr>
      <vt:lpstr>EJECUCION PROGRAMAS</vt:lpstr>
      <vt:lpstr>% EJECUCION ESTRATEGIAS </vt:lpstr>
      <vt:lpstr>EJECUCION % PROGRAMAS </vt:lpstr>
      <vt:lpstr>% DE EJEC. METAS-ESTRATATEGIAS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dcterms:created xsi:type="dcterms:W3CDTF">2016-03-22T23:00:18Z</dcterms:created>
  <dcterms:modified xsi:type="dcterms:W3CDTF">2019-10-30T23:59:50Z</dcterms:modified>
  <cp:category/>
  <cp:contentStatus/>
</cp:coreProperties>
</file>